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3" sheetId="3" r:id="rId1"/>
  </sheets>
  <definedNames>
    <definedName name="_xlnm.Print_Titles" localSheetId="0">Sheet3!$2:$2</definedName>
  </definedNames>
  <calcPr calcId="124519"/>
</workbook>
</file>

<file path=xl/calcChain.xml><?xml version="1.0" encoding="utf-8"?>
<calcChain xmlns="http://schemas.openxmlformats.org/spreadsheetml/2006/main">
  <c r="D3" i="3"/>
  <c r="E3"/>
  <c r="F3"/>
  <c r="G3"/>
  <c r="H3"/>
  <c r="I3"/>
  <c r="J3"/>
  <c r="D4"/>
  <c r="E4"/>
  <c r="F4"/>
  <c r="G4"/>
  <c r="H4"/>
  <c r="I4"/>
  <c r="J4"/>
  <c r="D5"/>
  <c r="E5"/>
  <c r="F5"/>
  <c r="G5"/>
  <c r="H5"/>
  <c r="I5"/>
  <c r="J5"/>
  <c r="D6"/>
  <c r="E6"/>
  <c r="F6"/>
  <c r="G6"/>
  <c r="H6"/>
  <c r="I6"/>
  <c r="J6"/>
  <c r="D7"/>
  <c r="E7"/>
  <c r="F7"/>
  <c r="G7"/>
  <c r="H7"/>
  <c r="I7"/>
  <c r="J7"/>
  <c r="D8"/>
  <c r="E8"/>
  <c r="F8"/>
  <c r="G8"/>
  <c r="H8"/>
  <c r="I8"/>
  <c r="J8"/>
  <c r="D9"/>
  <c r="E9"/>
  <c r="F9"/>
  <c r="G9"/>
  <c r="H9"/>
  <c r="I9"/>
  <c r="J9"/>
  <c r="D10"/>
  <c r="E10"/>
  <c r="F10"/>
  <c r="G10"/>
  <c r="H10"/>
  <c r="I10"/>
  <c r="J10"/>
  <c r="D11"/>
  <c r="E11"/>
  <c r="F11"/>
  <c r="G11"/>
  <c r="H11"/>
  <c r="I11"/>
  <c r="J11"/>
  <c r="D12"/>
  <c r="E12"/>
  <c r="F12"/>
  <c r="G12"/>
  <c r="H12"/>
  <c r="I12"/>
  <c r="J12"/>
  <c r="D13"/>
  <c r="E13"/>
  <c r="F13"/>
  <c r="G13"/>
  <c r="H13"/>
  <c r="I13"/>
  <c r="J13"/>
  <c r="D14"/>
  <c r="E14"/>
  <c r="F14"/>
  <c r="G14"/>
  <c r="H14"/>
  <c r="I14"/>
  <c r="J14"/>
  <c r="D15"/>
  <c r="E15"/>
  <c r="F15"/>
  <c r="G15"/>
  <c r="H15"/>
  <c r="I15"/>
  <c r="J15"/>
  <c r="D16"/>
  <c r="E16"/>
  <c r="F16"/>
  <c r="G16"/>
  <c r="H16"/>
  <c r="I16"/>
  <c r="J16"/>
  <c r="D17"/>
  <c r="E17"/>
  <c r="F17"/>
  <c r="G17"/>
  <c r="H17"/>
  <c r="I17"/>
  <c r="J17"/>
  <c r="D18"/>
  <c r="E18"/>
  <c r="F18"/>
  <c r="G18"/>
  <c r="H18"/>
  <c r="I18"/>
  <c r="J18"/>
  <c r="D19"/>
  <c r="E19"/>
  <c r="F19"/>
  <c r="G19"/>
  <c r="H19"/>
  <c r="I19"/>
  <c r="J19"/>
  <c r="D20"/>
  <c r="E20"/>
  <c r="F20"/>
  <c r="G20"/>
  <c r="H20"/>
  <c r="I20"/>
  <c r="J20"/>
  <c r="D21"/>
  <c r="E21"/>
  <c r="F21"/>
  <c r="G21"/>
  <c r="H21"/>
  <c r="I21"/>
  <c r="J21"/>
  <c r="D22"/>
  <c r="E22"/>
  <c r="F22"/>
  <c r="G22"/>
  <c r="H22"/>
  <c r="I22"/>
  <c r="J22"/>
  <c r="D23"/>
  <c r="E23"/>
  <c r="F23"/>
  <c r="G23"/>
  <c r="H23"/>
  <c r="I23"/>
  <c r="J23"/>
  <c r="D24"/>
  <c r="E24"/>
  <c r="F24"/>
  <c r="G24"/>
  <c r="H24"/>
  <c r="I24"/>
  <c r="J24"/>
  <c r="D25"/>
  <c r="E25"/>
  <c r="F25"/>
  <c r="G25"/>
  <c r="H25"/>
  <c r="I25"/>
  <c r="J25"/>
  <c r="D26"/>
  <c r="E26"/>
  <c r="F26"/>
  <c r="G26"/>
  <c r="H26"/>
  <c r="I26"/>
  <c r="J26"/>
  <c r="D27"/>
  <c r="E27"/>
  <c r="F27"/>
  <c r="G27"/>
  <c r="H27"/>
  <c r="I27"/>
  <c r="J27"/>
  <c r="D28"/>
  <c r="E28"/>
  <c r="F28"/>
  <c r="G28"/>
  <c r="H28"/>
  <c r="I28"/>
  <c r="J28"/>
  <c r="D29"/>
  <c r="E29"/>
  <c r="F29"/>
  <c r="G29"/>
  <c r="H29"/>
  <c r="I29"/>
  <c r="J29"/>
  <c r="D30"/>
  <c r="E30"/>
  <c r="F30"/>
  <c r="G30"/>
  <c r="H30"/>
  <c r="I30"/>
  <c r="J30"/>
  <c r="D31"/>
  <c r="E31"/>
  <c r="F31"/>
  <c r="G31"/>
  <c r="H31"/>
  <c r="I31"/>
  <c r="J31"/>
  <c r="D32"/>
  <c r="E32"/>
  <c r="F32"/>
  <c r="G32"/>
  <c r="H32"/>
  <c r="I32"/>
  <c r="J32"/>
  <c r="D33"/>
  <c r="E33"/>
  <c r="F33"/>
  <c r="G33"/>
  <c r="H33"/>
  <c r="I33"/>
  <c r="J33"/>
  <c r="D34"/>
  <c r="E34"/>
  <c r="F34"/>
  <c r="G34"/>
  <c r="H34"/>
  <c r="I34"/>
  <c r="J34"/>
  <c r="D35"/>
  <c r="E35"/>
  <c r="F35"/>
  <c r="G35"/>
  <c r="H35"/>
  <c r="I35"/>
  <c r="J35"/>
  <c r="D36"/>
  <c r="E36"/>
  <c r="F36"/>
  <c r="G36"/>
  <c r="H36"/>
  <c r="I36"/>
  <c r="J36"/>
  <c r="D37"/>
  <c r="E37"/>
  <c r="F37"/>
  <c r="G37"/>
  <c r="H37"/>
  <c r="I37"/>
  <c r="J37"/>
  <c r="D38"/>
  <c r="E38"/>
  <c r="F38"/>
  <c r="G38"/>
  <c r="H38"/>
  <c r="I38"/>
  <c r="J38"/>
  <c r="D39"/>
  <c r="E39"/>
  <c r="F39"/>
  <c r="G39"/>
  <c r="H39"/>
  <c r="I39"/>
  <c r="J39"/>
  <c r="D40"/>
  <c r="E40"/>
  <c r="F40"/>
  <c r="G40"/>
  <c r="H40"/>
  <c r="I40"/>
  <c r="J40"/>
  <c r="D41"/>
  <c r="E41"/>
  <c r="F41"/>
  <c r="G41"/>
  <c r="H41"/>
  <c r="I41"/>
  <c r="J41"/>
  <c r="D42"/>
  <c r="E42"/>
  <c r="F42"/>
  <c r="G42"/>
  <c r="H42"/>
  <c r="I42"/>
  <c r="J42"/>
  <c r="D43"/>
  <c r="E43"/>
  <c r="F43"/>
  <c r="G43"/>
  <c r="H43"/>
  <c r="I43"/>
  <c r="J43"/>
  <c r="D44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D48"/>
  <c r="E48"/>
  <c r="F48"/>
  <c r="G48"/>
  <c r="H48"/>
  <c r="I48"/>
  <c r="J48"/>
  <c r="D49"/>
  <c r="E49"/>
  <c r="F49"/>
  <c r="G49"/>
  <c r="H49"/>
  <c r="I49"/>
  <c r="J49"/>
  <c r="D50"/>
  <c r="E50"/>
  <c r="F50"/>
  <c r="G50"/>
  <c r="H50"/>
  <c r="I50"/>
  <c r="J50"/>
  <c r="D51"/>
  <c r="E51"/>
  <c r="F51"/>
  <c r="G51"/>
  <c r="H51"/>
  <c r="I51"/>
  <c r="J51"/>
  <c r="D52"/>
  <c r="E52"/>
  <c r="F52"/>
  <c r="G52"/>
  <c r="H52"/>
  <c r="I52"/>
  <c r="J52"/>
  <c r="D53"/>
  <c r="E53"/>
  <c r="F53"/>
  <c r="G53"/>
  <c r="H53"/>
  <c r="I53"/>
  <c r="J53"/>
  <c r="D54"/>
  <c r="E54"/>
  <c r="F54"/>
  <c r="G54"/>
  <c r="H54"/>
  <c r="I54"/>
  <c r="J54"/>
  <c r="D55"/>
  <c r="E55"/>
  <c r="F55"/>
  <c r="G55"/>
  <c r="H55"/>
  <c r="I55"/>
  <c r="J55"/>
  <c r="D56"/>
  <c r="E56"/>
  <c r="F56"/>
  <c r="G56"/>
  <c r="H56"/>
  <c r="I56"/>
  <c r="J56"/>
  <c r="D57"/>
  <c r="E57"/>
  <c r="F57"/>
  <c r="G57"/>
  <c r="H57"/>
  <c r="I57"/>
  <c r="J57"/>
  <c r="D58"/>
  <c r="E58"/>
  <c r="F58"/>
  <c r="G58"/>
  <c r="H58"/>
  <c r="I58"/>
  <c r="J58"/>
  <c r="D59"/>
  <c r="E59"/>
  <c r="F59"/>
  <c r="G59"/>
  <c r="H59"/>
  <c r="I59"/>
  <c r="J59"/>
  <c r="D60"/>
  <c r="E60"/>
  <c r="F60"/>
  <c r="G60"/>
  <c r="H60"/>
  <c r="I60"/>
  <c r="J60"/>
  <c r="D61"/>
  <c r="E61"/>
  <c r="F61"/>
  <c r="G61"/>
  <c r="H61"/>
  <c r="I61"/>
  <c r="J61"/>
  <c r="D62"/>
  <c r="E62"/>
  <c r="F62"/>
  <c r="G62"/>
  <c r="H62"/>
  <c r="I62"/>
  <c r="J62"/>
  <c r="D63"/>
  <c r="E63"/>
  <c r="F63"/>
  <c r="G63"/>
  <c r="H63"/>
  <c r="I63"/>
  <c r="J63"/>
  <c r="D64"/>
  <c r="E64"/>
  <c r="F64"/>
  <c r="G64"/>
  <c r="H64"/>
  <c r="I64"/>
  <c r="J64"/>
  <c r="D65"/>
  <c r="E65"/>
  <c r="F65"/>
  <c r="G65"/>
  <c r="H65"/>
  <c r="I65"/>
  <c r="J65"/>
  <c r="D66"/>
  <c r="E66"/>
  <c r="F66"/>
  <c r="G66"/>
  <c r="H66"/>
  <c r="I66"/>
  <c r="J66"/>
  <c r="D67"/>
  <c r="E67"/>
  <c r="F67"/>
  <c r="G67"/>
  <c r="H67"/>
  <c r="I67"/>
  <c r="J67"/>
  <c r="D68"/>
  <c r="E68"/>
  <c r="F68"/>
  <c r="G68"/>
  <c r="H68"/>
  <c r="I68"/>
  <c r="J68"/>
  <c r="D69"/>
  <c r="E69"/>
  <c r="F69"/>
  <c r="G69"/>
  <c r="H69"/>
  <c r="I69"/>
  <c r="J69"/>
  <c r="D70"/>
  <c r="E70"/>
  <c r="F70"/>
  <c r="G70"/>
  <c r="H70"/>
  <c r="I70"/>
  <c r="J70"/>
  <c r="D71"/>
  <c r="E71"/>
  <c r="F71"/>
  <c r="G71"/>
  <c r="H71"/>
  <c r="I71"/>
  <c r="J71"/>
  <c r="D72"/>
  <c r="E72"/>
  <c r="F72"/>
  <c r="G72"/>
  <c r="H72"/>
  <c r="I72"/>
  <c r="J72"/>
  <c r="D73"/>
  <c r="E73"/>
  <c r="F73"/>
  <c r="G73"/>
  <c r="H73"/>
  <c r="I73"/>
  <c r="J73"/>
  <c r="D74"/>
  <c r="E74"/>
  <c r="F74"/>
  <c r="G74"/>
  <c r="H74"/>
  <c r="I74"/>
  <c r="J74"/>
  <c r="D75"/>
  <c r="E75"/>
  <c r="F75"/>
  <c r="G75"/>
  <c r="H75"/>
  <c r="I75"/>
  <c r="J75"/>
  <c r="D76"/>
  <c r="E76"/>
  <c r="F76"/>
  <c r="G76"/>
  <c r="H76"/>
  <c r="I76"/>
  <c r="J76"/>
  <c r="D77"/>
  <c r="E77"/>
  <c r="F77"/>
  <c r="G77"/>
  <c r="H77"/>
  <c r="I77"/>
  <c r="J77"/>
  <c r="D78"/>
  <c r="E78"/>
  <c r="F78"/>
  <c r="G78"/>
  <c r="H78"/>
  <c r="I78"/>
  <c r="J78"/>
  <c r="D79"/>
  <c r="E79"/>
  <c r="F79"/>
  <c r="G79"/>
  <c r="H79"/>
  <c r="I79"/>
  <c r="J79"/>
  <c r="D80"/>
  <c r="E80"/>
  <c r="F80"/>
  <c r="G80"/>
  <c r="H80"/>
  <c r="I80"/>
  <c r="J80"/>
  <c r="D81"/>
  <c r="E81"/>
  <c r="F81"/>
  <c r="G81"/>
  <c r="H81"/>
  <c r="I81"/>
  <c r="J81"/>
  <c r="D82"/>
  <c r="E82"/>
  <c r="F82"/>
  <c r="G82"/>
  <c r="H82"/>
  <c r="I82"/>
  <c r="J82"/>
  <c r="D83"/>
  <c r="E83"/>
  <c r="F83"/>
  <c r="G83"/>
  <c r="H83"/>
  <c r="I83"/>
  <c r="J83"/>
  <c r="D84"/>
  <c r="E84"/>
  <c r="F84"/>
  <c r="G84"/>
  <c r="H84"/>
  <c r="I84"/>
  <c r="J84"/>
  <c r="D85"/>
  <c r="E85"/>
  <c r="F85"/>
  <c r="G85"/>
  <c r="H85"/>
  <c r="I85"/>
  <c r="J85"/>
  <c r="D86"/>
  <c r="E86"/>
  <c r="F86"/>
  <c r="G86"/>
  <c r="H86"/>
  <c r="I86"/>
  <c r="J86"/>
  <c r="D87"/>
  <c r="E87"/>
  <c r="F87"/>
  <c r="G87"/>
  <c r="H87"/>
  <c r="I87"/>
  <c r="J87"/>
  <c r="D88"/>
  <c r="E88"/>
  <c r="F88"/>
  <c r="G88"/>
  <c r="H88"/>
  <c r="I88"/>
  <c r="J88"/>
  <c r="D89"/>
  <c r="E89"/>
  <c r="F89"/>
  <c r="G89"/>
  <c r="H89"/>
  <c r="I89"/>
  <c r="J89"/>
  <c r="D90"/>
  <c r="E90"/>
  <c r="F90"/>
  <c r="G90"/>
  <c r="H90"/>
  <c r="I90"/>
  <c r="J90"/>
  <c r="D91"/>
  <c r="E91"/>
  <c r="F91"/>
  <c r="G91"/>
  <c r="H91"/>
  <c r="I91"/>
  <c r="J91"/>
  <c r="D92"/>
  <c r="E92"/>
  <c r="F92"/>
  <c r="G92"/>
  <c r="H92"/>
  <c r="I92"/>
  <c r="J92"/>
  <c r="D93"/>
  <c r="E93"/>
  <c r="F93"/>
  <c r="G93"/>
  <c r="H93"/>
  <c r="I93"/>
  <c r="J93"/>
  <c r="D94"/>
  <c r="E94"/>
  <c r="F94"/>
  <c r="G94"/>
  <c r="H94"/>
  <c r="I94"/>
  <c r="J94"/>
  <c r="D95"/>
  <c r="E95"/>
  <c r="F95"/>
  <c r="G95"/>
  <c r="H95"/>
  <c r="I95"/>
  <c r="J95"/>
  <c r="D96"/>
  <c r="E96"/>
  <c r="F96"/>
  <c r="G96"/>
  <c r="H96"/>
  <c r="I96"/>
  <c r="J96"/>
  <c r="D97"/>
  <c r="E97"/>
  <c r="F97"/>
  <c r="G97"/>
  <c r="H97"/>
  <c r="I97"/>
  <c r="J97"/>
  <c r="D98"/>
  <c r="E98"/>
  <c r="F98"/>
  <c r="G98"/>
  <c r="H98"/>
  <c r="I98"/>
  <c r="J98"/>
  <c r="D99"/>
  <c r="E99"/>
  <c r="F99"/>
  <c r="G99"/>
  <c r="H99"/>
  <c r="I99"/>
  <c r="J99"/>
  <c r="D100"/>
  <c r="E100"/>
  <c r="F100"/>
  <c r="G100"/>
  <c r="H100"/>
  <c r="I100"/>
  <c r="J100"/>
  <c r="D101"/>
  <c r="E101"/>
  <c r="F101"/>
  <c r="G101"/>
  <c r="H101"/>
  <c r="I101"/>
  <c r="J101"/>
  <c r="D102"/>
  <c r="E102"/>
  <c r="F102"/>
  <c r="G102"/>
  <c r="H102"/>
  <c r="I102"/>
  <c r="J102"/>
  <c r="D103"/>
  <c r="E103"/>
  <c r="F103"/>
  <c r="G103"/>
  <c r="H103"/>
  <c r="I103"/>
  <c r="J103"/>
  <c r="D104"/>
  <c r="E104"/>
  <c r="F104"/>
  <c r="G104"/>
  <c r="H104"/>
  <c r="I104"/>
  <c r="J104"/>
  <c r="D105"/>
  <c r="E105"/>
  <c r="F105"/>
  <c r="G105"/>
  <c r="H105"/>
  <c r="I105"/>
  <c r="J105"/>
  <c r="D106"/>
  <c r="E106"/>
  <c r="F106"/>
  <c r="G106"/>
  <c r="H106"/>
  <c r="I106"/>
  <c r="J106"/>
  <c r="D107"/>
  <c r="E107"/>
  <c r="F107"/>
  <c r="G107"/>
  <c r="H107"/>
  <c r="I107"/>
  <c r="J107"/>
  <c r="D108"/>
  <c r="E108"/>
  <c r="F108"/>
  <c r="G108"/>
  <c r="H108"/>
  <c r="I108"/>
  <c r="J108"/>
  <c r="D109"/>
  <c r="E109"/>
  <c r="F109"/>
  <c r="G109"/>
  <c r="H109"/>
  <c r="I109"/>
  <c r="J109"/>
  <c r="D110"/>
  <c r="E110"/>
  <c r="F110"/>
  <c r="G110"/>
  <c r="H110"/>
  <c r="I110"/>
  <c r="J110"/>
  <c r="D111"/>
  <c r="E111"/>
  <c r="F111"/>
  <c r="G111"/>
  <c r="H111"/>
  <c r="I111"/>
  <c r="J111"/>
  <c r="D112"/>
  <c r="E112"/>
  <c r="F112"/>
  <c r="G112"/>
  <c r="H112"/>
  <c r="I112"/>
  <c r="J112"/>
  <c r="D113"/>
  <c r="E113"/>
  <c r="F113"/>
  <c r="G113"/>
  <c r="H113"/>
  <c r="I113"/>
  <c r="J113"/>
  <c r="D114"/>
  <c r="E114"/>
  <c r="F114"/>
  <c r="G114"/>
  <c r="H114"/>
  <c r="I114"/>
  <c r="J114"/>
  <c r="D115"/>
  <c r="E115"/>
  <c r="F115"/>
  <c r="G115"/>
  <c r="H115"/>
  <c r="I115"/>
  <c r="J115"/>
  <c r="D116"/>
  <c r="E116"/>
  <c r="F116"/>
  <c r="G116"/>
  <c r="H116"/>
  <c r="I116"/>
  <c r="J116"/>
  <c r="D117"/>
  <c r="E117"/>
  <c r="F117"/>
  <c r="G117"/>
  <c r="H117"/>
  <c r="I117"/>
  <c r="J117"/>
  <c r="D118"/>
  <c r="E118"/>
  <c r="F118"/>
  <c r="G118"/>
  <c r="H118"/>
  <c r="I118"/>
  <c r="J118"/>
  <c r="D119"/>
  <c r="E119"/>
  <c r="F119"/>
  <c r="G119"/>
  <c r="H119"/>
  <c r="I119"/>
  <c r="J119"/>
  <c r="D120"/>
  <c r="E120"/>
  <c r="F120"/>
  <c r="G120"/>
  <c r="H120"/>
  <c r="I120"/>
  <c r="J120"/>
  <c r="D121"/>
  <c r="E121"/>
  <c r="F121"/>
  <c r="G121"/>
  <c r="H121"/>
  <c r="I121"/>
  <c r="J121"/>
  <c r="D122"/>
  <c r="E122"/>
  <c r="F122"/>
  <c r="G122"/>
  <c r="H122"/>
  <c r="I122"/>
  <c r="J122"/>
  <c r="D123"/>
  <c r="E123"/>
  <c r="F123"/>
  <c r="G123"/>
  <c r="H123"/>
  <c r="I123"/>
  <c r="J123"/>
  <c r="D124"/>
  <c r="E124"/>
  <c r="F124"/>
  <c r="G124"/>
  <c r="H124"/>
  <c r="I124"/>
  <c r="J124"/>
  <c r="D125"/>
  <c r="E125"/>
  <c r="F125"/>
  <c r="G125"/>
  <c r="H125"/>
  <c r="I125"/>
  <c r="J125"/>
  <c r="D126"/>
  <c r="E126"/>
  <c r="F126"/>
  <c r="G126"/>
  <c r="H126"/>
  <c r="I126"/>
  <c r="J126"/>
  <c r="D127"/>
  <c r="E127"/>
  <c r="F127"/>
  <c r="G127"/>
  <c r="H127"/>
  <c r="I127"/>
  <c r="J127"/>
  <c r="D128"/>
  <c r="E128"/>
  <c r="F128"/>
  <c r="G128"/>
  <c r="H128"/>
  <c r="I128"/>
  <c r="J128"/>
  <c r="D129"/>
  <c r="E129"/>
  <c r="F129"/>
  <c r="G129"/>
  <c r="H129"/>
  <c r="I129"/>
  <c r="J129"/>
  <c r="D130"/>
  <c r="E130"/>
  <c r="F130"/>
  <c r="G130"/>
  <c r="H130"/>
  <c r="I130"/>
  <c r="J130"/>
  <c r="D131"/>
  <c r="E131"/>
  <c r="F131"/>
  <c r="G131"/>
  <c r="H131"/>
  <c r="I131"/>
  <c r="J131"/>
  <c r="D132"/>
  <c r="E132"/>
  <c r="F132"/>
  <c r="G132"/>
  <c r="H132"/>
  <c r="I132"/>
  <c r="J132"/>
  <c r="D133"/>
  <c r="E133"/>
  <c r="F133"/>
  <c r="G133"/>
  <c r="H133"/>
  <c r="I133"/>
  <c r="J133"/>
  <c r="D134"/>
  <c r="E134"/>
  <c r="F134"/>
  <c r="G134"/>
  <c r="H134"/>
  <c r="I134"/>
  <c r="J134"/>
  <c r="D135"/>
  <c r="E135"/>
  <c r="F135"/>
  <c r="G135"/>
  <c r="H135"/>
  <c r="I135"/>
  <c r="J135"/>
  <c r="D136"/>
  <c r="E136"/>
  <c r="F136"/>
  <c r="G136"/>
  <c r="H136"/>
  <c r="I136"/>
  <c r="J136"/>
  <c r="D137"/>
  <c r="E137"/>
  <c r="F137"/>
  <c r="G137"/>
  <c r="H137"/>
  <c r="I137"/>
  <c r="J137"/>
  <c r="D138"/>
  <c r="E138"/>
  <c r="F138"/>
  <c r="G138"/>
  <c r="H138"/>
  <c r="I138"/>
  <c r="J138"/>
  <c r="D139"/>
  <c r="E139"/>
  <c r="F139"/>
  <c r="G139"/>
  <c r="H139"/>
  <c r="I139"/>
  <c r="J139"/>
  <c r="D140"/>
  <c r="E140"/>
  <c r="F140"/>
  <c r="G140"/>
  <c r="H140"/>
  <c r="I140"/>
  <c r="J140"/>
  <c r="D141"/>
  <c r="E141"/>
  <c r="F141"/>
  <c r="G141"/>
  <c r="H141"/>
  <c r="I141"/>
  <c r="J141"/>
  <c r="D142"/>
  <c r="E142"/>
  <c r="F142"/>
  <c r="G142"/>
  <c r="H142"/>
  <c r="I142"/>
  <c r="J142"/>
  <c r="D143"/>
  <c r="E143"/>
  <c r="F143"/>
  <c r="G143"/>
  <c r="H143"/>
  <c r="I143"/>
  <c r="J143"/>
  <c r="D144"/>
  <c r="E144"/>
  <c r="F144"/>
  <c r="G144"/>
  <c r="H144"/>
  <c r="I144"/>
  <c r="J144"/>
  <c r="D145"/>
  <c r="E145"/>
  <c r="F145"/>
  <c r="G145"/>
  <c r="H145"/>
  <c r="I145"/>
  <c r="J145"/>
  <c r="D146"/>
  <c r="E146"/>
  <c r="F146"/>
  <c r="G146"/>
  <c r="H146"/>
  <c r="I146"/>
  <c r="J146"/>
  <c r="D147"/>
  <c r="E147"/>
  <c r="F147"/>
  <c r="G147"/>
  <c r="H147"/>
  <c r="I147"/>
  <c r="J147"/>
  <c r="D148"/>
  <c r="E148"/>
  <c r="F148"/>
  <c r="G148"/>
  <c r="H148"/>
  <c r="I148"/>
  <c r="J148"/>
  <c r="D149"/>
  <c r="E149"/>
  <c r="F149"/>
  <c r="G149"/>
  <c r="H149"/>
  <c r="I149"/>
  <c r="J149"/>
  <c r="D150"/>
  <c r="E150"/>
  <c r="F150"/>
  <c r="G150"/>
  <c r="H150"/>
  <c r="I150"/>
  <c r="J150"/>
  <c r="D151"/>
  <c r="E151"/>
  <c r="F151"/>
  <c r="G151"/>
  <c r="H151"/>
  <c r="I151"/>
  <c r="J151"/>
  <c r="D152"/>
  <c r="E152"/>
  <c r="F152"/>
  <c r="G152"/>
  <c r="H152"/>
  <c r="I152"/>
  <c r="J152"/>
  <c r="D153"/>
  <c r="E153"/>
  <c r="F153"/>
  <c r="G153"/>
  <c r="H153"/>
  <c r="I153"/>
  <c r="J153"/>
  <c r="D154"/>
  <c r="E154"/>
  <c r="F154"/>
  <c r="G154"/>
  <c r="H154"/>
  <c r="I154"/>
  <c r="J154"/>
  <c r="D155"/>
  <c r="E155"/>
  <c r="F155"/>
  <c r="G155"/>
  <c r="H155"/>
  <c r="I155"/>
  <c r="J155"/>
  <c r="D156"/>
  <c r="E156"/>
  <c r="F156"/>
  <c r="G156"/>
  <c r="H156"/>
  <c r="I156"/>
  <c r="J156"/>
  <c r="D157"/>
  <c r="E157"/>
  <c r="F157"/>
  <c r="G157"/>
  <c r="H157"/>
  <c r="I157"/>
  <c r="J157"/>
  <c r="D158"/>
  <c r="E158"/>
  <c r="F158"/>
  <c r="G158"/>
  <c r="H158"/>
  <c r="I158"/>
  <c r="J158"/>
  <c r="D159"/>
  <c r="E159"/>
  <c r="F159"/>
  <c r="G159"/>
  <c r="H159"/>
  <c r="I159"/>
  <c r="J159"/>
  <c r="D160"/>
  <c r="E160"/>
  <c r="F160"/>
  <c r="G160"/>
  <c r="H160"/>
  <c r="I160"/>
  <c r="J160"/>
  <c r="D161"/>
  <c r="E161"/>
  <c r="F161"/>
  <c r="G161"/>
  <c r="H161"/>
  <c r="I161"/>
  <c r="J161"/>
  <c r="D162"/>
  <c r="E162"/>
  <c r="F162"/>
  <c r="G162"/>
  <c r="H162"/>
  <c r="I162"/>
  <c r="J162"/>
  <c r="D163"/>
  <c r="E163"/>
  <c r="F163"/>
  <c r="G163"/>
  <c r="H163"/>
  <c r="I163"/>
  <c r="J163"/>
  <c r="D164"/>
  <c r="E164"/>
  <c r="F164"/>
  <c r="G164"/>
  <c r="H164"/>
  <c r="I164"/>
  <c r="J164"/>
  <c r="D165"/>
  <c r="E165"/>
  <c r="F165"/>
  <c r="G165"/>
  <c r="H165"/>
  <c r="I165"/>
  <c r="J165"/>
  <c r="D166"/>
  <c r="E166"/>
  <c r="F166"/>
  <c r="G166"/>
  <c r="H166"/>
  <c r="I166"/>
  <c r="J166"/>
  <c r="D167"/>
  <c r="E167"/>
  <c r="F167"/>
  <c r="G167"/>
  <c r="H167"/>
  <c r="I167"/>
  <c r="J167"/>
  <c r="D168"/>
  <c r="E168"/>
  <c r="F168"/>
  <c r="G168"/>
  <c r="H168"/>
  <c r="I168"/>
  <c r="J168"/>
  <c r="D169"/>
  <c r="E169"/>
  <c r="F169"/>
  <c r="G169"/>
  <c r="H169"/>
  <c r="I169"/>
  <c r="J169"/>
  <c r="D170"/>
  <c r="E170"/>
  <c r="F170"/>
  <c r="G170"/>
  <c r="H170"/>
  <c r="I170"/>
  <c r="J170"/>
  <c r="D171"/>
  <c r="E171"/>
  <c r="F171"/>
  <c r="G171"/>
  <c r="H171"/>
  <c r="I171"/>
  <c r="J171"/>
  <c r="D172"/>
  <c r="E172"/>
  <c r="F172"/>
  <c r="G172"/>
  <c r="H172"/>
  <c r="I172"/>
  <c r="J172"/>
  <c r="D173"/>
  <c r="E173"/>
  <c r="F173"/>
  <c r="G173"/>
  <c r="H173"/>
  <c r="I173"/>
  <c r="J173"/>
  <c r="D174"/>
  <c r="E174"/>
  <c r="F174"/>
  <c r="G174"/>
  <c r="H174"/>
  <c r="I174"/>
  <c r="J174"/>
  <c r="D175"/>
  <c r="E175"/>
  <c r="F175"/>
  <c r="G175"/>
  <c r="H175"/>
  <c r="I175"/>
  <c r="J175"/>
  <c r="D176"/>
  <c r="E176"/>
  <c r="F176"/>
  <c r="G176"/>
  <c r="H176"/>
  <c r="I176"/>
  <c r="J176"/>
  <c r="D177"/>
  <c r="E177"/>
  <c r="F177"/>
  <c r="G177"/>
  <c r="H177"/>
  <c r="I177"/>
  <c r="J177"/>
  <c r="D178"/>
  <c r="E178"/>
  <c r="F178"/>
  <c r="G178"/>
  <c r="H178"/>
  <c r="I178"/>
  <c r="J178"/>
  <c r="D179"/>
  <c r="E179"/>
  <c r="F179"/>
  <c r="G179"/>
  <c r="H179"/>
  <c r="I179"/>
  <c r="J179"/>
  <c r="D180"/>
  <c r="E180"/>
  <c r="F180"/>
  <c r="G180"/>
  <c r="H180"/>
  <c r="I180"/>
  <c r="J180"/>
  <c r="D181"/>
  <c r="E181"/>
  <c r="F181"/>
  <c r="G181"/>
  <c r="H181"/>
  <c r="I181"/>
  <c r="J181"/>
  <c r="D182"/>
  <c r="E182"/>
  <c r="F182"/>
  <c r="G182"/>
  <c r="H182"/>
  <c r="I182"/>
  <c r="J182"/>
  <c r="D183"/>
  <c r="E183"/>
  <c r="F183"/>
  <c r="G183"/>
  <c r="H183"/>
  <c r="I183"/>
  <c r="J183"/>
  <c r="D184"/>
  <c r="E184"/>
  <c r="F184"/>
  <c r="G184"/>
  <c r="H184"/>
  <c r="I184"/>
  <c r="J184"/>
  <c r="D185"/>
  <c r="E185"/>
  <c r="F185"/>
  <c r="G185"/>
  <c r="H185"/>
  <c r="I185"/>
  <c r="J185"/>
  <c r="D186"/>
  <c r="E186"/>
  <c r="F186"/>
  <c r="G186"/>
  <c r="H186"/>
  <c r="I186"/>
  <c r="J186"/>
  <c r="D187"/>
  <c r="E187"/>
  <c r="F187"/>
  <c r="G187"/>
  <c r="H187"/>
  <c r="I187"/>
  <c r="J187"/>
  <c r="D188"/>
  <c r="E188"/>
  <c r="F188"/>
  <c r="G188"/>
  <c r="H188"/>
  <c r="I188"/>
  <c r="J188"/>
  <c r="D189"/>
  <c r="E189"/>
  <c r="F189"/>
  <c r="G189"/>
  <c r="H189"/>
  <c r="I189"/>
  <c r="J189"/>
  <c r="D190"/>
  <c r="E190"/>
  <c r="F190"/>
  <c r="G190"/>
  <c r="H190"/>
  <c r="I190"/>
  <c r="J190"/>
  <c r="D191"/>
  <c r="E191"/>
  <c r="F191"/>
  <c r="G191"/>
  <c r="H191"/>
  <c r="I191"/>
  <c r="J191"/>
  <c r="D192"/>
  <c r="E192"/>
  <c r="F192"/>
  <c r="G192"/>
  <c r="H192"/>
  <c r="I192"/>
  <c r="J192"/>
  <c r="D193"/>
  <c r="E193"/>
  <c r="F193"/>
  <c r="G193"/>
  <c r="H193"/>
  <c r="I193"/>
  <c r="J193"/>
  <c r="D194"/>
  <c r="E194"/>
  <c r="F194"/>
  <c r="G194"/>
  <c r="H194"/>
  <c r="I194"/>
  <c r="J194"/>
  <c r="D195"/>
  <c r="E195"/>
  <c r="F195"/>
  <c r="G195"/>
  <c r="H195"/>
  <c r="I195"/>
  <c r="J195"/>
  <c r="D196"/>
  <c r="E196"/>
  <c r="F196"/>
  <c r="G196"/>
  <c r="H196"/>
  <c r="I196"/>
  <c r="J196"/>
  <c r="D197"/>
  <c r="E197"/>
  <c r="F197"/>
  <c r="G197"/>
  <c r="H197"/>
  <c r="I197"/>
  <c r="J197"/>
  <c r="D198"/>
  <c r="E198"/>
  <c r="F198"/>
  <c r="G198"/>
  <c r="H198"/>
  <c r="I198"/>
  <c r="J198"/>
  <c r="D199"/>
  <c r="E199"/>
  <c r="F199"/>
  <c r="G199"/>
  <c r="H199"/>
  <c r="I199"/>
  <c r="J199"/>
  <c r="D200"/>
  <c r="E200"/>
  <c r="F200"/>
  <c r="G200"/>
  <c r="H200"/>
  <c r="I200"/>
  <c r="J200"/>
  <c r="D201"/>
  <c r="E201"/>
  <c r="F201"/>
  <c r="G201"/>
  <c r="H201"/>
  <c r="I201"/>
  <c r="J201"/>
  <c r="D202"/>
  <c r="E202"/>
  <c r="F202"/>
  <c r="G202"/>
  <c r="H202"/>
  <c r="I202"/>
  <c r="J202"/>
  <c r="D203"/>
  <c r="E203"/>
  <c r="F203"/>
  <c r="G203"/>
  <c r="H203"/>
  <c r="I203"/>
  <c r="J203"/>
  <c r="D204"/>
  <c r="E204"/>
  <c r="F204"/>
  <c r="G204"/>
  <c r="H204"/>
  <c r="I204"/>
  <c r="J204"/>
  <c r="D205"/>
  <c r="E205"/>
  <c r="F205"/>
  <c r="G205"/>
  <c r="H205"/>
  <c r="I205"/>
  <c r="J205"/>
  <c r="D206"/>
  <c r="E206"/>
  <c r="F206"/>
  <c r="G206"/>
  <c r="H206"/>
  <c r="I206"/>
  <c r="J206"/>
  <c r="D207"/>
  <c r="E207"/>
  <c r="F207"/>
  <c r="G207"/>
  <c r="H207"/>
  <c r="I207"/>
  <c r="J207"/>
  <c r="D208"/>
  <c r="E208"/>
  <c r="F208"/>
  <c r="G208"/>
  <c r="H208"/>
  <c r="I208"/>
  <c r="J208"/>
  <c r="D209"/>
  <c r="E209"/>
  <c r="F209"/>
  <c r="G209"/>
  <c r="H209"/>
  <c r="I209"/>
  <c r="J209"/>
  <c r="D210"/>
  <c r="E210"/>
  <c r="F210"/>
  <c r="G210"/>
  <c r="H210"/>
  <c r="I210"/>
  <c r="J210"/>
  <c r="D211"/>
  <c r="E211"/>
  <c r="F211"/>
  <c r="G211"/>
  <c r="H211"/>
  <c r="I211"/>
  <c r="J211"/>
  <c r="D212"/>
  <c r="E212"/>
  <c r="F212"/>
  <c r="G212"/>
  <c r="H212"/>
  <c r="I212"/>
  <c r="J212"/>
  <c r="D213"/>
  <c r="E213"/>
  <c r="F213"/>
  <c r="G213"/>
  <c r="H213"/>
  <c r="I213"/>
  <c r="J213"/>
  <c r="D214"/>
  <c r="E214"/>
  <c r="F214"/>
  <c r="G214"/>
  <c r="H214"/>
  <c r="I214"/>
  <c r="J214"/>
  <c r="D215"/>
  <c r="E215"/>
  <c r="F215"/>
  <c r="G215"/>
  <c r="H215"/>
  <c r="I215"/>
  <c r="J215"/>
  <c r="D216"/>
  <c r="E216"/>
  <c r="F216"/>
  <c r="G216"/>
  <c r="H216"/>
  <c r="I216"/>
  <c r="J216"/>
  <c r="D217"/>
  <c r="E217"/>
  <c r="F217"/>
  <c r="G217"/>
  <c r="H217"/>
  <c r="I217"/>
  <c r="J217"/>
  <c r="D218"/>
  <c r="E218"/>
  <c r="F218"/>
  <c r="G218"/>
  <c r="H218"/>
  <c r="I218"/>
  <c r="J218"/>
  <c r="D219"/>
  <c r="E219"/>
  <c r="F219"/>
  <c r="G219"/>
  <c r="H219"/>
  <c r="I219"/>
  <c r="J219"/>
  <c r="D220"/>
  <c r="E220"/>
  <c r="F220"/>
  <c r="G220"/>
  <c r="H220"/>
  <c r="I220"/>
  <c r="J220"/>
  <c r="D221"/>
  <c r="E221"/>
  <c r="F221"/>
  <c r="G221"/>
  <c r="H221"/>
  <c r="I221"/>
  <c r="J221"/>
  <c r="D222"/>
  <c r="E222"/>
  <c r="F222"/>
  <c r="G222"/>
  <c r="H222"/>
  <c r="I222"/>
  <c r="J222"/>
  <c r="D223"/>
  <c r="E223"/>
  <c r="F223"/>
  <c r="G223"/>
  <c r="H223"/>
  <c r="I223"/>
  <c r="J223"/>
  <c r="D224"/>
  <c r="E224"/>
  <c r="F224"/>
  <c r="G224"/>
  <c r="H224"/>
  <c r="I224"/>
  <c r="J224"/>
  <c r="D225"/>
  <c r="E225"/>
  <c r="F225"/>
  <c r="G225"/>
  <c r="H225"/>
  <c r="I225"/>
  <c r="J225"/>
  <c r="D226"/>
  <c r="E226"/>
  <c r="F226"/>
  <c r="G226"/>
  <c r="H226"/>
  <c r="I226"/>
  <c r="J226"/>
  <c r="D227"/>
  <c r="E227"/>
  <c r="F227"/>
  <c r="G227"/>
  <c r="H227"/>
  <c r="I227"/>
  <c r="J227"/>
  <c r="D228"/>
  <c r="E228"/>
  <c r="F228"/>
  <c r="G228"/>
  <c r="H228"/>
  <c r="I228"/>
  <c r="J228"/>
  <c r="D229"/>
  <c r="E229"/>
  <c r="F229"/>
  <c r="G229"/>
  <c r="H229"/>
  <c r="I229"/>
  <c r="J229"/>
  <c r="D230"/>
  <c r="E230"/>
  <c r="F230"/>
  <c r="G230"/>
  <c r="H230"/>
  <c r="I230"/>
  <c r="J230"/>
  <c r="D231"/>
  <c r="E231"/>
  <c r="F231"/>
  <c r="G231"/>
  <c r="H231"/>
  <c r="I231"/>
  <c r="J231"/>
  <c r="D232"/>
  <c r="E232"/>
  <c r="F232"/>
  <c r="G232"/>
  <c r="H232"/>
  <c r="I232"/>
  <c r="J232"/>
  <c r="D233"/>
  <c r="E233"/>
  <c r="F233"/>
  <c r="G233"/>
  <c r="H233"/>
  <c r="I233"/>
  <c r="J233"/>
  <c r="D234"/>
  <c r="E234"/>
  <c r="F234"/>
  <c r="G234"/>
  <c r="H234"/>
  <c r="I234"/>
  <c r="J234"/>
  <c r="D235"/>
  <c r="E235"/>
  <c r="F235"/>
  <c r="G235"/>
  <c r="H235"/>
  <c r="I235"/>
  <c r="J235"/>
  <c r="D236"/>
  <c r="E236"/>
  <c r="F236"/>
  <c r="G236"/>
  <c r="H236"/>
  <c r="I236"/>
  <c r="J236"/>
  <c r="D237"/>
  <c r="E237"/>
  <c r="F237"/>
  <c r="G237"/>
  <c r="H237"/>
  <c r="I237"/>
  <c r="J237"/>
  <c r="D238"/>
  <c r="E238"/>
  <c r="F238"/>
  <c r="G238"/>
  <c r="H238"/>
  <c r="I238"/>
  <c r="J238"/>
  <c r="D239"/>
  <c r="E239"/>
  <c r="F239"/>
  <c r="G239"/>
  <c r="H239"/>
  <c r="I239"/>
  <c r="J239"/>
  <c r="D240"/>
  <c r="E240"/>
  <c r="F240"/>
  <c r="G240"/>
  <c r="H240"/>
  <c r="I240"/>
  <c r="J240"/>
  <c r="D241"/>
  <c r="E241"/>
  <c r="F241"/>
  <c r="G241"/>
  <c r="H241"/>
  <c r="I241"/>
  <c r="J241"/>
  <c r="D242"/>
  <c r="E242"/>
  <c r="F242"/>
  <c r="G242"/>
  <c r="H242"/>
  <c r="I242"/>
  <c r="J242"/>
  <c r="D243"/>
  <c r="E243"/>
  <c r="F243"/>
  <c r="G243"/>
  <c r="H243"/>
  <c r="I243"/>
  <c r="J243"/>
  <c r="D244"/>
  <c r="E244"/>
  <c r="F244"/>
  <c r="G244"/>
  <c r="H244"/>
  <c r="I244"/>
  <c r="J244"/>
  <c r="D245"/>
  <c r="E245"/>
  <c r="F245"/>
  <c r="G245"/>
  <c r="H245"/>
  <c r="I245"/>
  <c r="J245"/>
  <c r="D246"/>
  <c r="E246"/>
  <c r="F246"/>
  <c r="G246"/>
  <c r="H246"/>
  <c r="I246"/>
  <c r="J246"/>
  <c r="D247"/>
  <c r="E247"/>
  <c r="F247"/>
  <c r="G247"/>
  <c r="H247"/>
  <c r="I247"/>
  <c r="J247"/>
  <c r="D248"/>
  <c r="E248"/>
  <c r="F248"/>
  <c r="G248"/>
  <c r="H248"/>
  <c r="I248"/>
  <c r="J248"/>
  <c r="D249"/>
  <c r="E249"/>
  <c r="F249"/>
  <c r="G249"/>
  <c r="H249"/>
  <c r="I249"/>
  <c r="J249"/>
  <c r="D250"/>
  <c r="E250"/>
  <c r="F250"/>
  <c r="G250"/>
  <c r="H250"/>
  <c r="I250"/>
  <c r="J250"/>
  <c r="D251"/>
  <c r="E251"/>
  <c r="F251"/>
  <c r="G251"/>
  <c r="H251"/>
  <c r="I251"/>
  <c r="J251"/>
  <c r="D252"/>
  <c r="E252"/>
  <c r="F252"/>
  <c r="G252"/>
  <c r="H252"/>
  <c r="I252"/>
  <c r="J252"/>
  <c r="D253"/>
  <c r="E253"/>
  <c r="F253"/>
  <c r="G253"/>
  <c r="H253"/>
  <c r="I253"/>
  <c r="J253"/>
  <c r="D254"/>
  <c r="E254"/>
  <c r="F254"/>
  <c r="G254"/>
  <c r="H254"/>
  <c r="I254"/>
  <c r="J254"/>
  <c r="D255"/>
  <c r="E255"/>
  <c r="F255"/>
  <c r="G255"/>
  <c r="H255"/>
  <c r="I255"/>
  <c r="J255"/>
  <c r="D256"/>
  <c r="E256"/>
  <c r="F256"/>
  <c r="G256"/>
  <c r="H256"/>
  <c r="I256"/>
  <c r="J256"/>
  <c r="D257"/>
  <c r="E257"/>
  <c r="F257"/>
  <c r="G257"/>
  <c r="H257"/>
  <c r="I257"/>
  <c r="J257"/>
  <c r="D258"/>
  <c r="E258"/>
  <c r="F258"/>
  <c r="G258"/>
  <c r="H258"/>
  <c r="I258"/>
  <c r="J258"/>
  <c r="D259"/>
  <c r="E259"/>
  <c r="F259"/>
  <c r="G259"/>
  <c r="H259"/>
  <c r="I259"/>
  <c r="J259"/>
  <c r="D260"/>
  <c r="E260"/>
  <c r="F260"/>
  <c r="G260"/>
  <c r="H260"/>
  <c r="I260"/>
  <c r="J260"/>
  <c r="D261"/>
  <c r="E261"/>
  <c r="F261"/>
  <c r="G261"/>
  <c r="H261"/>
  <c r="I261"/>
  <c r="J261"/>
  <c r="D262"/>
  <c r="E262"/>
  <c r="F262"/>
  <c r="G262"/>
  <c r="H262"/>
  <c r="I262"/>
  <c r="J262"/>
  <c r="D263"/>
  <c r="E263"/>
  <c r="F263"/>
  <c r="G263"/>
  <c r="H263"/>
  <c r="I263"/>
  <c r="J263"/>
  <c r="D264"/>
  <c r="E264"/>
  <c r="F264"/>
  <c r="G264"/>
  <c r="H264"/>
  <c r="I264"/>
  <c r="J264"/>
  <c r="D265"/>
  <c r="E265"/>
  <c r="F265"/>
  <c r="G265"/>
  <c r="H265"/>
  <c r="I265"/>
  <c r="J265"/>
  <c r="D266"/>
  <c r="E266"/>
  <c r="F266"/>
  <c r="G266"/>
  <c r="H266"/>
  <c r="I266"/>
  <c r="J266"/>
  <c r="D267"/>
  <c r="E267"/>
  <c r="F267"/>
  <c r="G267"/>
  <c r="H267"/>
  <c r="I267"/>
  <c r="J267"/>
  <c r="D268"/>
  <c r="E268"/>
  <c r="F268"/>
  <c r="G268"/>
  <c r="H268"/>
  <c r="I268"/>
  <c r="J268"/>
  <c r="D269"/>
  <c r="E269"/>
  <c r="F269"/>
  <c r="G269"/>
  <c r="H269"/>
  <c r="I269"/>
  <c r="J269"/>
  <c r="D270"/>
  <c r="E270"/>
  <c r="F270"/>
  <c r="G270"/>
  <c r="H270"/>
  <c r="I270"/>
  <c r="J270"/>
  <c r="D271"/>
  <c r="E271"/>
  <c r="F271"/>
  <c r="G271"/>
  <c r="H271"/>
  <c r="I271"/>
  <c r="J271"/>
  <c r="D272"/>
  <c r="E272"/>
  <c r="F272"/>
  <c r="G272"/>
  <c r="H272"/>
  <c r="I272"/>
  <c r="J272"/>
  <c r="D273"/>
  <c r="E273"/>
  <c r="F273"/>
  <c r="G273"/>
  <c r="H273"/>
  <c r="I273"/>
  <c r="J273"/>
  <c r="D274"/>
  <c r="E274"/>
  <c r="F274"/>
  <c r="G274"/>
  <c r="H274"/>
  <c r="I274"/>
  <c r="J274"/>
  <c r="D275"/>
  <c r="E275"/>
  <c r="F275"/>
  <c r="G275"/>
  <c r="H275"/>
  <c r="I275"/>
  <c r="J275"/>
  <c r="D276"/>
  <c r="E276"/>
  <c r="F276"/>
  <c r="G276"/>
  <c r="H276"/>
  <c r="I276"/>
  <c r="J276"/>
  <c r="D277"/>
  <c r="E277"/>
  <c r="F277"/>
  <c r="G277"/>
  <c r="H277"/>
  <c r="I277"/>
  <c r="J277"/>
  <c r="D278"/>
  <c r="E278"/>
  <c r="F278"/>
  <c r="G278"/>
  <c r="H278"/>
  <c r="I278"/>
  <c r="J278"/>
  <c r="D279"/>
  <c r="E279"/>
  <c r="F279"/>
  <c r="G279"/>
  <c r="H279"/>
  <c r="I279"/>
  <c r="J279"/>
  <c r="D280"/>
  <c r="E280"/>
  <c r="F280"/>
  <c r="G280"/>
  <c r="H280"/>
  <c r="I280"/>
  <c r="J280"/>
  <c r="D281"/>
  <c r="E281"/>
  <c r="F281"/>
  <c r="G281"/>
  <c r="H281"/>
  <c r="I281"/>
  <c r="J281"/>
  <c r="D282"/>
  <c r="E282"/>
  <c r="F282"/>
  <c r="G282"/>
  <c r="H282"/>
  <c r="I282"/>
  <c r="J282"/>
  <c r="D283"/>
  <c r="E283"/>
  <c r="F283"/>
  <c r="G283"/>
  <c r="H283"/>
  <c r="I283"/>
  <c r="J283"/>
  <c r="D284"/>
  <c r="E284"/>
  <c r="F284"/>
  <c r="G284"/>
  <c r="H284"/>
  <c r="I284"/>
  <c r="J284"/>
  <c r="D285"/>
  <c r="E285"/>
  <c r="F285"/>
  <c r="G285"/>
  <c r="H285"/>
  <c r="I285"/>
  <c r="J285"/>
  <c r="D286"/>
  <c r="E286"/>
  <c r="F286"/>
  <c r="G286"/>
  <c r="H286"/>
  <c r="I286"/>
  <c r="J286"/>
  <c r="D287"/>
  <c r="E287"/>
  <c r="F287"/>
  <c r="G287"/>
  <c r="H287"/>
  <c r="I287"/>
  <c r="J287"/>
  <c r="D288"/>
  <c r="E288"/>
  <c r="F288"/>
  <c r="G288"/>
  <c r="H288"/>
  <c r="I288"/>
  <c r="J288"/>
  <c r="D289"/>
  <c r="E289"/>
  <c r="F289"/>
  <c r="G289"/>
  <c r="H289"/>
  <c r="I289"/>
  <c r="J289"/>
  <c r="D290"/>
  <c r="E290"/>
  <c r="F290"/>
  <c r="G290"/>
  <c r="H290"/>
  <c r="I290"/>
  <c r="J290"/>
  <c r="D291"/>
  <c r="E291"/>
  <c r="F291"/>
  <c r="G291"/>
  <c r="H291"/>
  <c r="I291"/>
  <c r="J291"/>
  <c r="D292"/>
  <c r="E292"/>
  <c r="F292"/>
  <c r="G292"/>
  <c r="H292"/>
  <c r="I292"/>
  <c r="J292"/>
  <c r="D293"/>
  <c r="E293"/>
  <c r="F293"/>
  <c r="G293"/>
  <c r="H293"/>
  <c r="I293"/>
  <c r="J293"/>
  <c r="D294"/>
  <c r="E294"/>
  <c r="F294"/>
  <c r="G294"/>
  <c r="H294"/>
  <c r="I294"/>
  <c r="J294"/>
  <c r="D295"/>
  <c r="E295"/>
  <c r="F295"/>
  <c r="G295"/>
  <c r="H295"/>
  <c r="I295"/>
  <c r="J295"/>
  <c r="D296"/>
  <c r="E296"/>
  <c r="F296"/>
  <c r="G296"/>
  <c r="H296"/>
  <c r="I296"/>
  <c r="J296"/>
  <c r="D297"/>
  <c r="E297"/>
  <c r="F297"/>
  <c r="G297"/>
  <c r="H297"/>
  <c r="I297"/>
  <c r="J297"/>
  <c r="D298"/>
  <c r="E298"/>
  <c r="F298"/>
  <c r="G298"/>
  <c r="H298"/>
  <c r="I298"/>
  <c r="J298"/>
  <c r="D299"/>
  <c r="E299"/>
  <c r="F299"/>
  <c r="G299"/>
  <c r="H299"/>
  <c r="I299"/>
  <c r="J299"/>
  <c r="D300"/>
  <c r="E300"/>
  <c r="F300"/>
  <c r="G300"/>
  <c r="H300"/>
  <c r="I300"/>
  <c r="J300"/>
  <c r="D301"/>
  <c r="E301"/>
  <c r="F301"/>
  <c r="G301"/>
  <c r="H301"/>
  <c r="I301"/>
  <c r="J301"/>
  <c r="D302"/>
  <c r="E302"/>
  <c r="F302"/>
  <c r="G302"/>
  <c r="H302"/>
  <c r="I302"/>
  <c r="J302"/>
  <c r="D303"/>
  <c r="E303"/>
  <c r="F303"/>
  <c r="G303"/>
  <c r="H303"/>
  <c r="I303"/>
  <c r="J303"/>
  <c r="D304"/>
  <c r="E304"/>
  <c r="F304"/>
  <c r="G304"/>
  <c r="H304"/>
  <c r="I304"/>
  <c r="J304"/>
  <c r="D305"/>
  <c r="E305"/>
  <c r="F305"/>
  <c r="G305"/>
  <c r="H305"/>
  <c r="I305"/>
  <c r="J305"/>
  <c r="D306"/>
  <c r="E306"/>
  <c r="F306"/>
  <c r="G306"/>
  <c r="H306"/>
  <c r="I306"/>
  <c r="J306"/>
  <c r="D307"/>
  <c r="E307"/>
  <c r="F307"/>
  <c r="G307"/>
  <c r="H307"/>
  <c r="I307"/>
  <c r="J307"/>
  <c r="D308"/>
  <c r="E308"/>
  <c r="F308"/>
  <c r="G308"/>
  <c r="H308"/>
  <c r="I308"/>
  <c r="J308"/>
  <c r="D309"/>
  <c r="E309"/>
  <c r="F309"/>
  <c r="G309"/>
  <c r="H309"/>
  <c r="I309"/>
  <c r="J309"/>
  <c r="D310"/>
  <c r="E310"/>
  <c r="F310"/>
  <c r="G310"/>
  <c r="H310"/>
  <c r="I310"/>
  <c r="J310"/>
  <c r="D311"/>
  <c r="E311"/>
  <c r="F311"/>
  <c r="G311"/>
  <c r="H311"/>
  <c r="I311"/>
  <c r="J311"/>
  <c r="D312"/>
  <c r="E312"/>
  <c r="F312"/>
  <c r="G312"/>
  <c r="H312"/>
  <c r="I312"/>
  <c r="J312"/>
  <c r="D313"/>
  <c r="E313"/>
  <c r="F313"/>
  <c r="G313"/>
  <c r="H313"/>
  <c r="I313"/>
  <c r="J313"/>
  <c r="D314"/>
  <c r="E314"/>
  <c r="F314"/>
  <c r="G314"/>
  <c r="H314"/>
  <c r="I314"/>
  <c r="J314"/>
  <c r="D315"/>
  <c r="E315"/>
  <c r="F315"/>
  <c r="G315"/>
  <c r="H315"/>
  <c r="I315"/>
  <c r="J315"/>
  <c r="D316"/>
  <c r="E316"/>
  <c r="F316"/>
  <c r="G316"/>
  <c r="H316"/>
  <c r="I316"/>
  <c r="J316"/>
  <c r="D317"/>
  <c r="E317"/>
  <c r="F317"/>
  <c r="G317"/>
  <c r="H317"/>
  <c r="I317"/>
  <c r="J317"/>
  <c r="D318"/>
  <c r="E318"/>
  <c r="F318"/>
  <c r="G318"/>
  <c r="H318"/>
  <c r="I318"/>
  <c r="J318"/>
  <c r="D319"/>
  <c r="E319"/>
  <c r="F319"/>
  <c r="G319"/>
  <c r="H319"/>
  <c r="I319"/>
  <c r="J319"/>
  <c r="D320"/>
  <c r="E320"/>
  <c r="F320"/>
  <c r="G320"/>
  <c r="H320"/>
  <c r="I320"/>
  <c r="J320"/>
  <c r="D321"/>
  <c r="E321"/>
  <c r="F321"/>
  <c r="G321"/>
  <c r="H321"/>
  <c r="I321"/>
  <c r="J321"/>
  <c r="D322"/>
  <c r="E322"/>
  <c r="F322"/>
  <c r="G322"/>
  <c r="H322"/>
  <c r="I322"/>
  <c r="J322"/>
  <c r="D323"/>
  <c r="E323"/>
  <c r="F323"/>
  <c r="G323"/>
  <c r="H323"/>
  <c r="I323"/>
  <c r="J323"/>
  <c r="D324"/>
  <c r="E324"/>
  <c r="F324"/>
  <c r="G324"/>
  <c r="H324"/>
  <c r="I324"/>
  <c r="J324"/>
  <c r="D325"/>
  <c r="E325"/>
  <c r="F325"/>
  <c r="G325"/>
  <c r="H325"/>
  <c r="I325"/>
  <c r="J325"/>
  <c r="D326"/>
  <c r="E326"/>
  <c r="F326"/>
  <c r="G326"/>
  <c r="H326"/>
  <c r="I326"/>
  <c r="J326"/>
  <c r="D327"/>
  <c r="E327"/>
  <c r="F327"/>
  <c r="G327"/>
  <c r="H327"/>
  <c r="I327"/>
  <c r="J327"/>
  <c r="D328"/>
  <c r="E328"/>
  <c r="F328"/>
  <c r="G328"/>
  <c r="H328"/>
  <c r="I328"/>
  <c r="J328"/>
  <c r="D329"/>
  <c r="E329"/>
  <c r="F329"/>
  <c r="G329"/>
  <c r="H329"/>
  <c r="I329"/>
  <c r="J329"/>
  <c r="D330"/>
  <c r="E330"/>
  <c r="F330"/>
  <c r="G330"/>
  <c r="H330"/>
  <c r="I330"/>
  <c r="J330"/>
  <c r="D331"/>
  <c r="E331"/>
  <c r="F331"/>
  <c r="G331"/>
  <c r="H331"/>
  <c r="I331"/>
  <c r="J331"/>
  <c r="D332"/>
  <c r="E332"/>
  <c r="F332"/>
  <c r="G332"/>
  <c r="H332"/>
  <c r="I332"/>
  <c r="J332"/>
  <c r="D333"/>
  <c r="E333"/>
  <c r="F333"/>
  <c r="G333"/>
  <c r="H333"/>
  <c r="I333"/>
  <c r="J333"/>
  <c r="D334"/>
  <c r="E334"/>
  <c r="F334"/>
  <c r="G334"/>
  <c r="H334"/>
  <c r="I334"/>
  <c r="J334"/>
  <c r="D335"/>
  <c r="E335"/>
  <c r="F335"/>
  <c r="G335"/>
  <c r="H335"/>
  <c r="I335"/>
  <c r="J335"/>
  <c r="D336"/>
  <c r="E336"/>
  <c r="F336"/>
  <c r="G336"/>
  <c r="H336"/>
  <c r="I336"/>
  <c r="J336"/>
  <c r="D337"/>
  <c r="E337"/>
  <c r="F337"/>
  <c r="G337"/>
  <c r="H337"/>
  <c r="I337"/>
  <c r="J337"/>
  <c r="D338"/>
  <c r="E338"/>
  <c r="F338"/>
  <c r="G338"/>
  <c r="H338"/>
  <c r="I338"/>
  <c r="J338"/>
  <c r="D339"/>
  <c r="E339"/>
  <c r="F339"/>
  <c r="G339"/>
  <c r="H339"/>
  <c r="I339"/>
  <c r="J339"/>
  <c r="D340"/>
  <c r="E340"/>
  <c r="F340"/>
  <c r="G340"/>
  <c r="H340"/>
  <c r="I340"/>
  <c r="J340"/>
  <c r="D341"/>
  <c r="E341"/>
  <c r="F341"/>
  <c r="G341"/>
  <c r="H341"/>
  <c r="I341"/>
  <c r="J341"/>
  <c r="D342"/>
  <c r="E342"/>
  <c r="F342"/>
  <c r="G342"/>
  <c r="H342"/>
  <c r="I342"/>
  <c r="J342"/>
  <c r="D343"/>
  <c r="E343"/>
  <c r="F343"/>
  <c r="G343"/>
  <c r="H343"/>
  <c r="I343"/>
  <c r="J343"/>
  <c r="D344"/>
  <c r="E344"/>
  <c r="F344"/>
  <c r="G344"/>
  <c r="H344"/>
  <c r="I344"/>
  <c r="J344"/>
  <c r="D345"/>
  <c r="E345"/>
  <c r="F345"/>
  <c r="G345"/>
  <c r="H345"/>
  <c r="I345"/>
  <c r="J345"/>
  <c r="D346"/>
  <c r="E346"/>
  <c r="F346"/>
  <c r="G346"/>
  <c r="H346"/>
  <c r="I346"/>
  <c r="J346"/>
  <c r="D347"/>
  <c r="E347"/>
  <c r="F347"/>
  <c r="G347"/>
  <c r="H347"/>
  <c r="I347"/>
  <c r="J347"/>
  <c r="D348"/>
  <c r="E348"/>
  <c r="F348"/>
  <c r="G348"/>
  <c r="H348"/>
  <c r="I348"/>
  <c r="J348"/>
  <c r="D349"/>
  <c r="E349"/>
  <c r="F349"/>
  <c r="G349"/>
  <c r="H349"/>
  <c r="I349"/>
  <c r="J349"/>
  <c r="D350"/>
  <c r="E350"/>
  <c r="F350"/>
  <c r="G350"/>
  <c r="H350"/>
  <c r="I350"/>
  <c r="J350"/>
  <c r="D351"/>
  <c r="E351"/>
  <c r="F351"/>
  <c r="G351"/>
  <c r="H351"/>
  <c r="I351"/>
  <c r="J351"/>
  <c r="D352"/>
  <c r="E352"/>
  <c r="F352"/>
  <c r="G352"/>
  <c r="H352"/>
  <c r="I352"/>
  <c r="J352"/>
  <c r="D353"/>
  <c r="E353"/>
  <c r="F353"/>
  <c r="G353"/>
  <c r="H353"/>
  <c r="I353"/>
  <c r="J353"/>
  <c r="D354"/>
  <c r="E354"/>
  <c r="F354"/>
  <c r="G354"/>
  <c r="H354"/>
  <c r="I354"/>
  <c r="J354"/>
  <c r="D355"/>
  <c r="E355"/>
  <c r="F355"/>
  <c r="G355"/>
  <c r="H355"/>
  <c r="I355"/>
  <c r="J355"/>
  <c r="D356"/>
  <c r="E356"/>
  <c r="F356"/>
  <c r="G356"/>
  <c r="H356"/>
  <c r="I356"/>
  <c r="J356"/>
  <c r="D357"/>
  <c r="E357"/>
  <c r="F357"/>
  <c r="G357"/>
  <c r="H357"/>
  <c r="I357"/>
  <c r="J357"/>
  <c r="D358"/>
  <c r="E358"/>
  <c r="F358"/>
  <c r="G358"/>
  <c r="H358"/>
  <c r="I358"/>
  <c r="J358"/>
  <c r="D359"/>
  <c r="E359"/>
  <c r="F359"/>
  <c r="G359"/>
  <c r="H359"/>
  <c r="I359"/>
  <c r="J359"/>
  <c r="D360"/>
  <c r="E360"/>
  <c r="F360"/>
  <c r="G360"/>
  <c r="H360"/>
  <c r="I360"/>
  <c r="J360"/>
  <c r="D361"/>
  <c r="E361"/>
  <c r="F361"/>
  <c r="G361"/>
  <c r="H361"/>
  <c r="I361"/>
  <c r="J361"/>
  <c r="D362"/>
  <c r="E362"/>
  <c r="F362"/>
  <c r="G362"/>
  <c r="H362"/>
  <c r="I362"/>
  <c r="J362"/>
  <c r="D363"/>
  <c r="E363"/>
  <c r="F363"/>
  <c r="G363"/>
  <c r="H363"/>
  <c r="I363"/>
  <c r="J363"/>
  <c r="D364"/>
  <c r="E364"/>
  <c r="F364"/>
  <c r="G364"/>
  <c r="H364"/>
  <c r="I364"/>
  <c r="J364"/>
  <c r="D365"/>
  <c r="E365"/>
  <c r="F365"/>
  <c r="G365"/>
  <c r="H365"/>
  <c r="I365"/>
  <c r="J365"/>
  <c r="D366"/>
  <c r="E366"/>
  <c r="F366"/>
  <c r="G366"/>
  <c r="H366"/>
  <c r="I366"/>
  <c r="J366"/>
  <c r="D367"/>
  <c r="E367"/>
  <c r="F367"/>
  <c r="G367"/>
  <c r="H367"/>
  <c r="I367"/>
  <c r="J367"/>
  <c r="D368"/>
  <c r="E368"/>
  <c r="F368"/>
  <c r="G368"/>
  <c r="H368"/>
  <c r="I368"/>
  <c r="J368"/>
  <c r="D369"/>
  <c r="E369"/>
  <c r="F369"/>
  <c r="G369"/>
  <c r="H369"/>
  <c r="I369"/>
  <c r="J369"/>
  <c r="D370"/>
  <c r="E370"/>
  <c r="F370"/>
  <c r="G370"/>
  <c r="H370"/>
  <c r="I370"/>
  <c r="J370"/>
  <c r="D371"/>
  <c r="E371"/>
  <c r="F371"/>
  <c r="G371"/>
  <c r="H371"/>
  <c r="I371"/>
  <c r="J371"/>
  <c r="D372"/>
  <c r="E372"/>
  <c r="F372"/>
  <c r="G372"/>
  <c r="H372"/>
  <c r="I372"/>
  <c r="J372"/>
  <c r="D373"/>
  <c r="E373"/>
  <c r="F373"/>
  <c r="G373"/>
  <c r="H373"/>
  <c r="I373"/>
  <c r="J373"/>
  <c r="D374"/>
  <c r="E374"/>
  <c r="F374"/>
  <c r="G374"/>
  <c r="H374"/>
  <c r="I374"/>
  <c r="J374"/>
  <c r="D375"/>
  <c r="E375"/>
  <c r="F375"/>
  <c r="G375"/>
  <c r="H375"/>
  <c r="I375"/>
  <c r="J375"/>
  <c r="D376"/>
  <c r="E376"/>
  <c r="F376"/>
  <c r="G376"/>
  <c r="H376"/>
  <c r="I376"/>
  <c r="J376"/>
  <c r="D377"/>
  <c r="E377"/>
  <c r="F377"/>
  <c r="G377"/>
  <c r="H377"/>
  <c r="I377"/>
  <c r="J377"/>
  <c r="D378"/>
  <c r="E378"/>
  <c r="F378"/>
  <c r="G378"/>
  <c r="H378"/>
  <c r="I378"/>
  <c r="J378"/>
  <c r="D379"/>
  <c r="E379"/>
  <c r="F379"/>
  <c r="G379"/>
  <c r="H379"/>
  <c r="I379"/>
  <c r="J379"/>
  <c r="D380"/>
  <c r="E380"/>
  <c r="F380"/>
  <c r="G380"/>
  <c r="H380"/>
  <c r="I380"/>
  <c r="J380"/>
  <c r="D381"/>
  <c r="E381"/>
  <c r="F381"/>
  <c r="G381"/>
  <c r="H381"/>
  <c r="I381"/>
  <c r="J381"/>
  <c r="D382"/>
  <c r="E382"/>
  <c r="F382"/>
  <c r="G382"/>
  <c r="H382"/>
  <c r="I382"/>
  <c r="J382"/>
  <c r="D383"/>
  <c r="E383"/>
  <c r="F383"/>
  <c r="G383"/>
  <c r="H383"/>
  <c r="I383"/>
  <c r="J383"/>
  <c r="D384"/>
  <c r="E384"/>
  <c r="F384"/>
  <c r="G384"/>
  <c r="H384"/>
  <c r="I384"/>
  <c r="J384"/>
  <c r="D385"/>
  <c r="E385"/>
  <c r="F385"/>
  <c r="G385"/>
  <c r="H385"/>
  <c r="I385"/>
  <c r="J385"/>
  <c r="D386"/>
  <c r="E386"/>
  <c r="F386"/>
  <c r="G386"/>
  <c r="H386"/>
  <c r="I386"/>
  <c r="J386"/>
  <c r="D387"/>
  <c r="E387"/>
  <c r="F387"/>
  <c r="G387"/>
  <c r="H387"/>
  <c r="I387"/>
  <c r="J387"/>
  <c r="D388"/>
  <c r="E388"/>
  <c r="F388"/>
  <c r="G388"/>
  <c r="H388"/>
  <c r="I388"/>
  <c r="J388"/>
  <c r="D389"/>
  <c r="E389"/>
  <c r="F389"/>
  <c r="G389"/>
  <c r="H389"/>
  <c r="I389"/>
  <c r="J389"/>
  <c r="D390"/>
  <c r="E390"/>
  <c r="F390"/>
  <c r="G390"/>
  <c r="H390"/>
  <c r="I390"/>
  <c r="J390"/>
  <c r="D391"/>
  <c r="E391"/>
  <c r="F391"/>
  <c r="G391"/>
  <c r="H391"/>
  <c r="I391"/>
  <c r="J391"/>
  <c r="D392"/>
  <c r="E392"/>
  <c r="F392"/>
  <c r="G392"/>
  <c r="H392"/>
  <c r="I392"/>
  <c r="J392"/>
  <c r="D393"/>
  <c r="E393"/>
  <c r="F393"/>
  <c r="G393"/>
  <c r="H393"/>
  <c r="I393"/>
  <c r="J393"/>
  <c r="D394"/>
  <c r="E394"/>
  <c r="F394"/>
  <c r="G394"/>
  <c r="H394"/>
  <c r="I394"/>
  <c r="J394"/>
  <c r="D395"/>
  <c r="E395"/>
  <c r="F395"/>
  <c r="G395"/>
  <c r="H395"/>
  <c r="I395"/>
  <c r="J395"/>
  <c r="D396"/>
  <c r="E396"/>
  <c r="F396"/>
  <c r="G396"/>
  <c r="H396"/>
  <c r="I396"/>
  <c r="J396"/>
  <c r="D397"/>
  <c r="E397"/>
  <c r="F397"/>
  <c r="G397"/>
  <c r="H397"/>
  <c r="I397"/>
  <c r="J397"/>
  <c r="D398"/>
  <c r="E398"/>
  <c r="F398"/>
  <c r="G398"/>
  <c r="H398"/>
  <c r="I398"/>
  <c r="J398"/>
  <c r="D399"/>
  <c r="E399"/>
  <c r="F399"/>
  <c r="G399"/>
  <c r="H399"/>
  <c r="I399"/>
  <c r="J399"/>
  <c r="D400"/>
  <c r="E400"/>
  <c r="F400"/>
  <c r="G400"/>
  <c r="H400"/>
  <c r="I400"/>
  <c r="J400"/>
  <c r="D401"/>
  <c r="E401"/>
  <c r="F401"/>
  <c r="G401"/>
  <c r="H401"/>
  <c r="I401"/>
  <c r="J401"/>
  <c r="D402"/>
  <c r="E402"/>
  <c r="F402"/>
  <c r="G402"/>
  <c r="H402"/>
  <c r="I402"/>
  <c r="J402"/>
  <c r="D403"/>
  <c r="E403"/>
  <c r="F403"/>
  <c r="G403"/>
  <c r="H403"/>
  <c r="I403"/>
  <c r="J403"/>
  <c r="D404"/>
  <c r="E404"/>
  <c r="F404"/>
  <c r="G404"/>
  <c r="H404"/>
  <c r="I404"/>
  <c r="J404"/>
  <c r="D405"/>
  <c r="E405"/>
  <c r="F405"/>
  <c r="G405"/>
  <c r="H405"/>
  <c r="I405"/>
  <c r="J405"/>
  <c r="D406"/>
  <c r="E406"/>
  <c r="F406"/>
  <c r="G406"/>
  <c r="H406"/>
  <c r="I406"/>
  <c r="J406"/>
  <c r="D407"/>
  <c r="E407"/>
  <c r="F407"/>
  <c r="G407"/>
  <c r="H407"/>
  <c r="I407"/>
  <c r="J407"/>
  <c r="D408"/>
  <c r="E408"/>
  <c r="F408"/>
  <c r="G408"/>
  <c r="H408"/>
  <c r="I408"/>
  <c r="J408"/>
  <c r="D409"/>
  <c r="E409"/>
  <c r="F409"/>
  <c r="G409"/>
  <c r="H409"/>
  <c r="I409"/>
  <c r="J409"/>
  <c r="D410"/>
  <c r="E410"/>
  <c r="F410"/>
  <c r="G410"/>
  <c r="H410"/>
  <c r="I410"/>
  <c r="J410"/>
  <c r="D411"/>
  <c r="E411"/>
  <c r="F411"/>
  <c r="G411"/>
  <c r="H411"/>
  <c r="I411"/>
  <c r="J411"/>
  <c r="D412"/>
  <c r="E412"/>
  <c r="F412"/>
  <c r="G412"/>
  <c r="H412"/>
  <c r="I412"/>
  <c r="J412"/>
  <c r="D413"/>
  <c r="E413"/>
  <c r="F413"/>
  <c r="G413"/>
  <c r="H413"/>
  <c r="I413"/>
  <c r="J413"/>
  <c r="D414"/>
  <c r="E414"/>
  <c r="F414"/>
  <c r="G414"/>
  <c r="H414"/>
  <c r="I414"/>
  <c r="J414"/>
  <c r="D415"/>
  <c r="E415"/>
  <c r="F415"/>
  <c r="G415"/>
  <c r="H415"/>
  <c r="I415"/>
  <c r="J415"/>
  <c r="D416"/>
  <c r="E416"/>
  <c r="F416"/>
  <c r="G416"/>
  <c r="H416"/>
  <c r="I416"/>
  <c r="J416"/>
  <c r="D417"/>
  <c r="E417"/>
  <c r="F417"/>
  <c r="G417"/>
  <c r="H417"/>
  <c r="I417"/>
  <c r="J417"/>
  <c r="D418"/>
  <c r="E418"/>
  <c r="F418"/>
  <c r="G418"/>
  <c r="H418"/>
  <c r="I418"/>
  <c r="J418"/>
  <c r="D419"/>
  <c r="E419"/>
  <c r="F419"/>
  <c r="G419"/>
  <c r="H419"/>
  <c r="I419"/>
  <c r="J419"/>
  <c r="D420"/>
  <c r="E420"/>
  <c r="F420"/>
  <c r="G420"/>
  <c r="H420"/>
  <c r="I420"/>
  <c r="J420"/>
  <c r="D421"/>
  <c r="E421"/>
  <c r="F421"/>
  <c r="G421"/>
  <c r="H421"/>
  <c r="I421"/>
  <c r="J421"/>
  <c r="D422"/>
  <c r="E422"/>
  <c r="F422"/>
  <c r="G422"/>
  <c r="H422"/>
  <c r="I422"/>
  <c r="J422"/>
  <c r="D423"/>
  <c r="E423"/>
  <c r="F423"/>
  <c r="G423"/>
  <c r="H423"/>
  <c r="I423"/>
  <c r="J423"/>
  <c r="D424"/>
  <c r="E424"/>
  <c r="F424"/>
  <c r="G424"/>
  <c r="H424"/>
  <c r="I424"/>
  <c r="J424"/>
  <c r="D425"/>
  <c r="E425"/>
  <c r="F425"/>
  <c r="G425"/>
  <c r="H425"/>
  <c r="I425"/>
  <c r="J425"/>
  <c r="D426"/>
  <c r="E426"/>
  <c r="F426"/>
  <c r="G426"/>
  <c r="H426"/>
  <c r="I426"/>
  <c r="J426"/>
  <c r="D427"/>
  <c r="E427"/>
  <c r="F427"/>
  <c r="G427"/>
  <c r="H427"/>
  <c r="I427"/>
  <c r="J427"/>
  <c r="D428"/>
  <c r="E428"/>
  <c r="F428"/>
  <c r="G428"/>
  <c r="H428"/>
  <c r="I428"/>
  <c r="J428"/>
  <c r="D429"/>
  <c r="E429"/>
  <c r="F429"/>
  <c r="G429"/>
  <c r="H429"/>
  <c r="I429"/>
  <c r="J429"/>
  <c r="D430"/>
  <c r="E430"/>
  <c r="F430"/>
  <c r="G430"/>
  <c r="H430"/>
  <c r="I430"/>
  <c r="J430"/>
  <c r="D431"/>
  <c r="E431"/>
  <c r="F431"/>
  <c r="G431"/>
  <c r="H431"/>
  <c r="I431"/>
  <c r="J431"/>
  <c r="D432"/>
  <c r="E432"/>
  <c r="F432"/>
  <c r="G432"/>
  <c r="H432"/>
  <c r="I432"/>
  <c r="J432"/>
  <c r="D433"/>
  <c r="E433"/>
  <c r="F433"/>
  <c r="G433"/>
  <c r="H433"/>
  <c r="I433"/>
  <c r="J433"/>
  <c r="D434"/>
  <c r="E434"/>
  <c r="F434"/>
  <c r="G434"/>
  <c r="H434"/>
  <c r="I434"/>
  <c r="J434"/>
  <c r="D435"/>
  <c r="E435"/>
  <c r="F435"/>
  <c r="G435"/>
  <c r="H435"/>
  <c r="I435"/>
  <c r="J435"/>
  <c r="D436"/>
  <c r="E436"/>
  <c r="F436"/>
  <c r="G436"/>
  <c r="H436"/>
  <c r="I436"/>
  <c r="J436"/>
  <c r="D437"/>
  <c r="E437"/>
  <c r="F437"/>
  <c r="G437"/>
  <c r="H437"/>
  <c r="I437"/>
  <c r="J437"/>
  <c r="D438"/>
  <c r="E438"/>
  <c r="F438"/>
  <c r="G438"/>
  <c r="H438"/>
  <c r="I438"/>
  <c r="J438"/>
  <c r="D439"/>
  <c r="E439"/>
  <c r="F439"/>
  <c r="G439"/>
  <c r="H439"/>
  <c r="I439"/>
  <c r="J439"/>
  <c r="D440"/>
  <c r="E440"/>
  <c r="F440"/>
  <c r="G440"/>
  <c r="H440"/>
  <c r="I440"/>
  <c r="J440"/>
  <c r="D441"/>
  <c r="E441"/>
  <c r="F441"/>
  <c r="G441"/>
  <c r="H441"/>
  <c r="I441"/>
  <c r="J441"/>
  <c r="D442"/>
  <c r="E442"/>
  <c r="F442"/>
  <c r="G442"/>
  <c r="H442"/>
  <c r="I442"/>
  <c r="J442"/>
  <c r="D443"/>
  <c r="E443"/>
  <c r="F443"/>
  <c r="G443"/>
  <c r="H443"/>
  <c r="I443"/>
  <c r="J443"/>
  <c r="D444"/>
  <c r="E444"/>
  <c r="F444"/>
  <c r="G444"/>
  <c r="H444"/>
  <c r="I444"/>
  <c r="J444"/>
  <c r="D445"/>
  <c r="E445"/>
  <c r="F445"/>
  <c r="G445"/>
  <c r="H445"/>
  <c r="I445"/>
  <c r="J445"/>
  <c r="D446"/>
  <c r="E446"/>
  <c r="F446"/>
  <c r="G446"/>
  <c r="H446"/>
  <c r="I446"/>
  <c r="J446"/>
  <c r="D447"/>
  <c r="E447"/>
  <c r="F447"/>
  <c r="G447"/>
  <c r="H447"/>
  <c r="I447"/>
  <c r="J447"/>
  <c r="D448"/>
  <c r="E448"/>
  <c r="F448"/>
  <c r="G448"/>
  <c r="H448"/>
  <c r="I448"/>
  <c r="J448"/>
  <c r="D449"/>
  <c r="E449"/>
  <c r="F449"/>
  <c r="G449"/>
  <c r="H449"/>
  <c r="I449"/>
  <c r="J449"/>
  <c r="D450"/>
  <c r="E450"/>
  <c r="F450"/>
  <c r="G450"/>
  <c r="H450"/>
  <c r="I450"/>
  <c r="J450"/>
  <c r="D451"/>
  <c r="E451"/>
  <c r="F451"/>
  <c r="G451"/>
  <c r="H451"/>
  <c r="I451"/>
  <c r="J451"/>
  <c r="D452"/>
  <c r="E452"/>
  <c r="F452"/>
  <c r="G452"/>
  <c r="H452"/>
  <c r="I452"/>
  <c r="J452"/>
  <c r="D453"/>
  <c r="E453"/>
  <c r="F453"/>
  <c r="G453"/>
  <c r="H453"/>
  <c r="I453"/>
  <c r="J453"/>
  <c r="D454"/>
  <c r="E454"/>
  <c r="F454"/>
  <c r="G454"/>
  <c r="H454"/>
  <c r="I454"/>
  <c r="J454"/>
  <c r="D455"/>
  <c r="E455"/>
  <c r="F455"/>
  <c r="G455"/>
  <c r="H455"/>
  <c r="I455"/>
  <c r="J455"/>
  <c r="D456"/>
  <c r="E456"/>
  <c r="F456"/>
  <c r="G456"/>
  <c r="H456"/>
  <c r="I456"/>
  <c r="J456"/>
  <c r="D457"/>
  <c r="E457"/>
  <c r="F457"/>
  <c r="G457"/>
  <c r="H457"/>
  <c r="I457"/>
  <c r="J457"/>
  <c r="D458"/>
  <c r="E458"/>
  <c r="F458"/>
  <c r="G458"/>
  <c r="H458"/>
  <c r="I458"/>
  <c r="J458"/>
  <c r="D459"/>
  <c r="E459"/>
  <c r="F459"/>
  <c r="G459"/>
  <c r="H459"/>
  <c r="I459"/>
  <c r="J459"/>
  <c r="D460"/>
  <c r="E460"/>
  <c r="F460"/>
  <c r="G460"/>
  <c r="H460"/>
  <c r="I460"/>
  <c r="J460"/>
  <c r="D461"/>
  <c r="E461"/>
  <c r="F461"/>
  <c r="G461"/>
  <c r="H461"/>
  <c r="I461"/>
  <c r="J461"/>
  <c r="D462"/>
  <c r="E462"/>
  <c r="F462"/>
  <c r="G462"/>
  <c r="H462"/>
  <c r="I462"/>
  <c r="J462"/>
  <c r="D463"/>
  <c r="E463"/>
  <c r="F463"/>
  <c r="G463"/>
  <c r="H463"/>
  <c r="I463"/>
  <c r="J463"/>
  <c r="D464"/>
  <c r="E464"/>
  <c r="F464"/>
  <c r="G464"/>
  <c r="H464"/>
  <c r="I464"/>
  <c r="J464"/>
  <c r="D465"/>
  <c r="E465"/>
  <c r="F465"/>
  <c r="G465"/>
  <c r="H465"/>
  <c r="I465"/>
  <c r="J465"/>
  <c r="D466"/>
  <c r="E466"/>
  <c r="F466"/>
  <c r="G466"/>
  <c r="H466"/>
  <c r="I466"/>
  <c r="J466"/>
  <c r="D467"/>
  <c r="E467"/>
  <c r="F467"/>
  <c r="G467"/>
  <c r="H467"/>
  <c r="I467"/>
  <c r="J467"/>
  <c r="D468"/>
  <c r="E468"/>
  <c r="F468"/>
  <c r="G468"/>
  <c r="H468"/>
  <c r="I468"/>
  <c r="J468"/>
  <c r="D469"/>
  <c r="E469"/>
  <c r="F469"/>
  <c r="G469"/>
  <c r="H469"/>
  <c r="I469"/>
  <c r="J469"/>
  <c r="D470"/>
  <c r="E470"/>
  <c r="F470"/>
  <c r="G470"/>
  <c r="H470"/>
  <c r="I470"/>
  <c r="J470"/>
  <c r="D471"/>
  <c r="E471"/>
  <c r="F471"/>
  <c r="G471"/>
  <c r="H471"/>
  <c r="I471"/>
  <c r="J471"/>
  <c r="D472"/>
  <c r="E472"/>
  <c r="F472"/>
  <c r="G472"/>
  <c r="H472"/>
  <c r="I472"/>
  <c r="J472"/>
  <c r="D473"/>
  <c r="E473"/>
  <c r="F473"/>
  <c r="G473"/>
  <c r="H473"/>
  <c r="I473"/>
  <c r="J473"/>
  <c r="D474"/>
  <c r="E474"/>
  <c r="F474"/>
  <c r="G474"/>
  <c r="H474"/>
  <c r="I474"/>
  <c r="J474"/>
  <c r="D475"/>
  <c r="E475"/>
  <c r="F475"/>
  <c r="G475"/>
  <c r="H475"/>
  <c r="I475"/>
  <c r="J475"/>
  <c r="D476"/>
  <c r="E476"/>
  <c r="F476"/>
  <c r="G476"/>
  <c r="H476"/>
  <c r="I476"/>
  <c r="J476"/>
  <c r="D477"/>
  <c r="E477"/>
  <c r="F477"/>
  <c r="G477"/>
  <c r="H477"/>
  <c r="I477"/>
  <c r="J477"/>
  <c r="D478"/>
  <c r="E478"/>
  <c r="F478"/>
  <c r="G478"/>
  <c r="H478"/>
  <c r="I478"/>
  <c r="J478"/>
  <c r="D479"/>
  <c r="E479"/>
  <c r="F479"/>
  <c r="G479"/>
  <c r="H479"/>
  <c r="I479"/>
  <c r="J479"/>
  <c r="D480"/>
  <c r="E480"/>
  <c r="F480"/>
  <c r="G480"/>
  <c r="H480"/>
  <c r="I480"/>
  <c r="J480"/>
  <c r="D481"/>
  <c r="E481"/>
  <c r="F481"/>
  <c r="G481"/>
  <c r="H481"/>
  <c r="I481"/>
  <c r="J481"/>
  <c r="D482"/>
  <c r="E482"/>
  <c r="F482"/>
  <c r="G482"/>
  <c r="H482"/>
  <c r="I482"/>
  <c r="J482"/>
  <c r="D483"/>
  <c r="E483"/>
  <c r="F483"/>
  <c r="G483"/>
  <c r="H483"/>
  <c r="I483"/>
  <c r="J483"/>
  <c r="D484"/>
  <c r="E484"/>
  <c r="F484"/>
  <c r="G484"/>
  <c r="H484"/>
  <c r="I484"/>
  <c r="J484"/>
  <c r="D485"/>
  <c r="E485"/>
  <c r="F485"/>
  <c r="G485"/>
  <c r="H485"/>
  <c r="I485"/>
  <c r="J485"/>
  <c r="D486"/>
  <c r="E486"/>
  <c r="F486"/>
  <c r="G486"/>
  <c r="H486"/>
  <c r="I486"/>
  <c r="J486"/>
  <c r="D487"/>
  <c r="E487"/>
  <c r="F487"/>
  <c r="G487"/>
  <c r="H487"/>
  <c r="I487"/>
  <c r="J487"/>
  <c r="D488"/>
  <c r="E488"/>
  <c r="F488"/>
  <c r="G488"/>
  <c r="H488"/>
  <c r="I488"/>
  <c r="J488"/>
  <c r="D489"/>
  <c r="E489"/>
  <c r="F489"/>
  <c r="G489"/>
  <c r="H489"/>
  <c r="I489"/>
  <c r="J489"/>
  <c r="D490"/>
  <c r="E490"/>
  <c r="F490"/>
  <c r="G490"/>
  <c r="H490"/>
  <c r="I490"/>
  <c r="J490"/>
  <c r="D491"/>
  <c r="E491"/>
  <c r="F491"/>
  <c r="G491"/>
  <c r="H491"/>
  <c r="I491"/>
  <c r="J491"/>
  <c r="D492"/>
  <c r="E492"/>
  <c r="F492"/>
  <c r="G492"/>
  <c r="H492"/>
  <c r="I492"/>
  <c r="J492"/>
  <c r="D493"/>
  <c r="E493"/>
  <c r="F493"/>
  <c r="G493"/>
  <c r="H493"/>
  <c r="I493"/>
  <c r="J493"/>
  <c r="D494"/>
  <c r="E494"/>
  <c r="F494"/>
  <c r="G494"/>
  <c r="H494"/>
  <c r="I494"/>
  <c r="J494"/>
  <c r="D495"/>
  <c r="E495"/>
  <c r="F495"/>
  <c r="G495"/>
  <c r="H495"/>
  <c r="I495"/>
  <c r="J495"/>
  <c r="D496"/>
  <c r="E496"/>
  <c r="F496"/>
  <c r="G496"/>
  <c r="H496"/>
  <c r="I496"/>
  <c r="J496"/>
  <c r="D497"/>
  <c r="E497"/>
  <c r="F497"/>
  <c r="G497"/>
  <c r="H497"/>
  <c r="I497"/>
  <c r="J497"/>
  <c r="D498"/>
  <c r="E498"/>
  <c r="F498"/>
  <c r="G498"/>
  <c r="H498"/>
  <c r="I498"/>
  <c r="J498"/>
  <c r="D499"/>
  <c r="E499"/>
  <c r="F499"/>
  <c r="G499"/>
  <c r="H499"/>
  <c r="I499"/>
  <c r="J499"/>
  <c r="D500"/>
  <c r="E500"/>
  <c r="F500"/>
  <c r="G500"/>
  <c r="H500"/>
  <c r="I500"/>
  <c r="J500"/>
  <c r="D501"/>
  <c r="E501"/>
  <c r="F501"/>
  <c r="G501"/>
  <c r="H501"/>
  <c r="I501"/>
  <c r="J501"/>
  <c r="D502"/>
  <c r="E502"/>
  <c r="F502"/>
  <c r="G502"/>
  <c r="H502"/>
  <c r="I502"/>
  <c r="J502"/>
  <c r="D503"/>
  <c r="E503"/>
  <c r="F503"/>
  <c r="G503"/>
  <c r="H503"/>
  <c r="I503"/>
  <c r="J503"/>
  <c r="D504"/>
  <c r="E504"/>
  <c r="F504"/>
  <c r="G504"/>
  <c r="H504"/>
  <c r="I504"/>
  <c r="J504"/>
  <c r="D505"/>
  <c r="E505"/>
  <c r="F505"/>
  <c r="G505"/>
  <c r="H505"/>
  <c r="I505"/>
  <c r="J505"/>
  <c r="D506"/>
  <c r="E506"/>
  <c r="F506"/>
  <c r="G506"/>
  <c r="H506"/>
  <c r="I506"/>
  <c r="J506"/>
  <c r="D507"/>
  <c r="E507"/>
  <c r="F507"/>
  <c r="G507"/>
  <c r="H507"/>
  <c r="I507"/>
  <c r="J507"/>
  <c r="D508"/>
  <c r="E508"/>
  <c r="F508"/>
  <c r="G508"/>
  <c r="H508"/>
  <c r="I508"/>
  <c r="J508"/>
  <c r="D509"/>
  <c r="E509"/>
  <c r="F509"/>
  <c r="G509"/>
  <c r="H509"/>
  <c r="I509"/>
  <c r="J509"/>
  <c r="D510"/>
  <c r="E510"/>
  <c r="F510"/>
  <c r="G510"/>
  <c r="H510"/>
  <c r="I510"/>
  <c r="J510"/>
  <c r="D511"/>
  <c r="E511"/>
  <c r="F511"/>
  <c r="G511"/>
  <c r="H511"/>
  <c r="I511"/>
  <c r="J511"/>
  <c r="D512"/>
  <c r="E512"/>
  <c r="F512"/>
  <c r="G512"/>
  <c r="H512"/>
  <c r="I512"/>
  <c r="J512"/>
  <c r="D513"/>
  <c r="E513"/>
  <c r="F513"/>
  <c r="G513"/>
  <c r="H513"/>
  <c r="I513"/>
  <c r="J513"/>
  <c r="D514"/>
  <c r="E514"/>
  <c r="F514"/>
  <c r="G514"/>
  <c r="H514"/>
  <c r="I514"/>
  <c r="J514"/>
  <c r="D515"/>
  <c r="E515"/>
  <c r="F515"/>
  <c r="G515"/>
  <c r="H515"/>
  <c r="I515"/>
  <c r="J515"/>
  <c r="D516"/>
  <c r="E516"/>
  <c r="F516"/>
  <c r="G516"/>
  <c r="H516"/>
  <c r="I516"/>
  <c r="J516"/>
  <c r="D517"/>
  <c r="E517"/>
  <c r="F517"/>
  <c r="G517"/>
  <c r="H517"/>
  <c r="I517"/>
  <c r="J517"/>
  <c r="D518"/>
  <c r="E518"/>
  <c r="F518"/>
  <c r="G518"/>
  <c r="H518"/>
  <c r="I518"/>
  <c r="J518"/>
  <c r="D519"/>
  <c r="E519"/>
  <c r="F519"/>
  <c r="G519"/>
  <c r="H519"/>
  <c r="I519"/>
  <c r="J519"/>
  <c r="D520"/>
  <c r="E520"/>
  <c r="F520"/>
  <c r="G520"/>
  <c r="H520"/>
  <c r="I520"/>
  <c r="J520"/>
  <c r="D521"/>
  <c r="E521"/>
  <c r="F521"/>
  <c r="G521"/>
  <c r="H521"/>
  <c r="I521"/>
  <c r="J521"/>
  <c r="D522"/>
  <c r="E522"/>
  <c r="F522"/>
  <c r="G522"/>
  <c r="H522"/>
  <c r="I522"/>
  <c r="J522"/>
  <c r="D523"/>
  <c r="E523"/>
  <c r="F523"/>
  <c r="G523"/>
  <c r="H523"/>
  <c r="I523"/>
  <c r="J523"/>
  <c r="D524"/>
  <c r="E524"/>
  <c r="F524"/>
  <c r="G524"/>
  <c r="H524"/>
  <c r="I524"/>
  <c r="J524"/>
  <c r="D525"/>
  <c r="E525"/>
  <c r="F525"/>
  <c r="G525"/>
  <c r="H525"/>
  <c r="I525"/>
  <c r="J525"/>
  <c r="D526"/>
  <c r="E526"/>
  <c r="F526"/>
  <c r="G526"/>
  <c r="H526"/>
  <c r="I526"/>
  <c r="J526"/>
  <c r="D527"/>
  <c r="E527"/>
  <c r="F527"/>
  <c r="G527"/>
  <c r="H527"/>
  <c r="I527"/>
  <c r="J527"/>
  <c r="D528"/>
  <c r="E528"/>
  <c r="F528"/>
  <c r="G528"/>
  <c r="H528"/>
  <c r="I528"/>
  <c r="J528"/>
  <c r="D529"/>
  <c r="E529"/>
  <c r="F529"/>
  <c r="G529"/>
  <c r="H529"/>
  <c r="I529"/>
  <c r="J529"/>
  <c r="D530"/>
  <c r="E530"/>
  <c r="F530"/>
  <c r="G530"/>
  <c r="H530"/>
  <c r="I530"/>
  <c r="J530"/>
  <c r="D531"/>
  <c r="E531"/>
  <c r="F531"/>
  <c r="G531"/>
  <c r="H531"/>
  <c r="I531"/>
  <c r="J531"/>
  <c r="D532"/>
  <c r="E532"/>
  <c r="F532"/>
  <c r="G532"/>
  <c r="H532"/>
  <c r="I532"/>
  <c r="J532"/>
  <c r="D533"/>
  <c r="E533"/>
  <c r="F533"/>
  <c r="G533"/>
  <c r="H533"/>
  <c r="I533"/>
  <c r="J533"/>
  <c r="D534"/>
  <c r="E534"/>
  <c r="F534"/>
  <c r="G534"/>
  <c r="H534"/>
  <c r="I534"/>
  <c r="J534"/>
  <c r="D535"/>
  <c r="E535"/>
  <c r="F535"/>
  <c r="G535"/>
  <c r="H535"/>
  <c r="I535"/>
  <c r="J535"/>
  <c r="D536"/>
  <c r="E536"/>
  <c r="F536"/>
  <c r="G536"/>
  <c r="H536"/>
  <c r="I536"/>
  <c r="J536"/>
  <c r="D537"/>
  <c r="E537"/>
  <c r="F537"/>
  <c r="G537"/>
  <c r="H537"/>
  <c r="I537"/>
  <c r="J537"/>
  <c r="D538"/>
  <c r="E538"/>
  <c r="F538"/>
  <c r="G538"/>
  <c r="H538"/>
  <c r="I538"/>
  <c r="J538"/>
  <c r="D539"/>
  <c r="E539"/>
  <c r="F539"/>
  <c r="G539"/>
  <c r="H539"/>
  <c r="I539"/>
  <c r="J539"/>
  <c r="D540"/>
  <c r="E540"/>
  <c r="F540"/>
  <c r="G540"/>
  <c r="H540"/>
  <c r="I540"/>
  <c r="J540"/>
  <c r="D541"/>
  <c r="E541"/>
  <c r="F541"/>
  <c r="G541"/>
  <c r="H541"/>
  <c r="I541"/>
  <c r="J541"/>
  <c r="D542"/>
  <c r="E542"/>
  <c r="F542"/>
  <c r="G542"/>
  <c r="H542"/>
  <c r="I542"/>
  <c r="J542"/>
  <c r="D543"/>
  <c r="E543"/>
  <c r="F543"/>
  <c r="G543"/>
  <c r="H543"/>
  <c r="I543"/>
  <c r="J543"/>
  <c r="D544"/>
  <c r="E544"/>
  <c r="F544"/>
  <c r="G544"/>
  <c r="H544"/>
  <c r="I544"/>
  <c r="J544"/>
  <c r="D545"/>
  <c r="E545"/>
  <c r="F545"/>
  <c r="G545"/>
  <c r="H545"/>
  <c r="I545"/>
  <c r="J545"/>
  <c r="D546"/>
  <c r="E546"/>
  <c r="F546"/>
  <c r="G546"/>
  <c r="H546"/>
  <c r="I546"/>
  <c r="J546"/>
  <c r="D547"/>
  <c r="E547"/>
  <c r="F547"/>
  <c r="G547"/>
  <c r="H547"/>
  <c r="I547"/>
  <c r="J547"/>
  <c r="D548"/>
  <c r="E548"/>
  <c r="F548"/>
  <c r="G548"/>
  <c r="H548"/>
  <c r="I548"/>
  <c r="J548"/>
  <c r="D549"/>
  <c r="E549"/>
  <c r="F549"/>
  <c r="G549"/>
  <c r="H549"/>
  <c r="I549"/>
  <c r="J549"/>
  <c r="D550"/>
  <c r="E550"/>
  <c r="F550"/>
  <c r="G550"/>
  <c r="H550"/>
  <c r="I550"/>
  <c r="J550"/>
  <c r="D551"/>
  <c r="E551"/>
  <c r="F551"/>
  <c r="G551"/>
  <c r="H551"/>
  <c r="I551"/>
  <c r="J551"/>
  <c r="D552"/>
  <c r="E552"/>
  <c r="F552"/>
  <c r="G552"/>
  <c r="H552"/>
  <c r="I552"/>
  <c r="J552"/>
  <c r="D553"/>
  <c r="E553"/>
  <c r="F553"/>
  <c r="G553"/>
  <c r="H553"/>
  <c r="I553"/>
  <c r="J553"/>
  <c r="D554"/>
  <c r="E554"/>
  <c r="F554"/>
  <c r="G554"/>
  <c r="H554"/>
  <c r="I554"/>
  <c r="J554"/>
  <c r="D555"/>
  <c r="E555"/>
  <c r="F555"/>
  <c r="G555"/>
  <c r="H555"/>
  <c r="I555"/>
  <c r="J555"/>
  <c r="D556"/>
  <c r="E556"/>
  <c r="F556"/>
  <c r="G556"/>
  <c r="H556"/>
  <c r="I556"/>
  <c r="J556"/>
  <c r="D557"/>
  <c r="E557"/>
  <c r="F557"/>
  <c r="G557"/>
  <c r="H557"/>
  <c r="I557"/>
  <c r="J557"/>
  <c r="D558"/>
  <c r="E558"/>
  <c r="F558"/>
  <c r="G558"/>
  <c r="H558"/>
  <c r="I558"/>
  <c r="J558"/>
  <c r="D559"/>
  <c r="E559"/>
  <c r="F559"/>
  <c r="G559"/>
  <c r="H559"/>
  <c r="I559"/>
  <c r="J559"/>
  <c r="D560"/>
  <c r="E560"/>
  <c r="F560"/>
  <c r="G560"/>
  <c r="H560"/>
  <c r="I560"/>
  <c r="J560"/>
  <c r="D561"/>
  <c r="E561"/>
  <c r="F561"/>
  <c r="G561"/>
  <c r="H561"/>
  <c r="I561"/>
  <c r="J561"/>
  <c r="D562"/>
  <c r="E562"/>
  <c r="F562"/>
  <c r="G562"/>
  <c r="H562"/>
  <c r="I562"/>
  <c r="J562"/>
  <c r="D563"/>
  <c r="E563"/>
  <c r="F563"/>
  <c r="G563"/>
  <c r="H563"/>
  <c r="I563"/>
  <c r="J563"/>
  <c r="D564"/>
  <c r="E564"/>
  <c r="F564"/>
  <c r="G564"/>
  <c r="H564"/>
  <c r="I564"/>
  <c r="J564"/>
  <c r="D565"/>
  <c r="E565"/>
  <c r="F565"/>
  <c r="G565"/>
  <c r="H565"/>
  <c r="I565"/>
  <c r="J565"/>
  <c r="D566"/>
  <c r="E566"/>
  <c r="F566"/>
  <c r="G566"/>
  <c r="H566"/>
  <c r="I566"/>
  <c r="J566"/>
  <c r="D567"/>
  <c r="E567"/>
  <c r="F567"/>
  <c r="G567"/>
  <c r="H567"/>
  <c r="I567"/>
  <c r="J567"/>
  <c r="D568"/>
  <c r="E568"/>
  <c r="F568"/>
  <c r="G568"/>
  <c r="H568"/>
  <c r="I568"/>
  <c r="J568"/>
  <c r="D569"/>
  <c r="E569"/>
  <c r="F569"/>
  <c r="G569"/>
  <c r="H569"/>
  <c r="I569"/>
  <c r="J569"/>
  <c r="D570"/>
  <c r="E570"/>
  <c r="F570"/>
  <c r="G570"/>
  <c r="H570"/>
  <c r="I570"/>
  <c r="J570"/>
  <c r="D571"/>
  <c r="E571"/>
  <c r="F571"/>
  <c r="G571"/>
  <c r="H571"/>
  <c r="I571"/>
  <c r="J571"/>
  <c r="D572"/>
  <c r="E572"/>
  <c r="F572"/>
  <c r="G572"/>
  <c r="H572"/>
  <c r="I572"/>
  <c r="J572"/>
  <c r="D573"/>
  <c r="E573"/>
  <c r="F573"/>
  <c r="G573"/>
  <c r="H573"/>
  <c r="I573"/>
  <c r="J573"/>
  <c r="D574"/>
  <c r="E574"/>
  <c r="F574"/>
  <c r="G574"/>
  <c r="H574"/>
  <c r="I574"/>
  <c r="J574"/>
  <c r="D575"/>
  <c r="E575"/>
  <c r="F575"/>
  <c r="G575"/>
  <c r="H575"/>
  <c r="I575"/>
  <c r="J575"/>
  <c r="D576"/>
  <c r="E576"/>
  <c r="F576"/>
  <c r="G576"/>
  <c r="H576"/>
  <c r="I576"/>
  <c r="J576"/>
  <c r="D577"/>
  <c r="E577"/>
  <c r="F577"/>
  <c r="G577"/>
  <c r="H577"/>
  <c r="I577"/>
  <c r="J577"/>
  <c r="D578"/>
  <c r="E578"/>
  <c r="F578"/>
  <c r="G578"/>
  <c r="H578"/>
  <c r="I578"/>
  <c r="J578"/>
  <c r="D579"/>
  <c r="E579"/>
  <c r="F579"/>
  <c r="G579"/>
  <c r="H579"/>
  <c r="I579"/>
  <c r="J579"/>
  <c r="D580"/>
  <c r="E580"/>
  <c r="F580"/>
  <c r="G580"/>
  <c r="H580"/>
  <c r="I580"/>
  <c r="J580"/>
  <c r="D581"/>
  <c r="E581"/>
  <c r="F581"/>
  <c r="G581"/>
  <c r="H581"/>
  <c r="I581"/>
  <c r="J581"/>
  <c r="D582"/>
  <c r="E582"/>
  <c r="F582"/>
  <c r="G582"/>
  <c r="H582"/>
  <c r="I582"/>
  <c r="J582"/>
  <c r="D583"/>
  <c r="E583"/>
  <c r="F583"/>
  <c r="G583"/>
  <c r="H583"/>
  <c r="I583"/>
  <c r="J583"/>
  <c r="D584"/>
  <c r="E584"/>
  <c r="F584"/>
  <c r="G584"/>
  <c r="H584"/>
  <c r="I584"/>
  <c r="J584"/>
  <c r="D585"/>
  <c r="E585"/>
  <c r="F585"/>
  <c r="G585"/>
  <c r="H585"/>
  <c r="I585"/>
  <c r="J585"/>
  <c r="D586"/>
  <c r="E586"/>
  <c r="F586"/>
  <c r="G586"/>
  <c r="H586"/>
  <c r="I586"/>
  <c r="J586"/>
  <c r="D587"/>
  <c r="E587"/>
  <c r="F587"/>
  <c r="G587"/>
  <c r="H587"/>
  <c r="I587"/>
  <c r="J587"/>
  <c r="D588"/>
  <c r="E588"/>
  <c r="F588"/>
  <c r="G588"/>
  <c r="H588"/>
  <c r="I588"/>
  <c r="J588"/>
  <c r="D589"/>
  <c r="E589"/>
  <c r="F589"/>
  <c r="G589"/>
  <c r="H589"/>
  <c r="I589"/>
  <c r="J589"/>
  <c r="D590"/>
  <c r="E590"/>
  <c r="F590"/>
  <c r="G590"/>
  <c r="H590"/>
  <c r="I590"/>
  <c r="J590"/>
  <c r="D591"/>
  <c r="E591"/>
  <c r="F591"/>
  <c r="G591"/>
  <c r="H591"/>
  <c r="I591"/>
  <c r="J591"/>
  <c r="D592"/>
  <c r="E592"/>
  <c r="F592"/>
  <c r="G592"/>
  <c r="H592"/>
  <c r="I592"/>
  <c r="J592"/>
  <c r="D593"/>
  <c r="E593"/>
  <c r="F593"/>
  <c r="G593"/>
  <c r="H593"/>
  <c r="I593"/>
  <c r="J593"/>
  <c r="D594"/>
  <c r="E594"/>
  <c r="F594"/>
  <c r="G594"/>
  <c r="H594"/>
  <c r="I594"/>
  <c r="J594"/>
  <c r="D595"/>
  <c r="E595"/>
  <c r="F595"/>
  <c r="G595"/>
  <c r="H595"/>
  <c r="I595"/>
  <c r="J595"/>
  <c r="D596"/>
  <c r="E596"/>
  <c r="F596"/>
  <c r="G596"/>
  <c r="H596"/>
  <c r="I596"/>
  <c r="J596"/>
  <c r="D597"/>
  <c r="E597"/>
  <c r="F597"/>
  <c r="G597"/>
  <c r="H597"/>
  <c r="I597"/>
  <c r="J597"/>
  <c r="D598"/>
  <c r="E598"/>
  <c r="F598"/>
  <c r="G598"/>
  <c r="H598"/>
  <c r="I598"/>
  <c r="J598"/>
  <c r="D599"/>
  <c r="E599"/>
  <c r="F599"/>
  <c r="G599"/>
  <c r="H599"/>
  <c r="I599"/>
  <c r="J599"/>
  <c r="D600"/>
  <c r="E600"/>
  <c r="F600"/>
  <c r="G600"/>
  <c r="H600"/>
  <c r="I600"/>
  <c r="J600"/>
  <c r="D601"/>
  <c r="E601"/>
  <c r="F601"/>
  <c r="G601"/>
  <c r="H601"/>
  <c r="I601"/>
  <c r="J601"/>
  <c r="D602"/>
  <c r="E602"/>
  <c r="F602"/>
  <c r="G602"/>
  <c r="H602"/>
  <c r="I602"/>
  <c r="J602"/>
  <c r="D603"/>
  <c r="E603"/>
  <c r="F603"/>
  <c r="G603"/>
  <c r="H603"/>
  <c r="I603"/>
  <c r="J603"/>
  <c r="D604"/>
  <c r="E604"/>
  <c r="F604"/>
  <c r="G604"/>
  <c r="H604"/>
  <c r="I604"/>
  <c r="J604"/>
  <c r="D605"/>
  <c r="E605"/>
  <c r="F605"/>
  <c r="G605"/>
  <c r="H605"/>
  <c r="I605"/>
  <c r="J605"/>
  <c r="D606"/>
  <c r="E606"/>
  <c r="F606"/>
  <c r="G606"/>
  <c r="H606"/>
  <c r="I606"/>
  <c r="J606"/>
  <c r="D607"/>
  <c r="E607"/>
  <c r="F607"/>
  <c r="G607"/>
  <c r="H607"/>
  <c r="I607"/>
  <c r="J607"/>
  <c r="D608"/>
  <c r="E608"/>
  <c r="F608"/>
  <c r="G608"/>
  <c r="H608"/>
  <c r="I608"/>
  <c r="J608"/>
  <c r="D609"/>
  <c r="E609"/>
  <c r="F609"/>
  <c r="G609"/>
  <c r="H609"/>
  <c r="I609"/>
  <c r="J609"/>
  <c r="D610"/>
  <c r="E610"/>
  <c r="F610"/>
  <c r="G610"/>
  <c r="H610"/>
  <c r="I610"/>
  <c r="J610"/>
  <c r="D611"/>
  <c r="E611"/>
  <c r="F611"/>
  <c r="G611"/>
  <c r="H611"/>
  <c r="I611"/>
  <c r="J611"/>
  <c r="D612"/>
  <c r="E612"/>
  <c r="F612"/>
  <c r="G612"/>
  <c r="H612"/>
  <c r="I612"/>
  <c r="J612"/>
  <c r="D613"/>
  <c r="E613"/>
  <c r="F613"/>
  <c r="G613"/>
  <c r="H613"/>
  <c r="I613"/>
  <c r="J613"/>
  <c r="D614"/>
  <c r="E614"/>
  <c r="F614"/>
  <c r="G614"/>
  <c r="H614"/>
  <c r="I614"/>
  <c r="J614"/>
  <c r="D615"/>
  <c r="E615"/>
  <c r="F615"/>
  <c r="G615"/>
  <c r="H615"/>
  <c r="I615"/>
  <c r="J615"/>
  <c r="D616"/>
  <c r="E616"/>
  <c r="F616"/>
  <c r="G616"/>
  <c r="H616"/>
  <c r="I616"/>
  <c r="J616"/>
  <c r="D617"/>
  <c r="E617"/>
  <c r="F617"/>
  <c r="G617"/>
  <c r="H617"/>
  <c r="I617"/>
  <c r="J617"/>
  <c r="D618"/>
  <c r="E618"/>
  <c r="F618"/>
  <c r="G618"/>
  <c r="H618"/>
  <c r="I618"/>
  <c r="J618"/>
  <c r="D619"/>
  <c r="E619"/>
  <c r="F619"/>
  <c r="G619"/>
  <c r="H619"/>
  <c r="I619"/>
  <c r="J619"/>
  <c r="D620"/>
  <c r="E620"/>
  <c r="F620"/>
  <c r="G620"/>
  <c r="H620"/>
  <c r="I620"/>
  <c r="J620"/>
  <c r="D621"/>
  <c r="E621"/>
  <c r="F621"/>
  <c r="G621"/>
  <c r="H621"/>
  <c r="I621"/>
  <c r="J621"/>
  <c r="D622"/>
  <c r="E622"/>
  <c r="F622"/>
  <c r="G622"/>
  <c r="H622"/>
  <c r="I622"/>
  <c r="J622"/>
  <c r="D623"/>
  <c r="E623"/>
  <c r="F623"/>
  <c r="G623"/>
  <c r="H623"/>
  <c r="I623"/>
  <c r="J623"/>
  <c r="D624"/>
  <c r="E624"/>
  <c r="F624"/>
  <c r="G624"/>
  <c r="H624"/>
  <c r="I624"/>
  <c r="J624"/>
  <c r="D625"/>
  <c r="E625"/>
  <c r="F625"/>
  <c r="G625"/>
  <c r="H625"/>
  <c r="I625"/>
  <c r="J625"/>
  <c r="D626"/>
  <c r="E626"/>
  <c r="F626"/>
  <c r="G626"/>
  <c r="H626"/>
  <c r="I626"/>
  <c r="J626"/>
  <c r="D627"/>
  <c r="E627"/>
  <c r="F627"/>
  <c r="G627"/>
  <c r="H627"/>
  <c r="I627"/>
  <c r="J627"/>
  <c r="D628"/>
  <c r="E628"/>
  <c r="F628"/>
  <c r="G628"/>
  <c r="H628"/>
  <c r="I628"/>
  <c r="J628"/>
  <c r="D629"/>
  <c r="E629"/>
  <c r="F629"/>
  <c r="G629"/>
  <c r="H629"/>
  <c r="I629"/>
  <c r="J629"/>
  <c r="D630"/>
  <c r="E630"/>
  <c r="F630"/>
  <c r="G630"/>
  <c r="H630"/>
  <c r="I630"/>
  <c r="J630"/>
  <c r="D631"/>
  <c r="E631"/>
  <c r="F631"/>
  <c r="G631"/>
  <c r="H631"/>
  <c r="I631"/>
  <c r="J631"/>
  <c r="D632"/>
  <c r="E632"/>
  <c r="F632"/>
  <c r="G632"/>
  <c r="H632"/>
  <c r="I632"/>
  <c r="J632"/>
  <c r="D633"/>
  <c r="E633"/>
  <c r="F633"/>
  <c r="G633"/>
  <c r="H633"/>
  <c r="I633"/>
  <c r="J633"/>
  <c r="D634"/>
  <c r="E634"/>
  <c r="F634"/>
  <c r="G634"/>
  <c r="H634"/>
  <c r="I634"/>
  <c r="J634"/>
  <c r="D635"/>
  <c r="E635"/>
  <c r="F635"/>
  <c r="G635"/>
  <c r="H635"/>
  <c r="I635"/>
  <c r="J635"/>
  <c r="D636"/>
  <c r="E636"/>
  <c r="F636"/>
  <c r="G636"/>
  <c r="H636"/>
  <c r="I636"/>
  <c r="J636"/>
  <c r="D637"/>
  <c r="E637"/>
  <c r="F637"/>
  <c r="G637"/>
  <c r="H637"/>
  <c r="I637"/>
  <c r="J637"/>
  <c r="D638"/>
  <c r="E638"/>
  <c r="F638"/>
  <c r="G638"/>
  <c r="H638"/>
  <c r="I638"/>
  <c r="J638"/>
  <c r="D639"/>
  <c r="E639"/>
  <c r="F639"/>
  <c r="G639"/>
  <c r="H639"/>
  <c r="I639"/>
  <c r="J639"/>
  <c r="D640"/>
  <c r="E640"/>
  <c r="F640"/>
  <c r="G640"/>
  <c r="H640"/>
  <c r="I640"/>
  <c r="J640"/>
  <c r="D641"/>
  <c r="E641"/>
  <c r="F641"/>
  <c r="G641"/>
  <c r="H641"/>
  <c r="I641"/>
  <c r="J641"/>
  <c r="D642"/>
  <c r="E642"/>
  <c r="F642"/>
  <c r="G642"/>
  <c r="H642"/>
  <c r="I642"/>
  <c r="J642"/>
  <c r="D643"/>
  <c r="E643"/>
  <c r="F643"/>
  <c r="G643"/>
  <c r="H643"/>
  <c r="I643"/>
  <c r="J643"/>
  <c r="D644"/>
  <c r="E644"/>
  <c r="F644"/>
  <c r="G644"/>
  <c r="H644"/>
  <c r="I644"/>
  <c r="J644"/>
  <c r="D645"/>
  <c r="E645"/>
  <c r="F645"/>
  <c r="G645"/>
  <c r="H645"/>
  <c r="I645"/>
  <c r="J645"/>
  <c r="D646"/>
  <c r="E646"/>
  <c r="F646"/>
  <c r="G646"/>
  <c r="H646"/>
  <c r="I646"/>
  <c r="J646"/>
  <c r="D647"/>
  <c r="E647"/>
  <c r="F647"/>
  <c r="G647"/>
  <c r="H647"/>
  <c r="I647"/>
  <c r="J647"/>
  <c r="D648"/>
  <c r="E648"/>
  <c r="F648"/>
  <c r="G648"/>
  <c r="H648"/>
  <c r="I648"/>
  <c r="J648"/>
  <c r="D649"/>
  <c r="E649"/>
  <c r="F649"/>
  <c r="G649"/>
  <c r="H649"/>
  <c r="I649"/>
  <c r="J649"/>
  <c r="D650"/>
  <c r="E650"/>
  <c r="F650"/>
  <c r="G650"/>
  <c r="H650"/>
  <c r="I650"/>
  <c r="J650"/>
  <c r="D651"/>
  <c r="E651"/>
  <c r="F651"/>
  <c r="G651"/>
  <c r="H651"/>
  <c r="I651"/>
  <c r="J651"/>
  <c r="D652"/>
  <c r="E652"/>
  <c r="F652"/>
  <c r="G652"/>
  <c r="H652"/>
  <c r="I652"/>
  <c r="J652"/>
  <c r="D653"/>
  <c r="E653"/>
  <c r="F653"/>
  <c r="G653"/>
  <c r="H653"/>
  <c r="I653"/>
  <c r="J653"/>
  <c r="D654"/>
  <c r="E654"/>
  <c r="F654"/>
  <c r="G654"/>
  <c r="H654"/>
  <c r="I654"/>
  <c r="J654"/>
  <c r="D655"/>
  <c r="E655"/>
  <c r="F655"/>
  <c r="G655"/>
  <c r="H655"/>
  <c r="I655"/>
  <c r="J655"/>
  <c r="D656"/>
  <c r="E656"/>
  <c r="F656"/>
  <c r="G656"/>
  <c r="H656"/>
  <c r="I656"/>
  <c r="J656"/>
  <c r="D657"/>
  <c r="E657"/>
  <c r="F657"/>
  <c r="G657"/>
  <c r="H657"/>
  <c r="I657"/>
  <c r="J657"/>
  <c r="D658"/>
  <c r="E658"/>
  <c r="F658"/>
  <c r="G658"/>
  <c r="H658"/>
  <c r="I658"/>
  <c r="J658"/>
  <c r="D659"/>
  <c r="E659"/>
  <c r="F659"/>
  <c r="G659"/>
  <c r="H659"/>
  <c r="I659"/>
  <c r="J659"/>
  <c r="D660"/>
  <c r="E660"/>
  <c r="F660"/>
  <c r="G660"/>
  <c r="H660"/>
  <c r="I660"/>
  <c r="J660"/>
  <c r="D661"/>
  <c r="E661"/>
  <c r="F661"/>
  <c r="G661"/>
  <c r="H661"/>
  <c r="I661"/>
  <c r="J661"/>
  <c r="D662"/>
  <c r="E662"/>
  <c r="F662"/>
  <c r="G662"/>
  <c r="H662"/>
  <c r="I662"/>
  <c r="J662"/>
  <c r="D663"/>
  <c r="E663"/>
  <c r="F663"/>
  <c r="G663"/>
  <c r="H663"/>
  <c r="I663"/>
  <c r="J663"/>
  <c r="D664"/>
  <c r="E664"/>
  <c r="F664"/>
  <c r="G664"/>
  <c r="H664"/>
  <c r="I664"/>
  <c r="J664"/>
  <c r="D665"/>
  <c r="E665"/>
  <c r="F665"/>
  <c r="G665"/>
  <c r="H665"/>
  <c r="I665"/>
  <c r="J665"/>
  <c r="D666"/>
  <c r="E666"/>
  <c r="F666"/>
  <c r="G666"/>
  <c r="H666"/>
  <c r="I666"/>
  <c r="J666"/>
  <c r="D667"/>
  <c r="E667"/>
  <c r="F667"/>
  <c r="G667"/>
  <c r="H667"/>
  <c r="I667"/>
  <c r="J667"/>
  <c r="D668"/>
  <c r="E668"/>
  <c r="F668"/>
  <c r="G668"/>
  <c r="H668"/>
  <c r="I668"/>
  <c r="J668"/>
  <c r="D669"/>
  <c r="E669"/>
  <c r="F669"/>
  <c r="G669"/>
  <c r="H669"/>
  <c r="I669"/>
  <c r="J669"/>
  <c r="D670"/>
  <c r="E670"/>
  <c r="F670"/>
  <c r="G670"/>
  <c r="H670"/>
  <c r="I670"/>
  <c r="J670"/>
  <c r="D671"/>
  <c r="E671"/>
  <c r="F671"/>
  <c r="G671"/>
  <c r="H671"/>
  <c r="I671"/>
  <c r="J671"/>
  <c r="D672"/>
  <c r="E672"/>
  <c r="F672"/>
  <c r="G672"/>
  <c r="H672"/>
  <c r="I672"/>
  <c r="J672"/>
  <c r="D673"/>
  <c r="E673"/>
  <c r="F673"/>
  <c r="G673"/>
  <c r="H673"/>
  <c r="I673"/>
  <c r="J673"/>
  <c r="D674"/>
  <c r="E674"/>
  <c r="F674"/>
  <c r="G674"/>
  <c r="H674"/>
  <c r="I674"/>
  <c r="J674"/>
  <c r="D675"/>
  <c r="E675"/>
  <c r="F675"/>
  <c r="G675"/>
  <c r="H675"/>
  <c r="I675"/>
  <c r="J675"/>
  <c r="D676"/>
  <c r="E676"/>
  <c r="F676"/>
  <c r="G676"/>
  <c r="H676"/>
  <c r="I676"/>
  <c r="J676"/>
  <c r="D677"/>
  <c r="E677"/>
  <c r="F677"/>
  <c r="G677"/>
  <c r="H677"/>
  <c r="I677"/>
  <c r="J677"/>
  <c r="D678"/>
  <c r="E678"/>
  <c r="F678"/>
  <c r="G678"/>
  <c r="H678"/>
  <c r="I678"/>
  <c r="J678"/>
  <c r="D679"/>
  <c r="E679"/>
  <c r="F679"/>
  <c r="G679"/>
  <c r="H679"/>
  <c r="I679"/>
  <c r="J679"/>
  <c r="D680"/>
  <c r="E680"/>
  <c r="F680"/>
  <c r="G680"/>
  <c r="H680"/>
  <c r="I680"/>
  <c r="J680"/>
  <c r="D681"/>
  <c r="E681"/>
  <c r="F681"/>
  <c r="G681"/>
  <c r="H681"/>
  <c r="I681"/>
  <c r="J681"/>
  <c r="D682"/>
  <c r="E682"/>
  <c r="F682"/>
  <c r="G682"/>
  <c r="H682"/>
  <c r="I682"/>
  <c r="J682"/>
  <c r="D683"/>
  <c r="E683"/>
  <c r="F683"/>
  <c r="G683"/>
  <c r="H683"/>
  <c r="I683"/>
  <c r="J683"/>
  <c r="D684"/>
  <c r="E684"/>
  <c r="F684"/>
  <c r="G684"/>
  <c r="H684"/>
  <c r="I684"/>
  <c r="J684"/>
  <c r="D685"/>
  <c r="E685"/>
  <c r="F685"/>
  <c r="G685"/>
  <c r="H685"/>
  <c r="I685"/>
  <c r="J685"/>
  <c r="D686"/>
  <c r="E686"/>
  <c r="F686"/>
  <c r="G686"/>
  <c r="H686"/>
  <c r="I686"/>
  <c r="J686"/>
  <c r="D687"/>
  <c r="E687"/>
  <c r="F687"/>
  <c r="G687"/>
  <c r="H687"/>
  <c r="I687"/>
  <c r="J687"/>
  <c r="D688"/>
  <c r="E688"/>
  <c r="F688"/>
  <c r="G688"/>
  <c r="H688"/>
  <c r="I688"/>
  <c r="J688"/>
  <c r="D689"/>
  <c r="E689"/>
  <c r="F689"/>
  <c r="G689"/>
  <c r="H689"/>
  <c r="I689"/>
  <c r="J689"/>
  <c r="D690"/>
  <c r="E690"/>
  <c r="F690"/>
  <c r="G690"/>
  <c r="H690"/>
  <c r="I690"/>
  <c r="J690"/>
  <c r="D691"/>
  <c r="E691"/>
  <c r="F691"/>
  <c r="G691"/>
  <c r="H691"/>
  <c r="I691"/>
  <c r="J691"/>
  <c r="D692"/>
  <c r="E692"/>
  <c r="F692"/>
  <c r="G692"/>
  <c r="H692"/>
  <c r="I692"/>
  <c r="J692"/>
  <c r="D693"/>
  <c r="E693"/>
  <c r="F693"/>
  <c r="G693"/>
  <c r="H693"/>
  <c r="I693"/>
  <c r="J693"/>
  <c r="D694"/>
  <c r="E694"/>
  <c r="F694"/>
  <c r="G694"/>
  <c r="H694"/>
  <c r="I694"/>
  <c r="J694"/>
  <c r="D695"/>
  <c r="E695"/>
  <c r="F695"/>
  <c r="G695"/>
  <c r="H695"/>
  <c r="I695"/>
  <c r="J695"/>
  <c r="D696"/>
  <c r="E696"/>
  <c r="F696"/>
  <c r="G696"/>
  <c r="H696"/>
  <c r="I696"/>
  <c r="J696"/>
  <c r="D697"/>
  <c r="E697"/>
  <c r="F697"/>
  <c r="G697"/>
  <c r="H697"/>
  <c r="I697"/>
  <c r="J697"/>
  <c r="D698"/>
  <c r="E698"/>
  <c r="F698"/>
  <c r="G698"/>
  <c r="H698"/>
  <c r="I698"/>
  <c r="J698"/>
  <c r="D699"/>
  <c r="E699"/>
  <c r="F699"/>
  <c r="G699"/>
  <c r="H699"/>
  <c r="I699"/>
  <c r="J699"/>
  <c r="D700"/>
  <c r="E700"/>
  <c r="F700"/>
  <c r="G700"/>
  <c r="H700"/>
  <c r="I700"/>
  <c r="J700"/>
  <c r="D701"/>
  <c r="E701"/>
  <c r="F701"/>
  <c r="G701"/>
  <c r="H701"/>
  <c r="I701"/>
  <c r="J701"/>
  <c r="D702"/>
  <c r="E702"/>
  <c r="F702"/>
  <c r="G702"/>
  <c r="H702"/>
  <c r="I702"/>
  <c r="J702"/>
  <c r="D703"/>
  <c r="E703"/>
  <c r="F703"/>
  <c r="G703"/>
  <c r="H703"/>
  <c r="I703"/>
  <c r="J703"/>
  <c r="D704"/>
  <c r="E704"/>
  <c r="F704"/>
  <c r="G704"/>
  <c r="H704"/>
  <c r="I704"/>
  <c r="J704"/>
  <c r="D705"/>
  <c r="E705"/>
  <c r="F705"/>
  <c r="G705"/>
  <c r="H705"/>
  <c r="I705"/>
  <c r="J705"/>
  <c r="D706"/>
  <c r="E706"/>
  <c r="F706"/>
  <c r="G706"/>
  <c r="H706"/>
  <c r="I706"/>
  <c r="J706"/>
  <c r="D707"/>
  <c r="E707"/>
  <c r="F707"/>
  <c r="G707"/>
  <c r="H707"/>
  <c r="I707"/>
  <c r="J707"/>
  <c r="D708"/>
  <c r="E708"/>
  <c r="F708"/>
  <c r="G708"/>
  <c r="H708"/>
  <c r="I708"/>
  <c r="J708"/>
  <c r="D709"/>
  <c r="E709"/>
  <c r="F709"/>
  <c r="G709"/>
  <c r="H709"/>
  <c r="I709"/>
  <c r="J709"/>
  <c r="D710"/>
  <c r="E710"/>
  <c r="F710"/>
  <c r="G710"/>
  <c r="H710"/>
  <c r="I710"/>
  <c r="J710"/>
  <c r="D711"/>
  <c r="E711"/>
  <c r="F711"/>
  <c r="G711"/>
  <c r="H711"/>
  <c r="I711"/>
  <c r="J711"/>
  <c r="D712"/>
  <c r="E712"/>
  <c r="F712"/>
  <c r="G712"/>
  <c r="H712"/>
  <c r="I712"/>
  <c r="J712"/>
  <c r="D713"/>
  <c r="E713"/>
  <c r="F713"/>
  <c r="G713"/>
  <c r="H713"/>
  <c r="I713"/>
  <c r="J713"/>
  <c r="D714"/>
  <c r="E714"/>
  <c r="F714"/>
  <c r="G714"/>
  <c r="H714"/>
  <c r="I714"/>
  <c r="J714"/>
  <c r="D715"/>
  <c r="E715"/>
  <c r="F715"/>
  <c r="G715"/>
  <c r="H715"/>
  <c r="I715"/>
  <c r="J715"/>
  <c r="D716"/>
  <c r="E716"/>
  <c r="F716"/>
  <c r="G716"/>
  <c r="H716"/>
  <c r="I716"/>
  <c r="J716"/>
  <c r="D717"/>
  <c r="E717"/>
  <c r="F717"/>
  <c r="G717"/>
  <c r="H717"/>
  <c r="I717"/>
  <c r="J717"/>
  <c r="D718"/>
  <c r="E718"/>
  <c r="F718"/>
  <c r="G718"/>
  <c r="H718"/>
  <c r="I718"/>
  <c r="J718"/>
  <c r="D719"/>
  <c r="E719"/>
  <c r="F719"/>
  <c r="G719"/>
  <c r="H719"/>
  <c r="I719"/>
  <c r="J719"/>
  <c r="D720"/>
  <c r="E720"/>
  <c r="F720"/>
  <c r="G720"/>
  <c r="H720"/>
  <c r="I720"/>
  <c r="J720"/>
  <c r="D721"/>
  <c r="E721"/>
  <c r="F721"/>
  <c r="G721"/>
  <c r="H721"/>
  <c r="I721"/>
  <c r="J721"/>
  <c r="D722"/>
  <c r="E722"/>
  <c r="F722"/>
  <c r="G722"/>
  <c r="H722"/>
  <c r="I722"/>
  <c r="J722"/>
  <c r="D723"/>
  <c r="E723"/>
  <c r="F723"/>
  <c r="G723"/>
  <c r="H723"/>
  <c r="I723"/>
  <c r="J723"/>
  <c r="D724"/>
  <c r="E724"/>
  <c r="F724"/>
  <c r="G724"/>
  <c r="H724"/>
  <c r="I724"/>
  <c r="J724"/>
  <c r="D725"/>
  <c r="E725"/>
  <c r="F725"/>
  <c r="G725"/>
  <c r="H725"/>
  <c r="I725"/>
  <c r="J725"/>
  <c r="D726"/>
  <c r="E726"/>
  <c r="F726"/>
  <c r="G726"/>
  <c r="H726"/>
  <c r="I726"/>
  <c r="J726"/>
  <c r="D727"/>
  <c r="E727"/>
  <c r="F727"/>
  <c r="G727"/>
  <c r="H727"/>
  <c r="I727"/>
  <c r="J727"/>
  <c r="D728"/>
  <c r="E728"/>
  <c r="F728"/>
  <c r="G728"/>
  <c r="H728"/>
  <c r="I728"/>
  <c r="J728"/>
  <c r="D729"/>
  <c r="E729"/>
  <c r="F729"/>
  <c r="G729"/>
  <c r="H729"/>
  <c r="I729"/>
  <c r="J729"/>
  <c r="D730"/>
  <c r="E730"/>
  <c r="F730"/>
  <c r="G730"/>
  <c r="H730"/>
  <c r="I730"/>
  <c r="J730"/>
  <c r="D731"/>
  <c r="E731"/>
  <c r="F731"/>
  <c r="G731"/>
  <c r="H731"/>
  <c r="I731"/>
  <c r="J731"/>
  <c r="D732"/>
  <c r="E732"/>
  <c r="F732"/>
  <c r="G732"/>
  <c r="H732"/>
  <c r="I732"/>
  <c r="J732"/>
  <c r="D733"/>
  <c r="E733"/>
  <c r="F733"/>
  <c r="G733"/>
  <c r="H733"/>
  <c r="I733"/>
  <c r="J733"/>
  <c r="D734"/>
  <c r="E734"/>
  <c r="F734"/>
  <c r="G734"/>
  <c r="H734"/>
  <c r="I734"/>
  <c r="J734"/>
  <c r="D735"/>
  <c r="E735"/>
  <c r="F735"/>
  <c r="G735"/>
  <c r="H735"/>
  <c r="I735"/>
  <c r="J735"/>
  <c r="D736"/>
  <c r="E736"/>
  <c r="F736"/>
  <c r="G736"/>
  <c r="H736"/>
  <c r="I736"/>
  <c r="J736"/>
  <c r="D737"/>
  <c r="E737"/>
  <c r="F737"/>
  <c r="G737"/>
  <c r="H737"/>
  <c r="I737"/>
  <c r="J737"/>
  <c r="D738"/>
  <c r="E738"/>
  <c r="F738"/>
  <c r="G738"/>
  <c r="H738"/>
  <c r="I738"/>
  <c r="J738"/>
  <c r="D739"/>
  <c r="E739"/>
  <c r="F739"/>
  <c r="G739"/>
  <c r="H739"/>
  <c r="I739"/>
  <c r="J739"/>
  <c r="D740"/>
  <c r="E740"/>
  <c r="F740"/>
  <c r="G740"/>
  <c r="H740"/>
  <c r="I740"/>
  <c r="J740"/>
  <c r="D741"/>
  <c r="E741"/>
  <c r="F741"/>
  <c r="G741"/>
  <c r="H741"/>
  <c r="I741"/>
  <c r="J741"/>
  <c r="D742"/>
  <c r="E742"/>
  <c r="F742"/>
  <c r="G742"/>
  <c r="H742"/>
  <c r="I742"/>
  <c r="J742"/>
  <c r="D743"/>
  <c r="E743"/>
  <c r="F743"/>
  <c r="G743"/>
  <c r="H743"/>
  <c r="I743"/>
  <c r="J743"/>
  <c r="D744"/>
  <c r="E744"/>
  <c r="F744"/>
  <c r="G744"/>
  <c r="H744"/>
  <c r="I744"/>
  <c r="J744"/>
  <c r="D745"/>
  <c r="E745"/>
  <c r="F745"/>
  <c r="G745"/>
  <c r="H745"/>
  <c r="I745"/>
  <c r="J745"/>
  <c r="D746"/>
  <c r="E746"/>
  <c r="F746"/>
  <c r="G746"/>
  <c r="H746"/>
  <c r="I746"/>
  <c r="J746"/>
  <c r="D747"/>
  <c r="E747"/>
  <c r="F747"/>
  <c r="G747"/>
  <c r="H747"/>
  <c r="I747"/>
  <c r="J747"/>
  <c r="D748"/>
  <c r="E748"/>
  <c r="F748"/>
  <c r="G748"/>
  <c r="H748"/>
  <c r="I748"/>
  <c r="J748"/>
  <c r="D749"/>
  <c r="E749"/>
  <c r="F749"/>
  <c r="G749"/>
  <c r="H749"/>
  <c r="I749"/>
  <c r="J749"/>
  <c r="D750"/>
  <c r="E750"/>
  <c r="F750"/>
  <c r="G750"/>
  <c r="H750"/>
  <c r="I750"/>
  <c r="J750"/>
  <c r="D751"/>
  <c r="E751"/>
  <c r="F751"/>
  <c r="G751"/>
  <c r="H751"/>
  <c r="I751"/>
  <c r="J751"/>
  <c r="D752"/>
  <c r="E752"/>
  <c r="F752"/>
  <c r="G752"/>
  <c r="H752"/>
  <c r="I752"/>
  <c r="J752"/>
  <c r="D753"/>
  <c r="E753"/>
  <c r="F753"/>
  <c r="G753"/>
  <c r="H753"/>
  <c r="I753"/>
  <c r="J753"/>
  <c r="D754"/>
  <c r="E754"/>
  <c r="F754"/>
  <c r="G754"/>
  <c r="H754"/>
  <c r="I754"/>
  <c r="J754"/>
  <c r="D755"/>
  <c r="E755"/>
  <c r="F755"/>
  <c r="G755"/>
  <c r="H755"/>
  <c r="I755"/>
  <c r="J755"/>
  <c r="D756"/>
  <c r="E756"/>
  <c r="F756"/>
  <c r="G756"/>
  <c r="H756"/>
  <c r="I756"/>
  <c r="J756"/>
  <c r="D757"/>
  <c r="E757"/>
  <c r="F757"/>
  <c r="G757"/>
  <c r="H757"/>
  <c r="I757"/>
  <c r="J757"/>
  <c r="D758"/>
  <c r="E758"/>
  <c r="F758"/>
  <c r="G758"/>
  <c r="H758"/>
  <c r="I758"/>
  <c r="J758"/>
  <c r="D759"/>
  <c r="E759"/>
  <c r="F759"/>
  <c r="G759"/>
  <c r="H759"/>
  <c r="I759"/>
  <c r="J759"/>
  <c r="D760"/>
  <c r="E760"/>
  <c r="F760"/>
  <c r="G760"/>
  <c r="H760"/>
  <c r="I760"/>
  <c r="J760"/>
  <c r="D761"/>
  <c r="E761"/>
  <c r="F761"/>
  <c r="G761"/>
  <c r="H761"/>
  <c r="I761"/>
  <c r="J761"/>
  <c r="D762"/>
  <c r="E762"/>
  <c r="F762"/>
  <c r="G762"/>
  <c r="H762"/>
  <c r="I762"/>
  <c r="J762"/>
  <c r="D763"/>
  <c r="E763"/>
  <c r="F763"/>
  <c r="G763"/>
  <c r="H763"/>
  <c r="I763"/>
  <c r="J763"/>
  <c r="D764"/>
  <c r="E764"/>
  <c r="F764"/>
  <c r="G764"/>
  <c r="H764"/>
  <c r="I764"/>
  <c r="J764"/>
  <c r="D765"/>
  <c r="E765"/>
  <c r="F765"/>
  <c r="G765"/>
  <c r="H765"/>
  <c r="I765"/>
  <c r="J765"/>
  <c r="D766"/>
  <c r="E766"/>
  <c r="F766"/>
  <c r="G766"/>
  <c r="H766"/>
  <c r="I766"/>
  <c r="J766"/>
  <c r="D767"/>
  <c r="E767"/>
  <c r="F767"/>
  <c r="G767"/>
  <c r="H767"/>
  <c r="I767"/>
  <c r="J767"/>
  <c r="D768"/>
  <c r="E768"/>
  <c r="F768"/>
  <c r="G768"/>
  <c r="H768"/>
  <c r="I768"/>
  <c r="J768"/>
  <c r="D769"/>
  <c r="E769"/>
  <c r="F769"/>
  <c r="G769"/>
  <c r="H769"/>
  <c r="I769"/>
  <c r="J769"/>
  <c r="D770"/>
  <c r="E770"/>
  <c r="F770"/>
  <c r="G770"/>
  <c r="H770"/>
  <c r="I770"/>
  <c r="J770"/>
  <c r="D771"/>
  <c r="E771"/>
  <c r="F771"/>
  <c r="G771"/>
  <c r="H771"/>
  <c r="I771"/>
  <c r="J771"/>
  <c r="D772"/>
  <c r="E772"/>
  <c r="F772"/>
  <c r="G772"/>
  <c r="H772"/>
  <c r="I772"/>
  <c r="J772"/>
  <c r="D773"/>
  <c r="E773"/>
  <c r="F773"/>
  <c r="G773"/>
  <c r="H773"/>
  <c r="I773"/>
  <c r="J773"/>
  <c r="D774"/>
  <c r="E774"/>
  <c r="F774"/>
  <c r="G774"/>
  <c r="H774"/>
  <c r="I774"/>
  <c r="J774"/>
  <c r="D775"/>
  <c r="E775"/>
  <c r="F775"/>
  <c r="G775"/>
  <c r="H775"/>
  <c r="I775"/>
  <c r="J775"/>
  <c r="D776"/>
  <c r="E776"/>
  <c r="F776"/>
  <c r="G776"/>
  <c r="H776"/>
  <c r="I776"/>
  <c r="J776"/>
  <c r="D777"/>
  <c r="E777"/>
  <c r="F777"/>
  <c r="G777"/>
  <c r="H777"/>
  <c r="I777"/>
  <c r="J777"/>
  <c r="D778"/>
  <c r="E778"/>
  <c r="F778"/>
  <c r="G778"/>
  <c r="H778"/>
  <c r="I778"/>
  <c r="J778"/>
  <c r="D779"/>
  <c r="E779"/>
  <c r="F779"/>
  <c r="G779"/>
  <c r="H779"/>
  <c r="I779"/>
  <c r="J779"/>
  <c r="D780"/>
  <c r="E780"/>
  <c r="F780"/>
  <c r="G780"/>
  <c r="H780"/>
  <c r="I780"/>
  <c r="J780"/>
  <c r="D781"/>
  <c r="E781"/>
  <c r="F781"/>
  <c r="G781"/>
  <c r="H781"/>
  <c r="I781"/>
  <c r="J781"/>
  <c r="D782"/>
  <c r="E782"/>
  <c r="F782"/>
  <c r="G782"/>
  <c r="H782"/>
  <c r="I782"/>
  <c r="J782"/>
  <c r="D783"/>
  <c r="E783"/>
  <c r="F783"/>
  <c r="G783"/>
  <c r="H783"/>
  <c r="I783"/>
  <c r="J783"/>
  <c r="D784"/>
  <c r="E784"/>
  <c r="F784"/>
  <c r="G784"/>
  <c r="H784"/>
  <c r="I784"/>
  <c r="J784"/>
  <c r="D785"/>
  <c r="E785"/>
  <c r="F785"/>
  <c r="G785"/>
  <c r="H785"/>
  <c r="I785"/>
  <c r="J785"/>
  <c r="D786"/>
  <c r="E786"/>
  <c r="F786"/>
  <c r="G786"/>
  <c r="H786"/>
  <c r="I786"/>
  <c r="J786"/>
</calcChain>
</file>

<file path=xl/sharedStrings.xml><?xml version="1.0" encoding="utf-8"?>
<sst xmlns="http://schemas.openxmlformats.org/spreadsheetml/2006/main" count="1580" uniqueCount="36">
  <si>
    <t>岗位代码</t>
  </si>
  <si>
    <t>岗位名称</t>
  </si>
  <si>
    <t>招聘单位</t>
  </si>
  <si>
    <t>姓名</t>
  </si>
  <si>
    <t>性别</t>
  </si>
  <si>
    <t>毕业学校</t>
  </si>
  <si>
    <t>所学专业</t>
  </si>
  <si>
    <t>学历</t>
  </si>
  <si>
    <t>学位</t>
  </si>
  <si>
    <t>演员</t>
  </si>
  <si>
    <t>咸丰县南剧艺术传承保护中心</t>
  </si>
  <si>
    <t>西医临床医生</t>
  </si>
  <si>
    <t>咸丰县高乐山镇卫生院</t>
  </si>
  <si>
    <t>医疗业务收支核算岗</t>
  </si>
  <si>
    <t>咸丰县清坪镇中心卫生院</t>
  </si>
  <si>
    <t>咸丰县小村乡中心卫生院</t>
  </si>
  <si>
    <t>西医订单定向临床医生</t>
  </si>
  <si>
    <t>咸丰县黄金洞乡卫生院</t>
  </si>
  <si>
    <t>中医订单定向临床医生</t>
  </si>
  <si>
    <t>咸丰县坪坝营镇中心卫生院</t>
  </si>
  <si>
    <t>咸丰县忠堡镇卫生院</t>
  </si>
  <si>
    <t>咸丰县唐崖镇卫生院</t>
  </si>
  <si>
    <t>咸丰县曲江镇卫生院</t>
  </si>
  <si>
    <t>咸丰县大路坝区工委卫生院</t>
  </si>
  <si>
    <t>咸丰县活龙坪乡中心卫生院</t>
  </si>
  <si>
    <t>中医临床医生</t>
  </si>
  <si>
    <t>康复技师</t>
  </si>
  <si>
    <t>语文教师</t>
  </si>
  <si>
    <t>咸丰县中等职业技术学校</t>
  </si>
  <si>
    <t>数学教师</t>
  </si>
  <si>
    <t>心理健康教师</t>
  </si>
  <si>
    <t>计算机教师</t>
  </si>
  <si>
    <t>农学（种植方向）教师</t>
  </si>
  <si>
    <t>序号</t>
    <phoneticPr fontId="1" type="noConversion"/>
  </si>
  <si>
    <t>备注</t>
    <phoneticPr fontId="1" type="noConversion"/>
  </si>
  <si>
    <t>2024年咸丰县事业单位专项公开招聘工作人员资格复审人员名单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</si>
</sst>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仿宋_GB2312"/>
      <family val="3"/>
      <charset val="134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仿宋_GB2312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6"/>
  <sheetViews>
    <sheetView tabSelected="1" workbookViewId="0">
      <selection sqref="A1:K1"/>
    </sheetView>
  </sheetViews>
  <sheetFormatPr defaultRowHeight="13.5"/>
  <cols>
    <col min="1" max="1" width="6.125" style="8" customWidth="1"/>
    <col min="2" max="2" width="15.375" style="8" customWidth="1"/>
    <col min="3" max="3" width="8" style="8" customWidth="1"/>
    <col min="4" max="5" width="9" style="8"/>
    <col min="6" max="6" width="5.5" style="8" customWidth="1"/>
    <col min="7" max="7" width="9" style="8"/>
    <col min="8" max="8" width="7.625" style="8" customWidth="1"/>
    <col min="9" max="9" width="12.25" style="8" customWidth="1"/>
    <col min="10" max="10" width="9.875" style="8" customWidth="1"/>
    <col min="11" max="11" width="9" style="8"/>
    <col min="12" max="16384" width="9" style="6"/>
  </cols>
  <sheetData>
    <row r="1" spans="1:11" ht="36" customHeight="1">
      <c r="A1" s="9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6" customHeight="1">
      <c r="A2" s="3" t="s">
        <v>33</v>
      </c>
      <c r="B2" s="4" t="s">
        <v>2</v>
      </c>
      <c r="C2" s="4" t="s">
        <v>1</v>
      </c>
      <c r="D2" s="5" t="s">
        <v>0</v>
      </c>
      <c r="E2" s="5" t="s">
        <v>3</v>
      </c>
      <c r="F2" s="5" t="s">
        <v>4</v>
      </c>
      <c r="G2" s="4" t="s">
        <v>7</v>
      </c>
      <c r="H2" s="4" t="s">
        <v>8</v>
      </c>
      <c r="I2" s="4" t="s">
        <v>5</v>
      </c>
      <c r="J2" s="4" t="s">
        <v>6</v>
      </c>
      <c r="K2" s="4" t="s">
        <v>34</v>
      </c>
    </row>
    <row r="3" spans="1:11" ht="36" customHeight="1">
      <c r="A3" s="7">
        <v>1</v>
      </c>
      <c r="B3" s="1" t="s">
        <v>10</v>
      </c>
      <c r="C3" s="1" t="s">
        <v>9</v>
      </c>
      <c r="D3" s="2" t="str">
        <f t="shared" ref="D3:D34" si="0">"z2024300"</f>
        <v>z2024300</v>
      </c>
      <c r="E3" s="2" t="str">
        <f>"李玉强"</f>
        <v>李玉强</v>
      </c>
      <c r="F3" s="2" t="str">
        <f>"男"</f>
        <v>男</v>
      </c>
      <c r="G3" s="1" t="str">
        <f>"大专"</f>
        <v>大专</v>
      </c>
      <c r="H3" s="1" t="str">
        <f>"无"</f>
        <v>无</v>
      </c>
      <c r="I3" s="1" t="str">
        <f>"四川音乐学院"</f>
        <v>四川音乐学院</v>
      </c>
      <c r="J3" s="1" t="str">
        <f>"声乐表演"</f>
        <v>声乐表演</v>
      </c>
      <c r="K3" s="7"/>
    </row>
    <row r="4" spans="1:11" ht="36" customHeight="1">
      <c r="A4" s="7">
        <v>2</v>
      </c>
      <c r="B4" s="1" t="s">
        <v>10</v>
      </c>
      <c r="C4" s="1" t="s">
        <v>9</v>
      </c>
      <c r="D4" s="2" t="str">
        <f t="shared" si="0"/>
        <v>z2024300</v>
      </c>
      <c r="E4" s="2" t="str">
        <f>"刘若菲"</f>
        <v>刘若菲</v>
      </c>
      <c r="F4" s="2" t="str">
        <f>"女"</f>
        <v>女</v>
      </c>
      <c r="G4" s="1" t="str">
        <f>"本科"</f>
        <v>本科</v>
      </c>
      <c r="H4" s="1" t="str">
        <f>"学士"</f>
        <v>学士</v>
      </c>
      <c r="I4" s="1" t="str">
        <f>"武汉传媒学院"</f>
        <v>武汉传媒学院</v>
      </c>
      <c r="J4" s="1" t="str">
        <f>"舞蹈学"</f>
        <v>舞蹈学</v>
      </c>
      <c r="K4" s="7"/>
    </row>
    <row r="5" spans="1:11" ht="36" customHeight="1">
      <c r="A5" s="7">
        <v>3</v>
      </c>
      <c r="B5" s="1" t="s">
        <v>10</v>
      </c>
      <c r="C5" s="1" t="s">
        <v>9</v>
      </c>
      <c r="D5" s="2" t="str">
        <f t="shared" si="0"/>
        <v>z2024300</v>
      </c>
      <c r="E5" s="2" t="str">
        <f>"张杨"</f>
        <v>张杨</v>
      </c>
      <c r="F5" s="2" t="str">
        <f>"男"</f>
        <v>男</v>
      </c>
      <c r="G5" s="1" t="str">
        <f>"大专"</f>
        <v>大专</v>
      </c>
      <c r="H5" s="1" t="str">
        <f>"无"</f>
        <v>无</v>
      </c>
      <c r="I5" s="1" t="str">
        <f>"长江职业学院"</f>
        <v>长江职业学院</v>
      </c>
      <c r="J5" s="1" t="str">
        <f>"表演艺术"</f>
        <v>表演艺术</v>
      </c>
      <c r="K5" s="7"/>
    </row>
    <row r="6" spans="1:11" ht="36" customHeight="1">
      <c r="A6" s="7">
        <v>4</v>
      </c>
      <c r="B6" s="1" t="s">
        <v>10</v>
      </c>
      <c r="C6" s="1" t="s">
        <v>9</v>
      </c>
      <c r="D6" s="2" t="str">
        <f t="shared" si="0"/>
        <v>z2024300</v>
      </c>
      <c r="E6" s="2" t="str">
        <f>"姚国民"</f>
        <v>姚国民</v>
      </c>
      <c r="F6" s="2" t="str">
        <f>"男"</f>
        <v>男</v>
      </c>
      <c r="G6" s="1" t="str">
        <f>"本科"</f>
        <v>本科</v>
      </c>
      <c r="H6" s="1" t="str">
        <f>"学士"</f>
        <v>学士</v>
      </c>
      <c r="I6" s="1" t="str">
        <f>"四川文理学院"</f>
        <v>四川文理学院</v>
      </c>
      <c r="J6" s="1" t="str">
        <f>"舞蹈学"</f>
        <v>舞蹈学</v>
      </c>
      <c r="K6" s="7"/>
    </row>
    <row r="7" spans="1:11" ht="36" customHeight="1">
      <c r="A7" s="7">
        <v>5</v>
      </c>
      <c r="B7" s="1" t="s">
        <v>10</v>
      </c>
      <c r="C7" s="1" t="s">
        <v>9</v>
      </c>
      <c r="D7" s="2" t="str">
        <f t="shared" si="0"/>
        <v>z2024300</v>
      </c>
      <c r="E7" s="2" t="str">
        <f>"袁艺"</f>
        <v>袁艺</v>
      </c>
      <c r="F7" s="2" t="str">
        <f>"男"</f>
        <v>男</v>
      </c>
      <c r="G7" s="1" t="str">
        <f>"中专"</f>
        <v>中专</v>
      </c>
      <c r="H7" s="1" t="str">
        <f>"无"</f>
        <v>无</v>
      </c>
      <c r="I7" s="1" t="str">
        <f>"恩施州民族艺术职业学校"</f>
        <v>恩施州民族艺术职业学校</v>
      </c>
      <c r="J7" s="1" t="str">
        <f>"民族音乐与舞蹈"</f>
        <v>民族音乐与舞蹈</v>
      </c>
      <c r="K7" s="7"/>
    </row>
    <row r="8" spans="1:11" ht="36" customHeight="1">
      <c r="A8" s="7">
        <v>6</v>
      </c>
      <c r="B8" s="1" t="s">
        <v>10</v>
      </c>
      <c r="C8" s="1" t="s">
        <v>9</v>
      </c>
      <c r="D8" s="2" t="str">
        <f t="shared" si="0"/>
        <v>z2024300</v>
      </c>
      <c r="E8" s="2" t="str">
        <f>"黄丹"</f>
        <v>黄丹</v>
      </c>
      <c r="F8" s="2" t="str">
        <f>"女"</f>
        <v>女</v>
      </c>
      <c r="G8" s="1" t="str">
        <f>"中专"</f>
        <v>中专</v>
      </c>
      <c r="H8" s="1" t="str">
        <f>"无"</f>
        <v>无</v>
      </c>
      <c r="I8" s="1" t="str">
        <f>"湖北省艺术学校"</f>
        <v>湖北省艺术学校</v>
      </c>
      <c r="J8" s="1" t="str">
        <f>"歌舞表演"</f>
        <v>歌舞表演</v>
      </c>
      <c r="K8" s="7"/>
    </row>
    <row r="9" spans="1:11" ht="36" customHeight="1">
      <c r="A9" s="7">
        <v>7</v>
      </c>
      <c r="B9" s="1" t="s">
        <v>10</v>
      </c>
      <c r="C9" s="1" t="s">
        <v>9</v>
      </c>
      <c r="D9" s="2" t="str">
        <f t="shared" si="0"/>
        <v>z2024300</v>
      </c>
      <c r="E9" s="2" t="str">
        <f>"董海波"</f>
        <v>董海波</v>
      </c>
      <c r="F9" s="2" t="str">
        <f>"男"</f>
        <v>男</v>
      </c>
      <c r="G9" s="1" t="str">
        <f>"本科"</f>
        <v>本科</v>
      </c>
      <c r="H9" s="1" t="str">
        <f>"学士"</f>
        <v>学士</v>
      </c>
      <c r="I9" s="1" t="str">
        <f>"武汉音乐学院"</f>
        <v>武汉音乐学院</v>
      </c>
      <c r="J9" s="1" t="str">
        <f>"音乐学（音乐教育）"</f>
        <v>音乐学（音乐教育）</v>
      </c>
      <c r="K9" s="7"/>
    </row>
    <row r="10" spans="1:11" ht="36" customHeight="1">
      <c r="A10" s="7">
        <v>8</v>
      </c>
      <c r="B10" s="1" t="s">
        <v>10</v>
      </c>
      <c r="C10" s="1" t="s">
        <v>9</v>
      </c>
      <c r="D10" s="2" t="str">
        <f t="shared" si="0"/>
        <v>z2024300</v>
      </c>
      <c r="E10" s="2" t="str">
        <f>"杨小慧"</f>
        <v>杨小慧</v>
      </c>
      <c r="F10" s="2" t="str">
        <f t="shared" ref="F10:F15" si="1">"女"</f>
        <v>女</v>
      </c>
      <c r="G10" s="1" t="str">
        <f>"本科"</f>
        <v>本科</v>
      </c>
      <c r="H10" s="1" t="str">
        <f>"学士"</f>
        <v>学士</v>
      </c>
      <c r="I10" s="1" t="str">
        <f>"闽南师范大学"</f>
        <v>闽南师范大学</v>
      </c>
      <c r="J10" s="1" t="str">
        <f>"音乐学"</f>
        <v>音乐学</v>
      </c>
      <c r="K10" s="7"/>
    </row>
    <row r="11" spans="1:11" ht="36" customHeight="1">
      <c r="A11" s="7">
        <v>9</v>
      </c>
      <c r="B11" s="1" t="s">
        <v>10</v>
      </c>
      <c r="C11" s="1" t="s">
        <v>9</v>
      </c>
      <c r="D11" s="2" t="str">
        <f t="shared" si="0"/>
        <v>z2024300</v>
      </c>
      <c r="E11" s="2" t="str">
        <f>"周辛玉"</f>
        <v>周辛玉</v>
      </c>
      <c r="F11" s="2" t="str">
        <f t="shared" si="1"/>
        <v>女</v>
      </c>
      <c r="G11" s="1" t="str">
        <f>"本科"</f>
        <v>本科</v>
      </c>
      <c r="H11" s="1" t="str">
        <f>"学士"</f>
        <v>学士</v>
      </c>
      <c r="I11" s="1" t="str">
        <f>"湖南交通工程学院"</f>
        <v>湖南交通工程学院</v>
      </c>
      <c r="J11" s="1" t="str">
        <f>"音乐表演"</f>
        <v>音乐表演</v>
      </c>
      <c r="K11" s="7"/>
    </row>
    <row r="12" spans="1:11" ht="36" customHeight="1">
      <c r="A12" s="7">
        <v>10</v>
      </c>
      <c r="B12" s="1" t="s">
        <v>10</v>
      </c>
      <c r="C12" s="1" t="s">
        <v>9</v>
      </c>
      <c r="D12" s="2" t="str">
        <f t="shared" si="0"/>
        <v>z2024300</v>
      </c>
      <c r="E12" s="2" t="str">
        <f>"谭巧敏"</f>
        <v>谭巧敏</v>
      </c>
      <c r="F12" s="2" t="str">
        <f t="shared" si="1"/>
        <v>女</v>
      </c>
      <c r="G12" s="1" t="str">
        <f>"大专"</f>
        <v>大专</v>
      </c>
      <c r="H12" s="1" t="str">
        <f>"无"</f>
        <v>无</v>
      </c>
      <c r="I12" s="1" t="str">
        <f>"昆明艺术职业学院"</f>
        <v>昆明艺术职业学院</v>
      </c>
      <c r="J12" s="1" t="str">
        <f>"音乐表演"</f>
        <v>音乐表演</v>
      </c>
      <c r="K12" s="7"/>
    </row>
    <row r="13" spans="1:11" ht="36" customHeight="1">
      <c r="A13" s="7">
        <v>11</v>
      </c>
      <c r="B13" s="1" t="s">
        <v>10</v>
      </c>
      <c r="C13" s="1" t="s">
        <v>9</v>
      </c>
      <c r="D13" s="2" t="str">
        <f t="shared" si="0"/>
        <v>z2024300</v>
      </c>
      <c r="E13" s="2" t="str">
        <f>"谢嘉忆"</f>
        <v>谢嘉忆</v>
      </c>
      <c r="F13" s="2" t="str">
        <f t="shared" si="1"/>
        <v>女</v>
      </c>
      <c r="G13" s="1" t="str">
        <f>"本科"</f>
        <v>本科</v>
      </c>
      <c r="H13" s="1" t="str">
        <f>"学士"</f>
        <v>学士</v>
      </c>
      <c r="I13" s="1" t="str">
        <f>"四川文化艺术学院"</f>
        <v>四川文化艺术学院</v>
      </c>
      <c r="J13" s="1" t="str">
        <f>"舞蹈表演"</f>
        <v>舞蹈表演</v>
      </c>
      <c r="K13" s="7"/>
    </row>
    <row r="14" spans="1:11" ht="36" customHeight="1">
      <c r="A14" s="7">
        <v>12</v>
      </c>
      <c r="B14" s="1" t="s">
        <v>10</v>
      </c>
      <c r="C14" s="1" t="s">
        <v>9</v>
      </c>
      <c r="D14" s="2" t="str">
        <f t="shared" si="0"/>
        <v>z2024300</v>
      </c>
      <c r="E14" s="2" t="str">
        <f>"李娜"</f>
        <v>李娜</v>
      </c>
      <c r="F14" s="2" t="str">
        <f t="shared" si="1"/>
        <v>女</v>
      </c>
      <c r="G14" s="1" t="str">
        <f>"本科"</f>
        <v>本科</v>
      </c>
      <c r="H14" s="1" t="str">
        <f>"学士"</f>
        <v>学士</v>
      </c>
      <c r="I14" s="1" t="str">
        <f>"长沙学院"</f>
        <v>长沙学院</v>
      </c>
      <c r="J14" s="1" t="str">
        <f>"广播电视编导"</f>
        <v>广播电视编导</v>
      </c>
      <c r="K14" s="7"/>
    </row>
    <row r="15" spans="1:11" ht="36" customHeight="1">
      <c r="A15" s="7">
        <v>13</v>
      </c>
      <c r="B15" s="1" t="s">
        <v>10</v>
      </c>
      <c r="C15" s="1" t="s">
        <v>9</v>
      </c>
      <c r="D15" s="2" t="str">
        <f t="shared" si="0"/>
        <v>z2024300</v>
      </c>
      <c r="E15" s="2" t="str">
        <f>"向梦杰"</f>
        <v>向梦杰</v>
      </c>
      <c r="F15" s="2" t="str">
        <f t="shared" si="1"/>
        <v>女</v>
      </c>
      <c r="G15" s="1" t="str">
        <f>"本科"</f>
        <v>本科</v>
      </c>
      <c r="H15" s="1" t="str">
        <f>"学士"</f>
        <v>学士</v>
      </c>
      <c r="I15" s="1" t="str">
        <f>"湖南涉外经济学院"</f>
        <v>湖南涉外经济学院</v>
      </c>
      <c r="J15" s="1" t="str">
        <f>"音乐学"</f>
        <v>音乐学</v>
      </c>
      <c r="K15" s="7"/>
    </row>
    <row r="16" spans="1:11" ht="36" customHeight="1">
      <c r="A16" s="7">
        <v>14</v>
      </c>
      <c r="B16" s="1" t="s">
        <v>10</v>
      </c>
      <c r="C16" s="1" t="s">
        <v>9</v>
      </c>
      <c r="D16" s="2" t="str">
        <f t="shared" si="0"/>
        <v>z2024300</v>
      </c>
      <c r="E16" s="2" t="str">
        <f>"张浩"</f>
        <v>张浩</v>
      </c>
      <c r="F16" s="2" t="str">
        <f>"男"</f>
        <v>男</v>
      </c>
      <c r="G16" s="1" t="str">
        <f>"本科"</f>
        <v>本科</v>
      </c>
      <c r="H16" s="1" t="str">
        <f>"学士"</f>
        <v>学士</v>
      </c>
      <c r="I16" s="1" t="str">
        <f>"湖北恩施学院"</f>
        <v>湖北恩施学院</v>
      </c>
      <c r="J16" s="1" t="str">
        <f>"音乐学"</f>
        <v>音乐学</v>
      </c>
      <c r="K16" s="7"/>
    </row>
    <row r="17" spans="1:11" ht="36" customHeight="1">
      <c r="A17" s="7">
        <v>15</v>
      </c>
      <c r="B17" s="1" t="s">
        <v>10</v>
      </c>
      <c r="C17" s="1" t="s">
        <v>9</v>
      </c>
      <c r="D17" s="2" t="str">
        <f t="shared" si="0"/>
        <v>z2024300</v>
      </c>
      <c r="E17" s="2" t="str">
        <f>"刘亚南"</f>
        <v>刘亚南</v>
      </c>
      <c r="F17" s="2" t="str">
        <f>"女"</f>
        <v>女</v>
      </c>
      <c r="G17" s="1" t="str">
        <f>"硕士研究生"</f>
        <v>硕士研究生</v>
      </c>
      <c r="H17" s="1" t="str">
        <f>"硕士"</f>
        <v>硕士</v>
      </c>
      <c r="I17" s="1" t="str">
        <f>"华南理工大学"</f>
        <v>华南理工大学</v>
      </c>
      <c r="J17" s="1" t="str">
        <f>"音乐与舞蹈学"</f>
        <v>音乐与舞蹈学</v>
      </c>
      <c r="K17" s="7"/>
    </row>
    <row r="18" spans="1:11" ht="36" customHeight="1">
      <c r="A18" s="7">
        <v>16</v>
      </c>
      <c r="B18" s="1" t="s">
        <v>10</v>
      </c>
      <c r="C18" s="1" t="s">
        <v>9</v>
      </c>
      <c r="D18" s="2" t="str">
        <f t="shared" si="0"/>
        <v>z2024300</v>
      </c>
      <c r="E18" s="2" t="str">
        <f>"龙颜蓉"</f>
        <v>龙颜蓉</v>
      </c>
      <c r="F18" s="2" t="str">
        <f>"女"</f>
        <v>女</v>
      </c>
      <c r="G18" s="1" t="str">
        <f t="shared" ref="G18:G25" si="2">"本科"</f>
        <v>本科</v>
      </c>
      <c r="H18" s="1" t="str">
        <f t="shared" ref="H18:H25" si="3">"学士"</f>
        <v>学士</v>
      </c>
      <c r="I18" s="1" t="str">
        <f>"四川美术学院"</f>
        <v>四川美术学院</v>
      </c>
      <c r="J18" s="1" t="str">
        <f>"影视摄影与制作（影视制作艺术）"</f>
        <v>影视摄影与制作（影视制作艺术）</v>
      </c>
      <c r="K18" s="7"/>
    </row>
    <row r="19" spans="1:11" ht="36" customHeight="1">
      <c r="A19" s="7">
        <v>17</v>
      </c>
      <c r="B19" s="1" t="s">
        <v>10</v>
      </c>
      <c r="C19" s="1" t="s">
        <v>9</v>
      </c>
      <c r="D19" s="2" t="str">
        <f t="shared" si="0"/>
        <v>z2024300</v>
      </c>
      <c r="E19" s="2" t="str">
        <f>"徐海波"</f>
        <v>徐海波</v>
      </c>
      <c r="F19" s="2" t="str">
        <f>"男"</f>
        <v>男</v>
      </c>
      <c r="G19" s="1" t="str">
        <f t="shared" si="2"/>
        <v>本科</v>
      </c>
      <c r="H19" s="1" t="str">
        <f t="shared" si="3"/>
        <v>学士</v>
      </c>
      <c r="I19" s="1" t="str">
        <f>"新疆师范大学"</f>
        <v>新疆师范大学</v>
      </c>
      <c r="J19" s="1" t="str">
        <f>"舞蹈学"</f>
        <v>舞蹈学</v>
      </c>
      <c r="K19" s="7"/>
    </row>
    <row r="20" spans="1:11" ht="36" customHeight="1">
      <c r="A20" s="7">
        <v>18</v>
      </c>
      <c r="B20" s="1" t="s">
        <v>10</v>
      </c>
      <c r="C20" s="1" t="s">
        <v>9</v>
      </c>
      <c r="D20" s="2" t="str">
        <f t="shared" si="0"/>
        <v>z2024300</v>
      </c>
      <c r="E20" s="2" t="str">
        <f>"朱成坤"</f>
        <v>朱成坤</v>
      </c>
      <c r="F20" s="2" t="str">
        <f>"男"</f>
        <v>男</v>
      </c>
      <c r="G20" s="1" t="str">
        <f t="shared" si="2"/>
        <v>本科</v>
      </c>
      <c r="H20" s="1" t="str">
        <f t="shared" si="3"/>
        <v>学士</v>
      </c>
      <c r="I20" s="1" t="str">
        <f>"荆楚理工学院"</f>
        <v>荆楚理工学院</v>
      </c>
      <c r="J20" s="1" t="str">
        <f>"音乐表演"</f>
        <v>音乐表演</v>
      </c>
      <c r="K20" s="7"/>
    </row>
    <row r="21" spans="1:11" ht="36" customHeight="1">
      <c r="A21" s="7">
        <v>19</v>
      </c>
      <c r="B21" s="1" t="s">
        <v>10</v>
      </c>
      <c r="C21" s="1" t="s">
        <v>9</v>
      </c>
      <c r="D21" s="2" t="str">
        <f t="shared" si="0"/>
        <v>z2024300</v>
      </c>
      <c r="E21" s="2" t="str">
        <f>"肖莉"</f>
        <v>肖莉</v>
      </c>
      <c r="F21" s="2" t="str">
        <f>"女"</f>
        <v>女</v>
      </c>
      <c r="G21" s="1" t="str">
        <f t="shared" si="2"/>
        <v>本科</v>
      </c>
      <c r="H21" s="1" t="str">
        <f t="shared" si="3"/>
        <v>学士</v>
      </c>
      <c r="I21" s="1" t="str">
        <f>"南昌理工学院"</f>
        <v>南昌理工学院</v>
      </c>
      <c r="J21" s="1" t="str">
        <f>"表演"</f>
        <v>表演</v>
      </c>
      <c r="K21" s="7"/>
    </row>
    <row r="22" spans="1:11" ht="36" customHeight="1">
      <c r="A22" s="7">
        <v>20</v>
      </c>
      <c r="B22" s="1" t="s">
        <v>10</v>
      </c>
      <c r="C22" s="1" t="s">
        <v>9</v>
      </c>
      <c r="D22" s="2" t="str">
        <f t="shared" si="0"/>
        <v>z2024300</v>
      </c>
      <c r="E22" s="2" t="str">
        <f>"430122199805182425"</f>
        <v>430122199805182425</v>
      </c>
      <c r="F22" s="2" t="str">
        <f>"女"</f>
        <v>女</v>
      </c>
      <c r="G22" s="1" t="str">
        <f t="shared" si="2"/>
        <v>本科</v>
      </c>
      <c r="H22" s="1" t="str">
        <f t="shared" si="3"/>
        <v>学士</v>
      </c>
      <c r="I22" s="1" t="str">
        <f>"湖北民族大学"</f>
        <v>湖北民族大学</v>
      </c>
      <c r="J22" s="1" t="str">
        <f>"音乐学"</f>
        <v>音乐学</v>
      </c>
      <c r="K22" s="7"/>
    </row>
    <row r="23" spans="1:11" ht="36" customHeight="1">
      <c r="A23" s="7">
        <v>21</v>
      </c>
      <c r="B23" s="1" t="s">
        <v>10</v>
      </c>
      <c r="C23" s="1" t="s">
        <v>9</v>
      </c>
      <c r="D23" s="2" t="str">
        <f t="shared" si="0"/>
        <v>z2024300</v>
      </c>
      <c r="E23" s="2" t="str">
        <f>"张怡佳"</f>
        <v>张怡佳</v>
      </c>
      <c r="F23" s="2" t="str">
        <f>"女"</f>
        <v>女</v>
      </c>
      <c r="G23" s="1" t="str">
        <f t="shared" si="2"/>
        <v>本科</v>
      </c>
      <c r="H23" s="1" t="str">
        <f t="shared" si="3"/>
        <v>学士</v>
      </c>
      <c r="I23" s="1" t="str">
        <f>"广西大学行健文理学院"</f>
        <v>广西大学行健文理学院</v>
      </c>
      <c r="J23" s="1" t="str">
        <f>"音乐表演"</f>
        <v>音乐表演</v>
      </c>
      <c r="K23" s="7"/>
    </row>
    <row r="24" spans="1:11" ht="36" customHeight="1">
      <c r="A24" s="7">
        <v>22</v>
      </c>
      <c r="B24" s="1" t="s">
        <v>10</v>
      </c>
      <c r="C24" s="1" t="s">
        <v>9</v>
      </c>
      <c r="D24" s="2" t="str">
        <f t="shared" si="0"/>
        <v>z2024300</v>
      </c>
      <c r="E24" s="2" t="str">
        <f>"张念"</f>
        <v>张念</v>
      </c>
      <c r="F24" s="2" t="str">
        <f>"女"</f>
        <v>女</v>
      </c>
      <c r="G24" s="1" t="str">
        <f t="shared" si="2"/>
        <v>本科</v>
      </c>
      <c r="H24" s="1" t="str">
        <f t="shared" si="3"/>
        <v>学士</v>
      </c>
      <c r="I24" s="1" t="str">
        <f>"黄冈师范学院"</f>
        <v>黄冈师范学院</v>
      </c>
      <c r="J24" s="1" t="str">
        <f>"广播电视编导"</f>
        <v>广播电视编导</v>
      </c>
      <c r="K24" s="7"/>
    </row>
    <row r="25" spans="1:11" ht="36" customHeight="1">
      <c r="A25" s="7">
        <v>23</v>
      </c>
      <c r="B25" s="1" t="s">
        <v>10</v>
      </c>
      <c r="C25" s="1" t="s">
        <v>9</v>
      </c>
      <c r="D25" s="2" t="str">
        <f t="shared" si="0"/>
        <v>z2024300</v>
      </c>
      <c r="E25" s="2" t="str">
        <f>"兰倩"</f>
        <v>兰倩</v>
      </c>
      <c r="F25" s="2" t="str">
        <f>"女"</f>
        <v>女</v>
      </c>
      <c r="G25" s="1" t="str">
        <f t="shared" si="2"/>
        <v>本科</v>
      </c>
      <c r="H25" s="1" t="str">
        <f t="shared" si="3"/>
        <v>学士</v>
      </c>
      <c r="I25" s="1" t="str">
        <f>"湖北民族大学科技学院"</f>
        <v>湖北民族大学科技学院</v>
      </c>
      <c r="J25" s="1" t="str">
        <f>"舞蹈学"</f>
        <v>舞蹈学</v>
      </c>
      <c r="K25" s="7"/>
    </row>
    <row r="26" spans="1:11" ht="36" customHeight="1">
      <c r="A26" s="7">
        <v>24</v>
      </c>
      <c r="B26" s="1" t="s">
        <v>10</v>
      </c>
      <c r="C26" s="1" t="s">
        <v>9</v>
      </c>
      <c r="D26" s="2" t="str">
        <f t="shared" si="0"/>
        <v>z2024300</v>
      </c>
      <c r="E26" s="2" t="str">
        <f>"王大维"</f>
        <v>王大维</v>
      </c>
      <c r="F26" s="2" t="str">
        <f>"男"</f>
        <v>男</v>
      </c>
      <c r="G26" s="1" t="str">
        <f>"大专"</f>
        <v>大专</v>
      </c>
      <c r="H26" s="1" t="str">
        <f>"无"</f>
        <v>无</v>
      </c>
      <c r="I26" s="1" t="str">
        <f>"湖南省艺术职业学院"</f>
        <v>湖南省艺术职业学院</v>
      </c>
      <c r="J26" s="1" t="str">
        <f>"影视表演"</f>
        <v>影视表演</v>
      </c>
      <c r="K26" s="7"/>
    </row>
    <row r="27" spans="1:11" ht="36" customHeight="1">
      <c r="A27" s="7">
        <v>25</v>
      </c>
      <c r="B27" s="1" t="s">
        <v>10</v>
      </c>
      <c r="C27" s="1" t="s">
        <v>9</v>
      </c>
      <c r="D27" s="2" t="str">
        <f t="shared" si="0"/>
        <v>z2024300</v>
      </c>
      <c r="E27" s="2" t="str">
        <f>"吴秋燊"</f>
        <v>吴秋燊</v>
      </c>
      <c r="F27" s="2" t="str">
        <f>"男"</f>
        <v>男</v>
      </c>
      <c r="G27" s="1" t="str">
        <f t="shared" ref="G27:G39" si="4">"本科"</f>
        <v>本科</v>
      </c>
      <c r="H27" s="1" t="str">
        <f t="shared" ref="H27:H36" si="5">"学士"</f>
        <v>学士</v>
      </c>
      <c r="I27" s="1" t="str">
        <f>"武汉体育学院"</f>
        <v>武汉体育学院</v>
      </c>
      <c r="J27" s="1" t="str">
        <f>"舞蹈学"</f>
        <v>舞蹈学</v>
      </c>
      <c r="K27" s="7"/>
    </row>
    <row r="28" spans="1:11" ht="36" customHeight="1">
      <c r="A28" s="7">
        <v>26</v>
      </c>
      <c r="B28" s="1" t="s">
        <v>10</v>
      </c>
      <c r="C28" s="1" t="s">
        <v>9</v>
      </c>
      <c r="D28" s="2" t="str">
        <f t="shared" si="0"/>
        <v>z2024300</v>
      </c>
      <c r="E28" s="2" t="str">
        <f>"周杨"</f>
        <v>周杨</v>
      </c>
      <c r="F28" s="2" t="str">
        <f>"男"</f>
        <v>男</v>
      </c>
      <c r="G28" s="1" t="str">
        <f t="shared" si="4"/>
        <v>本科</v>
      </c>
      <c r="H28" s="1" t="str">
        <f t="shared" si="5"/>
        <v>学士</v>
      </c>
      <c r="I28" s="1" t="str">
        <f>"湖北文理学院"</f>
        <v>湖北文理学院</v>
      </c>
      <c r="J28" s="1" t="str">
        <f>"音乐学"</f>
        <v>音乐学</v>
      </c>
      <c r="K28" s="7"/>
    </row>
    <row r="29" spans="1:11" ht="36" customHeight="1">
      <c r="A29" s="7">
        <v>27</v>
      </c>
      <c r="B29" s="1" t="s">
        <v>10</v>
      </c>
      <c r="C29" s="1" t="s">
        <v>9</v>
      </c>
      <c r="D29" s="2" t="str">
        <f t="shared" si="0"/>
        <v>z2024300</v>
      </c>
      <c r="E29" s="2" t="str">
        <f>"阳仪莹"</f>
        <v>阳仪莹</v>
      </c>
      <c r="F29" s="2" t="str">
        <f>"女"</f>
        <v>女</v>
      </c>
      <c r="G29" s="1" t="str">
        <f t="shared" si="4"/>
        <v>本科</v>
      </c>
      <c r="H29" s="1" t="str">
        <f t="shared" si="5"/>
        <v>学士</v>
      </c>
      <c r="I29" s="1" t="str">
        <f>"武昌理工学院"</f>
        <v>武昌理工学院</v>
      </c>
      <c r="J29" s="1" t="str">
        <f>"舞蹈学"</f>
        <v>舞蹈学</v>
      </c>
      <c r="K29" s="7"/>
    </row>
    <row r="30" spans="1:11" ht="36" customHeight="1">
      <c r="A30" s="7">
        <v>28</v>
      </c>
      <c r="B30" s="1" t="s">
        <v>10</v>
      </c>
      <c r="C30" s="1" t="s">
        <v>9</v>
      </c>
      <c r="D30" s="2" t="str">
        <f t="shared" si="0"/>
        <v>z2024300</v>
      </c>
      <c r="E30" s="2" t="str">
        <f>"田珊鸿"</f>
        <v>田珊鸿</v>
      </c>
      <c r="F30" s="2" t="str">
        <f>"女"</f>
        <v>女</v>
      </c>
      <c r="G30" s="1" t="str">
        <f t="shared" si="4"/>
        <v>本科</v>
      </c>
      <c r="H30" s="1" t="str">
        <f t="shared" si="5"/>
        <v>学士</v>
      </c>
      <c r="I30" s="1" t="str">
        <f>"长江大学"</f>
        <v>长江大学</v>
      </c>
      <c r="J30" s="1" t="str">
        <f>"广播电视编导"</f>
        <v>广播电视编导</v>
      </c>
      <c r="K30" s="7"/>
    </row>
    <row r="31" spans="1:11" ht="36" customHeight="1">
      <c r="A31" s="7">
        <v>29</v>
      </c>
      <c r="B31" s="1" t="s">
        <v>10</v>
      </c>
      <c r="C31" s="1" t="s">
        <v>9</v>
      </c>
      <c r="D31" s="2" t="str">
        <f t="shared" si="0"/>
        <v>z2024300</v>
      </c>
      <c r="E31" s="2" t="str">
        <f>"田依"</f>
        <v>田依</v>
      </c>
      <c r="F31" s="2" t="str">
        <f>"女"</f>
        <v>女</v>
      </c>
      <c r="G31" s="1" t="str">
        <f t="shared" si="4"/>
        <v>本科</v>
      </c>
      <c r="H31" s="1" t="str">
        <f t="shared" si="5"/>
        <v>学士</v>
      </c>
      <c r="I31" s="1" t="str">
        <f>"湖南涉外经济学院"</f>
        <v>湖南涉外经济学院</v>
      </c>
      <c r="J31" s="1" t="str">
        <f>"音乐学"</f>
        <v>音乐学</v>
      </c>
      <c r="K31" s="7"/>
    </row>
    <row r="32" spans="1:11" ht="36" customHeight="1">
      <c r="A32" s="7">
        <v>30</v>
      </c>
      <c r="B32" s="1" t="s">
        <v>10</v>
      </c>
      <c r="C32" s="1" t="s">
        <v>9</v>
      </c>
      <c r="D32" s="2" t="str">
        <f t="shared" si="0"/>
        <v>z2024300</v>
      </c>
      <c r="E32" s="2" t="str">
        <f>"杨丹丹"</f>
        <v>杨丹丹</v>
      </c>
      <c r="F32" s="2" t="str">
        <f>"女"</f>
        <v>女</v>
      </c>
      <c r="G32" s="1" t="str">
        <f t="shared" si="4"/>
        <v>本科</v>
      </c>
      <c r="H32" s="1" t="str">
        <f t="shared" si="5"/>
        <v>学士</v>
      </c>
      <c r="I32" s="1" t="str">
        <f>"湖南人文科技学院"</f>
        <v>湖南人文科技学院</v>
      </c>
      <c r="J32" s="1" t="str">
        <f>"舞蹈编导"</f>
        <v>舞蹈编导</v>
      </c>
      <c r="K32" s="7"/>
    </row>
    <row r="33" spans="1:11" ht="36" customHeight="1">
      <c r="A33" s="7">
        <v>31</v>
      </c>
      <c r="B33" s="1" t="s">
        <v>10</v>
      </c>
      <c r="C33" s="1" t="s">
        <v>9</v>
      </c>
      <c r="D33" s="2" t="str">
        <f t="shared" si="0"/>
        <v>z2024300</v>
      </c>
      <c r="E33" s="2" t="str">
        <f>"蒋雨佳"</f>
        <v>蒋雨佳</v>
      </c>
      <c r="F33" s="2" t="str">
        <f>"女"</f>
        <v>女</v>
      </c>
      <c r="G33" s="1" t="str">
        <f t="shared" si="4"/>
        <v>本科</v>
      </c>
      <c r="H33" s="1" t="str">
        <f t="shared" si="5"/>
        <v>学士</v>
      </c>
      <c r="I33" s="1" t="str">
        <f>"湖北恩施学院"</f>
        <v>湖北恩施学院</v>
      </c>
      <c r="J33" s="1" t="str">
        <f>"舞蹈学"</f>
        <v>舞蹈学</v>
      </c>
      <c r="K33" s="7"/>
    </row>
    <row r="34" spans="1:11" ht="36" customHeight="1">
      <c r="A34" s="7">
        <v>32</v>
      </c>
      <c r="B34" s="1" t="s">
        <v>10</v>
      </c>
      <c r="C34" s="1" t="s">
        <v>9</v>
      </c>
      <c r="D34" s="2" t="str">
        <f t="shared" si="0"/>
        <v>z2024300</v>
      </c>
      <c r="E34" s="2" t="str">
        <f>"郑万林"</f>
        <v>郑万林</v>
      </c>
      <c r="F34" s="2" t="str">
        <f>"男"</f>
        <v>男</v>
      </c>
      <c r="G34" s="1" t="str">
        <f t="shared" si="4"/>
        <v>本科</v>
      </c>
      <c r="H34" s="1" t="str">
        <f t="shared" si="5"/>
        <v>学士</v>
      </c>
      <c r="I34" s="1" t="str">
        <f>"武汉设计工程学院"</f>
        <v>武汉设计工程学院</v>
      </c>
      <c r="J34" s="1" t="str">
        <f>"舞蹈表演"</f>
        <v>舞蹈表演</v>
      </c>
      <c r="K34" s="7"/>
    </row>
    <row r="35" spans="1:11" ht="36" customHeight="1">
      <c r="A35" s="7">
        <v>33</v>
      </c>
      <c r="B35" s="1" t="s">
        <v>10</v>
      </c>
      <c r="C35" s="1" t="s">
        <v>9</v>
      </c>
      <c r="D35" s="2" t="str">
        <f t="shared" ref="D35:D66" si="6">"z2024300"</f>
        <v>z2024300</v>
      </c>
      <c r="E35" s="2" t="str">
        <f>"张紫微"</f>
        <v>张紫微</v>
      </c>
      <c r="F35" s="2" t="str">
        <f>"女"</f>
        <v>女</v>
      </c>
      <c r="G35" s="1" t="str">
        <f t="shared" si="4"/>
        <v>本科</v>
      </c>
      <c r="H35" s="1" t="str">
        <f t="shared" si="5"/>
        <v>学士</v>
      </c>
      <c r="I35" s="1" t="str">
        <f>"九江学院"</f>
        <v>九江学院</v>
      </c>
      <c r="J35" s="1" t="str">
        <f>"广播电视编导"</f>
        <v>广播电视编导</v>
      </c>
      <c r="K35" s="7"/>
    </row>
    <row r="36" spans="1:11" ht="36" customHeight="1">
      <c r="A36" s="7">
        <v>34</v>
      </c>
      <c r="B36" s="1" t="s">
        <v>10</v>
      </c>
      <c r="C36" s="1" t="s">
        <v>9</v>
      </c>
      <c r="D36" s="2" t="str">
        <f t="shared" si="6"/>
        <v>z2024300</v>
      </c>
      <c r="E36" s="2" t="str">
        <f>"杨天灵"</f>
        <v>杨天灵</v>
      </c>
      <c r="F36" s="2" t="str">
        <f>"女"</f>
        <v>女</v>
      </c>
      <c r="G36" s="1" t="str">
        <f t="shared" si="4"/>
        <v>本科</v>
      </c>
      <c r="H36" s="1" t="str">
        <f t="shared" si="5"/>
        <v>学士</v>
      </c>
      <c r="I36" s="1" t="str">
        <f>"湖北文理学院"</f>
        <v>湖北文理学院</v>
      </c>
      <c r="J36" s="1" t="str">
        <f>"音乐学"</f>
        <v>音乐学</v>
      </c>
      <c r="K36" s="7"/>
    </row>
    <row r="37" spans="1:11" ht="36" customHeight="1">
      <c r="A37" s="7">
        <v>35</v>
      </c>
      <c r="B37" s="1" t="s">
        <v>10</v>
      </c>
      <c r="C37" s="1" t="s">
        <v>9</v>
      </c>
      <c r="D37" s="2" t="str">
        <f t="shared" si="6"/>
        <v>z2024300</v>
      </c>
      <c r="E37" s="2" t="str">
        <f>"向琪"</f>
        <v>向琪</v>
      </c>
      <c r="F37" s="2" t="str">
        <f>"女"</f>
        <v>女</v>
      </c>
      <c r="G37" s="1" t="str">
        <f t="shared" si="4"/>
        <v>本科</v>
      </c>
      <c r="H37" s="1" t="str">
        <f>"无"</f>
        <v>无</v>
      </c>
      <c r="I37" s="1" t="str">
        <f>"湖北民族大学"</f>
        <v>湖北民族大学</v>
      </c>
      <c r="J37" s="1" t="str">
        <f>"广播电视编导"</f>
        <v>广播电视编导</v>
      </c>
      <c r="K37" s="7"/>
    </row>
    <row r="38" spans="1:11" ht="36" customHeight="1">
      <c r="A38" s="7">
        <v>36</v>
      </c>
      <c r="B38" s="1" t="s">
        <v>10</v>
      </c>
      <c r="C38" s="1" t="s">
        <v>9</v>
      </c>
      <c r="D38" s="2" t="str">
        <f t="shared" si="6"/>
        <v>z2024300</v>
      </c>
      <c r="E38" s="2" t="str">
        <f>"吴皖楚"</f>
        <v>吴皖楚</v>
      </c>
      <c r="F38" s="2" t="str">
        <f>"男"</f>
        <v>男</v>
      </c>
      <c r="G38" s="1" t="str">
        <f t="shared" si="4"/>
        <v>本科</v>
      </c>
      <c r="H38" s="1" t="str">
        <f>"学士"</f>
        <v>学士</v>
      </c>
      <c r="I38" s="1" t="str">
        <f>"四川大学"</f>
        <v>四川大学</v>
      </c>
      <c r="J38" s="1" t="str">
        <f>"表演/法学"</f>
        <v>表演/法学</v>
      </c>
      <c r="K38" s="7"/>
    </row>
    <row r="39" spans="1:11" ht="36" customHeight="1">
      <c r="A39" s="7">
        <v>37</v>
      </c>
      <c r="B39" s="1" t="s">
        <v>10</v>
      </c>
      <c r="C39" s="1" t="s">
        <v>9</v>
      </c>
      <c r="D39" s="2" t="str">
        <f t="shared" si="6"/>
        <v>z2024300</v>
      </c>
      <c r="E39" s="2" t="str">
        <f>"秦中秋"</f>
        <v>秦中秋</v>
      </c>
      <c r="F39" s="2" t="str">
        <f>"女"</f>
        <v>女</v>
      </c>
      <c r="G39" s="1" t="str">
        <f t="shared" si="4"/>
        <v>本科</v>
      </c>
      <c r="H39" s="1" t="str">
        <f>"学士"</f>
        <v>学士</v>
      </c>
      <c r="I39" s="1" t="str">
        <f>"汉江师范学院"</f>
        <v>汉江师范学院</v>
      </c>
      <c r="J39" s="1" t="str">
        <f>"音乐学"</f>
        <v>音乐学</v>
      </c>
      <c r="K39" s="7"/>
    </row>
    <row r="40" spans="1:11" ht="36" customHeight="1">
      <c r="A40" s="7">
        <v>38</v>
      </c>
      <c r="B40" s="1" t="s">
        <v>10</v>
      </c>
      <c r="C40" s="1" t="s">
        <v>9</v>
      </c>
      <c r="D40" s="2" t="str">
        <f t="shared" si="6"/>
        <v>z2024300</v>
      </c>
      <c r="E40" s="2" t="str">
        <f>"唐寿豪"</f>
        <v>唐寿豪</v>
      </c>
      <c r="F40" s="2" t="str">
        <f>"男"</f>
        <v>男</v>
      </c>
      <c r="G40" s="1" t="str">
        <f>"中专"</f>
        <v>中专</v>
      </c>
      <c r="H40" s="1" t="str">
        <f>"无"</f>
        <v>无</v>
      </c>
      <c r="I40" s="1" t="str">
        <f>"咸丰县民族技工学校"</f>
        <v>咸丰县民族技工学校</v>
      </c>
      <c r="J40" s="1" t="str">
        <f>"艺术"</f>
        <v>艺术</v>
      </c>
      <c r="K40" s="7"/>
    </row>
    <row r="41" spans="1:11" ht="36" customHeight="1">
      <c r="A41" s="7">
        <v>39</v>
      </c>
      <c r="B41" s="1" t="s">
        <v>10</v>
      </c>
      <c r="C41" s="1" t="s">
        <v>9</v>
      </c>
      <c r="D41" s="2" t="str">
        <f t="shared" si="6"/>
        <v>z2024300</v>
      </c>
      <c r="E41" s="2" t="str">
        <f>"宋宇豪"</f>
        <v>宋宇豪</v>
      </c>
      <c r="F41" s="2" t="str">
        <f>"男"</f>
        <v>男</v>
      </c>
      <c r="G41" s="1" t="str">
        <f>"本科"</f>
        <v>本科</v>
      </c>
      <c r="H41" s="1" t="str">
        <f>"学士"</f>
        <v>学士</v>
      </c>
      <c r="I41" s="1" t="str">
        <f>"北方民族大学"</f>
        <v>北方民族大学</v>
      </c>
      <c r="J41" s="1" t="str">
        <f>"舞蹈学"</f>
        <v>舞蹈学</v>
      </c>
      <c r="K41" s="7"/>
    </row>
    <row r="42" spans="1:11" ht="36" customHeight="1">
      <c r="A42" s="7">
        <v>40</v>
      </c>
      <c r="B42" s="1" t="s">
        <v>10</v>
      </c>
      <c r="C42" s="1" t="s">
        <v>9</v>
      </c>
      <c r="D42" s="2" t="str">
        <f t="shared" si="6"/>
        <v>z2024300</v>
      </c>
      <c r="E42" s="2" t="str">
        <f>"杨淑宇"</f>
        <v>杨淑宇</v>
      </c>
      <c r="F42" s="2" t="str">
        <f>"男"</f>
        <v>男</v>
      </c>
      <c r="G42" s="1" t="str">
        <f>"大专"</f>
        <v>大专</v>
      </c>
      <c r="H42" s="1" t="str">
        <f>"无"</f>
        <v>无</v>
      </c>
      <c r="I42" s="1" t="str">
        <f>"湖北艺术职业学院"</f>
        <v>湖北艺术职业学院</v>
      </c>
      <c r="J42" s="1" t="str">
        <f>"戏曲表演"</f>
        <v>戏曲表演</v>
      </c>
      <c r="K42" s="7"/>
    </row>
    <row r="43" spans="1:11" ht="36" customHeight="1">
      <c r="A43" s="7">
        <v>41</v>
      </c>
      <c r="B43" s="1" t="s">
        <v>10</v>
      </c>
      <c r="C43" s="1" t="s">
        <v>9</v>
      </c>
      <c r="D43" s="2" t="str">
        <f t="shared" si="6"/>
        <v>z2024300</v>
      </c>
      <c r="E43" s="2" t="str">
        <f>"杨杭"</f>
        <v>杨杭</v>
      </c>
      <c r="F43" s="2" t="str">
        <f>"男"</f>
        <v>男</v>
      </c>
      <c r="G43" s="1" t="str">
        <f>"本科"</f>
        <v>本科</v>
      </c>
      <c r="H43" s="1" t="str">
        <f>"学士"</f>
        <v>学士</v>
      </c>
      <c r="I43" s="1" t="str">
        <f>"湖北师范大学文理学院"</f>
        <v>湖北师范大学文理学院</v>
      </c>
      <c r="J43" s="1" t="str">
        <f>"音乐学"</f>
        <v>音乐学</v>
      </c>
      <c r="K43" s="7"/>
    </row>
    <row r="44" spans="1:11" ht="36" customHeight="1">
      <c r="A44" s="7">
        <v>42</v>
      </c>
      <c r="B44" s="1" t="s">
        <v>10</v>
      </c>
      <c r="C44" s="1" t="s">
        <v>9</v>
      </c>
      <c r="D44" s="2" t="str">
        <f t="shared" si="6"/>
        <v>z2024300</v>
      </c>
      <c r="E44" s="2" t="str">
        <f>"肖娴"</f>
        <v>肖娴</v>
      </c>
      <c r="F44" s="2" t="str">
        <f>"女"</f>
        <v>女</v>
      </c>
      <c r="G44" s="1" t="str">
        <f>"大专"</f>
        <v>大专</v>
      </c>
      <c r="H44" s="1" t="str">
        <f>"无"</f>
        <v>无</v>
      </c>
      <c r="I44" s="1" t="str">
        <f>"湖北省艺术职业学院"</f>
        <v>湖北省艺术职业学院</v>
      </c>
      <c r="J44" s="1" t="str">
        <f>"戏曲表演"</f>
        <v>戏曲表演</v>
      </c>
      <c r="K44" s="7"/>
    </row>
    <row r="45" spans="1:11" ht="36" customHeight="1">
      <c r="A45" s="7">
        <v>43</v>
      </c>
      <c r="B45" s="1" t="s">
        <v>10</v>
      </c>
      <c r="C45" s="1" t="s">
        <v>9</v>
      </c>
      <c r="D45" s="2" t="str">
        <f t="shared" si="6"/>
        <v>z2024300</v>
      </c>
      <c r="E45" s="2" t="str">
        <f>"曾妮"</f>
        <v>曾妮</v>
      </c>
      <c r="F45" s="2" t="str">
        <f>"女"</f>
        <v>女</v>
      </c>
      <c r="G45" s="1" t="str">
        <f>"大专"</f>
        <v>大专</v>
      </c>
      <c r="H45" s="1" t="str">
        <f>"无"</f>
        <v>无</v>
      </c>
      <c r="I45" s="1" t="str">
        <f>"湖北省艺术职业学院"</f>
        <v>湖北省艺术职业学院</v>
      </c>
      <c r="J45" s="1" t="str">
        <f>"戏曲表演"</f>
        <v>戏曲表演</v>
      </c>
      <c r="K45" s="7"/>
    </row>
    <row r="46" spans="1:11" ht="36" customHeight="1">
      <c r="A46" s="7">
        <v>44</v>
      </c>
      <c r="B46" s="1" t="s">
        <v>10</v>
      </c>
      <c r="C46" s="1" t="s">
        <v>9</v>
      </c>
      <c r="D46" s="2" t="str">
        <f t="shared" si="6"/>
        <v>z2024300</v>
      </c>
      <c r="E46" s="2" t="str">
        <f>"向晓莉"</f>
        <v>向晓莉</v>
      </c>
      <c r="F46" s="2" t="str">
        <f>"女"</f>
        <v>女</v>
      </c>
      <c r="G46" s="1" t="str">
        <f>"大专"</f>
        <v>大专</v>
      </c>
      <c r="H46" s="1" t="str">
        <f>"无"</f>
        <v>无</v>
      </c>
      <c r="I46" s="1" t="str">
        <f>"湖北艺术职业学院"</f>
        <v>湖北艺术职业学院</v>
      </c>
      <c r="J46" s="1" t="str">
        <f>"音乐表演"</f>
        <v>音乐表演</v>
      </c>
      <c r="K46" s="7"/>
    </row>
    <row r="47" spans="1:11" ht="36" customHeight="1">
      <c r="A47" s="7">
        <v>45</v>
      </c>
      <c r="B47" s="1" t="s">
        <v>10</v>
      </c>
      <c r="C47" s="1" t="s">
        <v>9</v>
      </c>
      <c r="D47" s="2" t="str">
        <f t="shared" si="6"/>
        <v>z2024300</v>
      </c>
      <c r="E47" s="2" t="str">
        <f>"肖淼淼"</f>
        <v>肖淼淼</v>
      </c>
      <c r="F47" s="2" t="str">
        <f>"女"</f>
        <v>女</v>
      </c>
      <c r="G47" s="1" t="str">
        <f>"大专"</f>
        <v>大专</v>
      </c>
      <c r="H47" s="1" t="str">
        <f>"无"</f>
        <v>无</v>
      </c>
      <c r="I47" s="1" t="str">
        <f>"湖北艺术职业学院"</f>
        <v>湖北艺术职业学院</v>
      </c>
      <c r="J47" s="1" t="str">
        <f>"戏曲表演"</f>
        <v>戏曲表演</v>
      </c>
      <c r="K47" s="7"/>
    </row>
    <row r="48" spans="1:11" ht="36" customHeight="1">
      <c r="A48" s="7">
        <v>46</v>
      </c>
      <c r="B48" s="1" t="s">
        <v>10</v>
      </c>
      <c r="C48" s="1" t="s">
        <v>9</v>
      </c>
      <c r="D48" s="2" t="str">
        <f t="shared" si="6"/>
        <v>z2024300</v>
      </c>
      <c r="E48" s="2" t="str">
        <f>"袁其麟"</f>
        <v>袁其麟</v>
      </c>
      <c r="F48" s="2" t="str">
        <f>"男"</f>
        <v>男</v>
      </c>
      <c r="G48" s="1" t="str">
        <f>"本科"</f>
        <v>本科</v>
      </c>
      <c r="H48" s="1" t="str">
        <f>"学士"</f>
        <v>学士</v>
      </c>
      <c r="I48" s="1" t="str">
        <f>"北方民族大学"</f>
        <v>北方民族大学</v>
      </c>
      <c r="J48" s="1" t="str">
        <f>"舞蹈学"</f>
        <v>舞蹈学</v>
      </c>
      <c r="K48" s="7"/>
    </row>
    <row r="49" spans="1:11" ht="36" customHeight="1">
      <c r="A49" s="7">
        <v>47</v>
      </c>
      <c r="B49" s="1" t="s">
        <v>10</v>
      </c>
      <c r="C49" s="1" t="s">
        <v>9</v>
      </c>
      <c r="D49" s="2" t="str">
        <f t="shared" si="6"/>
        <v>z2024300</v>
      </c>
      <c r="E49" s="2" t="str">
        <f>"卢苇"</f>
        <v>卢苇</v>
      </c>
      <c r="F49" s="2" t="str">
        <f>"女"</f>
        <v>女</v>
      </c>
      <c r="G49" s="1" t="str">
        <f>"大专"</f>
        <v>大专</v>
      </c>
      <c r="H49" s="1" t="str">
        <f>"无"</f>
        <v>无</v>
      </c>
      <c r="I49" s="1" t="str">
        <f>"湖北省艺术职业学院"</f>
        <v>湖北省艺术职业学院</v>
      </c>
      <c r="J49" s="1" t="str">
        <f>"音乐表演（戏曲表演）"</f>
        <v>音乐表演（戏曲表演）</v>
      </c>
      <c r="K49" s="7"/>
    </row>
    <row r="50" spans="1:11" ht="36" customHeight="1">
      <c r="A50" s="7">
        <v>48</v>
      </c>
      <c r="B50" s="1" t="s">
        <v>10</v>
      </c>
      <c r="C50" s="1" t="s">
        <v>9</v>
      </c>
      <c r="D50" s="2" t="str">
        <f t="shared" si="6"/>
        <v>z2024300</v>
      </c>
      <c r="E50" s="2" t="str">
        <f>"邓生超"</f>
        <v>邓生超</v>
      </c>
      <c r="F50" s="2" t="str">
        <f>"男"</f>
        <v>男</v>
      </c>
      <c r="G50" s="1" t="str">
        <f>"大专"</f>
        <v>大专</v>
      </c>
      <c r="H50" s="1" t="str">
        <f>"无"</f>
        <v>无</v>
      </c>
      <c r="I50" s="1" t="str">
        <f>"湖北艺术职业学院"</f>
        <v>湖北艺术职业学院</v>
      </c>
      <c r="J50" s="1" t="str">
        <f>"戏曲表演   音乐表演"</f>
        <v>戏曲表演   音乐表演</v>
      </c>
      <c r="K50" s="7"/>
    </row>
    <row r="51" spans="1:11" ht="36" customHeight="1">
      <c r="A51" s="7">
        <v>49</v>
      </c>
      <c r="B51" s="1" t="s">
        <v>10</v>
      </c>
      <c r="C51" s="1" t="s">
        <v>9</v>
      </c>
      <c r="D51" s="2" t="str">
        <f t="shared" si="6"/>
        <v>z2024300</v>
      </c>
      <c r="E51" s="2" t="str">
        <f>"陈兵"</f>
        <v>陈兵</v>
      </c>
      <c r="F51" s="2" t="str">
        <f>"男"</f>
        <v>男</v>
      </c>
      <c r="G51" s="1" t="str">
        <f>"大专"</f>
        <v>大专</v>
      </c>
      <c r="H51" s="1" t="str">
        <f>"无"</f>
        <v>无</v>
      </c>
      <c r="I51" s="1" t="str">
        <f>"湖北艺术职业学院"</f>
        <v>湖北艺术职业学院</v>
      </c>
      <c r="J51" s="1" t="str">
        <f>"戏曲表演"</f>
        <v>戏曲表演</v>
      </c>
      <c r="K51" s="7"/>
    </row>
    <row r="52" spans="1:11" ht="36" customHeight="1">
      <c r="A52" s="7">
        <v>50</v>
      </c>
      <c r="B52" s="1" t="s">
        <v>10</v>
      </c>
      <c r="C52" s="1" t="s">
        <v>9</v>
      </c>
      <c r="D52" s="2" t="str">
        <f t="shared" si="6"/>
        <v>z2024300</v>
      </c>
      <c r="E52" s="2" t="str">
        <f>"王艳"</f>
        <v>王艳</v>
      </c>
      <c r="F52" s="2" t="str">
        <f>"女"</f>
        <v>女</v>
      </c>
      <c r="G52" s="1" t="str">
        <f>"大专"</f>
        <v>大专</v>
      </c>
      <c r="H52" s="1" t="str">
        <f>"无"</f>
        <v>无</v>
      </c>
      <c r="I52" s="1" t="str">
        <f>"湖北艺术职业学院"</f>
        <v>湖北艺术职业学院</v>
      </c>
      <c r="J52" s="1" t="str">
        <f>"戏曲表演"</f>
        <v>戏曲表演</v>
      </c>
      <c r="K52" s="7"/>
    </row>
    <row r="53" spans="1:11" ht="36" customHeight="1">
      <c r="A53" s="7">
        <v>51</v>
      </c>
      <c r="B53" s="1" t="s">
        <v>10</v>
      </c>
      <c r="C53" s="1" t="s">
        <v>9</v>
      </c>
      <c r="D53" s="2" t="str">
        <f t="shared" si="6"/>
        <v>z2024300</v>
      </c>
      <c r="E53" s="2" t="str">
        <f>"董晶菁"</f>
        <v>董晶菁</v>
      </c>
      <c r="F53" s="2" t="str">
        <f>"女"</f>
        <v>女</v>
      </c>
      <c r="G53" s="1" t="str">
        <f>"本科"</f>
        <v>本科</v>
      </c>
      <c r="H53" s="1" t="str">
        <f>"学士"</f>
        <v>学士</v>
      </c>
      <c r="I53" s="1" t="str">
        <f>"成都理工大学"</f>
        <v>成都理工大学</v>
      </c>
      <c r="J53" s="1" t="str">
        <f>"戏剧影视文学"</f>
        <v>戏剧影视文学</v>
      </c>
      <c r="K53" s="7"/>
    </row>
    <row r="54" spans="1:11" ht="36" customHeight="1">
      <c r="A54" s="7">
        <v>52</v>
      </c>
      <c r="B54" s="1" t="s">
        <v>10</v>
      </c>
      <c r="C54" s="1" t="s">
        <v>9</v>
      </c>
      <c r="D54" s="2" t="str">
        <f t="shared" si="6"/>
        <v>z2024300</v>
      </c>
      <c r="E54" s="2" t="str">
        <f>"罗龙峰"</f>
        <v>罗龙峰</v>
      </c>
      <c r="F54" s="2" t="str">
        <f>"男"</f>
        <v>男</v>
      </c>
      <c r="G54" s="1" t="str">
        <f t="shared" ref="G54:G59" si="7">"大专"</f>
        <v>大专</v>
      </c>
      <c r="H54" s="1" t="str">
        <f t="shared" ref="H54:H59" si="8">"无"</f>
        <v>无</v>
      </c>
      <c r="I54" s="1" t="str">
        <f>"湖北省艺术职业学院"</f>
        <v>湖北省艺术职业学院</v>
      </c>
      <c r="J54" s="1" t="str">
        <f>"戏曲表演"</f>
        <v>戏曲表演</v>
      </c>
      <c r="K54" s="7"/>
    </row>
    <row r="55" spans="1:11" ht="36" customHeight="1">
      <c r="A55" s="7">
        <v>53</v>
      </c>
      <c r="B55" s="1" t="s">
        <v>10</v>
      </c>
      <c r="C55" s="1" t="s">
        <v>9</v>
      </c>
      <c r="D55" s="2" t="str">
        <f t="shared" si="6"/>
        <v>z2024300</v>
      </c>
      <c r="E55" s="2" t="str">
        <f>"郑宇恒"</f>
        <v>郑宇恒</v>
      </c>
      <c r="F55" s="2" t="str">
        <f>"男"</f>
        <v>男</v>
      </c>
      <c r="G55" s="1" t="str">
        <f t="shared" si="7"/>
        <v>大专</v>
      </c>
      <c r="H55" s="1" t="str">
        <f t="shared" si="8"/>
        <v>无</v>
      </c>
      <c r="I55" s="1" t="str">
        <f>"河南省平顶山工业职业技术学院"</f>
        <v>河南省平顶山工业职业技术学院</v>
      </c>
      <c r="J55" s="1" t="str">
        <f>"音乐表演"</f>
        <v>音乐表演</v>
      </c>
      <c r="K55" s="7"/>
    </row>
    <row r="56" spans="1:11" ht="36" customHeight="1">
      <c r="A56" s="7">
        <v>54</v>
      </c>
      <c r="B56" s="1" t="s">
        <v>10</v>
      </c>
      <c r="C56" s="1" t="s">
        <v>9</v>
      </c>
      <c r="D56" s="2" t="str">
        <f t="shared" si="6"/>
        <v>z2024300</v>
      </c>
      <c r="E56" s="2" t="str">
        <f>"杨露"</f>
        <v>杨露</v>
      </c>
      <c r="F56" s="2" t="str">
        <f>"男"</f>
        <v>男</v>
      </c>
      <c r="G56" s="1" t="str">
        <f t="shared" si="7"/>
        <v>大专</v>
      </c>
      <c r="H56" s="1" t="str">
        <f t="shared" si="8"/>
        <v>无</v>
      </c>
      <c r="I56" s="1" t="str">
        <f>"湖北省艺术职业学院"</f>
        <v>湖北省艺术职业学院</v>
      </c>
      <c r="J56" s="1" t="str">
        <f>"戏曲表演"</f>
        <v>戏曲表演</v>
      </c>
      <c r="K56" s="7"/>
    </row>
    <row r="57" spans="1:11" ht="36" customHeight="1">
      <c r="A57" s="7">
        <v>55</v>
      </c>
      <c r="B57" s="1" t="s">
        <v>10</v>
      </c>
      <c r="C57" s="1" t="s">
        <v>9</v>
      </c>
      <c r="D57" s="2" t="str">
        <f t="shared" si="6"/>
        <v>z2024300</v>
      </c>
      <c r="E57" s="2" t="str">
        <f>"杨秋节"</f>
        <v>杨秋节</v>
      </c>
      <c r="F57" s="2" t="str">
        <f>"女"</f>
        <v>女</v>
      </c>
      <c r="G57" s="1" t="str">
        <f t="shared" si="7"/>
        <v>大专</v>
      </c>
      <c r="H57" s="1" t="str">
        <f t="shared" si="8"/>
        <v>无</v>
      </c>
      <c r="I57" s="1" t="str">
        <f>"湖北省艺术职业学院"</f>
        <v>湖北省艺术职业学院</v>
      </c>
      <c r="J57" s="1" t="str">
        <f>"戏曲表演"</f>
        <v>戏曲表演</v>
      </c>
      <c r="K57" s="7"/>
    </row>
    <row r="58" spans="1:11" ht="36" customHeight="1">
      <c r="A58" s="7">
        <v>56</v>
      </c>
      <c r="B58" s="1" t="s">
        <v>10</v>
      </c>
      <c r="C58" s="1" t="s">
        <v>9</v>
      </c>
      <c r="D58" s="2" t="str">
        <f t="shared" si="6"/>
        <v>z2024300</v>
      </c>
      <c r="E58" s="2" t="str">
        <f>"游琳姝"</f>
        <v>游琳姝</v>
      </c>
      <c r="F58" s="2" t="str">
        <f>"女"</f>
        <v>女</v>
      </c>
      <c r="G58" s="1" t="str">
        <f t="shared" si="7"/>
        <v>大专</v>
      </c>
      <c r="H58" s="1" t="str">
        <f t="shared" si="8"/>
        <v>无</v>
      </c>
      <c r="I58" s="1" t="str">
        <f>"湖北艺术职业学院"</f>
        <v>湖北艺术职业学院</v>
      </c>
      <c r="J58" s="1" t="str">
        <f>"戏曲表演"</f>
        <v>戏曲表演</v>
      </c>
      <c r="K58" s="7"/>
    </row>
    <row r="59" spans="1:11" ht="36" customHeight="1">
      <c r="A59" s="7">
        <v>57</v>
      </c>
      <c r="B59" s="1" t="s">
        <v>10</v>
      </c>
      <c r="C59" s="1" t="s">
        <v>9</v>
      </c>
      <c r="D59" s="2" t="str">
        <f t="shared" si="6"/>
        <v>z2024300</v>
      </c>
      <c r="E59" s="2" t="str">
        <f>"罗昌浩"</f>
        <v>罗昌浩</v>
      </c>
      <c r="F59" s="2" t="str">
        <f>"男"</f>
        <v>男</v>
      </c>
      <c r="G59" s="1" t="str">
        <f t="shared" si="7"/>
        <v>大专</v>
      </c>
      <c r="H59" s="1" t="str">
        <f t="shared" si="8"/>
        <v>无</v>
      </c>
      <c r="I59" s="1" t="str">
        <f>"湖北省艺术职业学院"</f>
        <v>湖北省艺术职业学院</v>
      </c>
      <c r="J59" s="1" t="str">
        <f>"戏曲表演"</f>
        <v>戏曲表演</v>
      </c>
      <c r="K59" s="7"/>
    </row>
    <row r="60" spans="1:11" ht="36" customHeight="1">
      <c r="A60" s="7">
        <v>58</v>
      </c>
      <c r="B60" s="1" t="s">
        <v>10</v>
      </c>
      <c r="C60" s="1" t="s">
        <v>9</v>
      </c>
      <c r="D60" s="2" t="str">
        <f t="shared" si="6"/>
        <v>z2024300</v>
      </c>
      <c r="E60" s="2" t="str">
        <f>"郭珊珊"</f>
        <v>郭珊珊</v>
      </c>
      <c r="F60" s="2" t="str">
        <f>"女"</f>
        <v>女</v>
      </c>
      <c r="G60" s="1" t="str">
        <f t="shared" ref="G60:G65" si="9">"本科"</f>
        <v>本科</v>
      </c>
      <c r="H60" s="1" t="str">
        <f t="shared" ref="H60:H65" si="10">"学士"</f>
        <v>学士</v>
      </c>
      <c r="I60" s="1" t="str">
        <f>"武汉传媒学院"</f>
        <v>武汉传媒学院</v>
      </c>
      <c r="J60" s="1" t="str">
        <f>"音乐表演（舞蹈方向）"</f>
        <v>音乐表演（舞蹈方向）</v>
      </c>
      <c r="K60" s="7"/>
    </row>
    <row r="61" spans="1:11" ht="36" customHeight="1">
      <c r="A61" s="7">
        <v>59</v>
      </c>
      <c r="B61" s="1" t="s">
        <v>10</v>
      </c>
      <c r="C61" s="1" t="s">
        <v>9</v>
      </c>
      <c r="D61" s="2" t="str">
        <f t="shared" si="6"/>
        <v>z2024300</v>
      </c>
      <c r="E61" s="2" t="str">
        <f>"王锴锐"</f>
        <v>王锴锐</v>
      </c>
      <c r="F61" s="2" t="str">
        <f>"男"</f>
        <v>男</v>
      </c>
      <c r="G61" s="1" t="str">
        <f t="shared" si="9"/>
        <v>本科</v>
      </c>
      <c r="H61" s="1" t="str">
        <f t="shared" si="10"/>
        <v>学士</v>
      </c>
      <c r="I61" s="1" t="str">
        <f>"荆楚理工学院"</f>
        <v>荆楚理工学院</v>
      </c>
      <c r="J61" s="1" t="str">
        <f>"音乐表演"</f>
        <v>音乐表演</v>
      </c>
      <c r="K61" s="7"/>
    </row>
    <row r="62" spans="1:11" ht="36" customHeight="1">
      <c r="A62" s="7">
        <v>60</v>
      </c>
      <c r="B62" s="1" t="s">
        <v>10</v>
      </c>
      <c r="C62" s="1" t="s">
        <v>9</v>
      </c>
      <c r="D62" s="2" t="str">
        <f t="shared" si="6"/>
        <v>z2024300</v>
      </c>
      <c r="E62" s="2" t="str">
        <f>"马盔灵"</f>
        <v>马盔灵</v>
      </c>
      <c r="F62" s="2" t="str">
        <f>"男"</f>
        <v>男</v>
      </c>
      <c r="G62" s="1" t="str">
        <f t="shared" si="9"/>
        <v>本科</v>
      </c>
      <c r="H62" s="1" t="str">
        <f t="shared" si="10"/>
        <v>学士</v>
      </c>
      <c r="I62" s="1" t="str">
        <f>"西安邮电大学"</f>
        <v>西安邮电大学</v>
      </c>
      <c r="J62" s="1" t="str">
        <f>"广播电视编导"</f>
        <v>广播电视编导</v>
      </c>
      <c r="K62" s="7"/>
    </row>
    <row r="63" spans="1:11" ht="36" customHeight="1">
      <c r="A63" s="7">
        <v>61</v>
      </c>
      <c r="B63" s="1" t="s">
        <v>10</v>
      </c>
      <c r="C63" s="1" t="s">
        <v>9</v>
      </c>
      <c r="D63" s="2" t="str">
        <f t="shared" si="6"/>
        <v>z2024300</v>
      </c>
      <c r="E63" s="2" t="str">
        <f>"彭蝶"</f>
        <v>彭蝶</v>
      </c>
      <c r="F63" s="2" t="str">
        <f>"女"</f>
        <v>女</v>
      </c>
      <c r="G63" s="1" t="str">
        <f t="shared" si="9"/>
        <v>本科</v>
      </c>
      <c r="H63" s="1" t="str">
        <f t="shared" si="10"/>
        <v>学士</v>
      </c>
      <c r="I63" s="1" t="str">
        <f>"湖南科技大学"</f>
        <v>湖南科技大学</v>
      </c>
      <c r="J63" s="1" t="str">
        <f>"舞蹈表演"</f>
        <v>舞蹈表演</v>
      </c>
      <c r="K63" s="7"/>
    </row>
    <row r="64" spans="1:11" ht="36" customHeight="1">
      <c r="A64" s="7">
        <v>62</v>
      </c>
      <c r="B64" s="1" t="s">
        <v>10</v>
      </c>
      <c r="C64" s="1" t="s">
        <v>9</v>
      </c>
      <c r="D64" s="2" t="str">
        <f t="shared" si="6"/>
        <v>z2024300</v>
      </c>
      <c r="E64" s="2" t="str">
        <f>"陈娅军"</f>
        <v>陈娅军</v>
      </c>
      <c r="F64" s="2" t="str">
        <f>"女"</f>
        <v>女</v>
      </c>
      <c r="G64" s="1" t="str">
        <f t="shared" si="9"/>
        <v>本科</v>
      </c>
      <c r="H64" s="1" t="str">
        <f t="shared" si="10"/>
        <v>学士</v>
      </c>
      <c r="I64" s="1" t="str">
        <f>"汉江师范学院"</f>
        <v>汉江师范学院</v>
      </c>
      <c r="J64" s="1" t="str">
        <f>"音乐学"</f>
        <v>音乐学</v>
      </c>
      <c r="K64" s="7"/>
    </row>
    <row r="65" spans="1:11" ht="36" customHeight="1">
      <c r="A65" s="7">
        <v>63</v>
      </c>
      <c r="B65" s="1" t="s">
        <v>10</v>
      </c>
      <c r="C65" s="1" t="s">
        <v>9</v>
      </c>
      <c r="D65" s="2" t="str">
        <f t="shared" si="6"/>
        <v>z2024300</v>
      </c>
      <c r="E65" s="2" t="str">
        <f>"田冬妮"</f>
        <v>田冬妮</v>
      </c>
      <c r="F65" s="2" t="str">
        <f>"女"</f>
        <v>女</v>
      </c>
      <c r="G65" s="1" t="str">
        <f t="shared" si="9"/>
        <v>本科</v>
      </c>
      <c r="H65" s="1" t="str">
        <f t="shared" si="10"/>
        <v>学士</v>
      </c>
      <c r="I65" s="1" t="str">
        <f>"湖北科技学院"</f>
        <v>湖北科技学院</v>
      </c>
      <c r="J65" s="1" t="str">
        <f>"表演"</f>
        <v>表演</v>
      </c>
      <c r="K65" s="7"/>
    </row>
    <row r="66" spans="1:11" ht="36" customHeight="1">
      <c r="A66" s="7">
        <v>64</v>
      </c>
      <c r="B66" s="1" t="s">
        <v>10</v>
      </c>
      <c r="C66" s="1" t="s">
        <v>9</v>
      </c>
      <c r="D66" s="2" t="str">
        <f t="shared" si="6"/>
        <v>z2024300</v>
      </c>
      <c r="E66" s="2" t="str">
        <f>"杜志博"</f>
        <v>杜志博</v>
      </c>
      <c r="F66" s="2" t="str">
        <f>"男"</f>
        <v>男</v>
      </c>
      <c r="G66" s="1" t="str">
        <f>"大专"</f>
        <v>大专</v>
      </c>
      <c r="H66" s="1" t="str">
        <f>"无"</f>
        <v>无</v>
      </c>
      <c r="I66" s="1" t="str">
        <f>"南昌理工学院"</f>
        <v>南昌理工学院</v>
      </c>
      <c r="J66" s="1" t="str">
        <f>"音乐表演"</f>
        <v>音乐表演</v>
      </c>
      <c r="K66" s="7"/>
    </row>
    <row r="67" spans="1:11" ht="36" customHeight="1">
      <c r="A67" s="7">
        <v>65</v>
      </c>
      <c r="B67" s="1" t="s">
        <v>10</v>
      </c>
      <c r="C67" s="1" t="s">
        <v>9</v>
      </c>
      <c r="D67" s="2" t="str">
        <f t="shared" ref="D67:D80" si="11">"z2024300"</f>
        <v>z2024300</v>
      </c>
      <c r="E67" s="2" t="str">
        <f>"钟雨欣"</f>
        <v>钟雨欣</v>
      </c>
      <c r="F67" s="2" t="str">
        <f>"女"</f>
        <v>女</v>
      </c>
      <c r="G67" s="1" t="str">
        <f>"本科"</f>
        <v>本科</v>
      </c>
      <c r="H67" s="1" t="str">
        <f>"学士"</f>
        <v>学士</v>
      </c>
      <c r="I67" s="1" t="str">
        <f>"广西民族大学"</f>
        <v>广西民族大学</v>
      </c>
      <c r="J67" s="1" t="str">
        <f>"音乐学"</f>
        <v>音乐学</v>
      </c>
      <c r="K67" s="7"/>
    </row>
    <row r="68" spans="1:11" ht="36" customHeight="1">
      <c r="A68" s="7">
        <v>66</v>
      </c>
      <c r="B68" s="1" t="s">
        <v>10</v>
      </c>
      <c r="C68" s="1" t="s">
        <v>9</v>
      </c>
      <c r="D68" s="2" t="str">
        <f t="shared" si="11"/>
        <v>z2024300</v>
      </c>
      <c r="E68" s="2" t="str">
        <f>"彭滗"</f>
        <v>彭滗</v>
      </c>
      <c r="F68" s="2" t="str">
        <f>"女"</f>
        <v>女</v>
      </c>
      <c r="G68" s="1" t="str">
        <f>"本科"</f>
        <v>本科</v>
      </c>
      <c r="H68" s="1" t="str">
        <f>"学士"</f>
        <v>学士</v>
      </c>
      <c r="I68" s="1" t="str">
        <f>"吉首大学"</f>
        <v>吉首大学</v>
      </c>
      <c r="J68" s="1" t="str">
        <f>"舞蹈学"</f>
        <v>舞蹈学</v>
      </c>
      <c r="K68" s="7"/>
    </row>
    <row r="69" spans="1:11" ht="36" customHeight="1">
      <c r="A69" s="7">
        <v>67</v>
      </c>
      <c r="B69" s="1" t="s">
        <v>10</v>
      </c>
      <c r="C69" s="1" t="s">
        <v>9</v>
      </c>
      <c r="D69" s="2" t="str">
        <f t="shared" si="11"/>
        <v>z2024300</v>
      </c>
      <c r="E69" s="2" t="str">
        <f>"周鑫杨"</f>
        <v>周鑫杨</v>
      </c>
      <c r="F69" s="2" t="str">
        <f>"男"</f>
        <v>男</v>
      </c>
      <c r="G69" s="1" t="str">
        <f>"大专"</f>
        <v>大专</v>
      </c>
      <c r="H69" s="1" t="str">
        <f>"无"</f>
        <v>无</v>
      </c>
      <c r="I69" s="1" t="str">
        <f>"湖北省艺术职业学院"</f>
        <v>湖北省艺术职业学院</v>
      </c>
      <c r="J69" s="1" t="str">
        <f>"戏曲表演"</f>
        <v>戏曲表演</v>
      </c>
      <c r="K69" s="7"/>
    </row>
    <row r="70" spans="1:11" ht="36" customHeight="1">
      <c r="A70" s="7">
        <v>68</v>
      </c>
      <c r="B70" s="1" t="s">
        <v>10</v>
      </c>
      <c r="C70" s="1" t="s">
        <v>9</v>
      </c>
      <c r="D70" s="2" t="str">
        <f t="shared" si="11"/>
        <v>z2024300</v>
      </c>
      <c r="E70" s="2" t="str">
        <f>"李牟"</f>
        <v>李牟</v>
      </c>
      <c r="F70" s="2" t="str">
        <f>"男"</f>
        <v>男</v>
      </c>
      <c r="G70" s="1" t="str">
        <f t="shared" ref="G70:G79" si="12">"本科"</f>
        <v>本科</v>
      </c>
      <c r="H70" s="1" t="str">
        <f t="shared" ref="H70:H79" si="13">"学士"</f>
        <v>学士</v>
      </c>
      <c r="I70" s="1" t="str">
        <f>"广西艺术学院"</f>
        <v>广西艺术学院</v>
      </c>
      <c r="J70" s="1" t="str">
        <f>"戏剧影视表演"</f>
        <v>戏剧影视表演</v>
      </c>
      <c r="K70" s="7"/>
    </row>
    <row r="71" spans="1:11" ht="36" customHeight="1">
      <c r="A71" s="7">
        <v>69</v>
      </c>
      <c r="B71" s="1" t="s">
        <v>10</v>
      </c>
      <c r="C71" s="1" t="s">
        <v>9</v>
      </c>
      <c r="D71" s="2" t="str">
        <f t="shared" si="11"/>
        <v>z2024300</v>
      </c>
      <c r="E71" s="2" t="str">
        <f>"李小曼"</f>
        <v>李小曼</v>
      </c>
      <c r="F71" s="2" t="str">
        <f>"女"</f>
        <v>女</v>
      </c>
      <c r="G71" s="1" t="str">
        <f t="shared" si="12"/>
        <v>本科</v>
      </c>
      <c r="H71" s="1" t="str">
        <f t="shared" si="13"/>
        <v>学士</v>
      </c>
      <c r="I71" s="1" t="str">
        <f>"重庆人文科技学院"</f>
        <v>重庆人文科技学院</v>
      </c>
      <c r="J71" s="1" t="str">
        <f>"表演"</f>
        <v>表演</v>
      </c>
      <c r="K71" s="7"/>
    </row>
    <row r="72" spans="1:11" ht="36" customHeight="1">
      <c r="A72" s="7">
        <v>70</v>
      </c>
      <c r="B72" s="1" t="s">
        <v>10</v>
      </c>
      <c r="C72" s="1" t="s">
        <v>9</v>
      </c>
      <c r="D72" s="2" t="str">
        <f t="shared" si="11"/>
        <v>z2024300</v>
      </c>
      <c r="E72" s="2" t="str">
        <f>"钟余"</f>
        <v>钟余</v>
      </c>
      <c r="F72" s="2" t="str">
        <f>"男"</f>
        <v>男</v>
      </c>
      <c r="G72" s="1" t="str">
        <f t="shared" si="12"/>
        <v>本科</v>
      </c>
      <c r="H72" s="1" t="str">
        <f t="shared" si="13"/>
        <v>学士</v>
      </c>
      <c r="I72" s="1" t="str">
        <f>"湖北民族学院科技学院"</f>
        <v>湖北民族学院科技学院</v>
      </c>
      <c r="J72" s="1" t="str">
        <f>"广播电视编导"</f>
        <v>广播电视编导</v>
      </c>
      <c r="K72" s="7"/>
    </row>
    <row r="73" spans="1:11" ht="36" customHeight="1">
      <c r="A73" s="7">
        <v>71</v>
      </c>
      <c r="B73" s="1" t="s">
        <v>10</v>
      </c>
      <c r="C73" s="1" t="s">
        <v>9</v>
      </c>
      <c r="D73" s="2" t="str">
        <f t="shared" si="11"/>
        <v>z2024300</v>
      </c>
      <c r="E73" s="2" t="str">
        <f>"陈淑敏"</f>
        <v>陈淑敏</v>
      </c>
      <c r="F73" s="2" t="str">
        <f>"女"</f>
        <v>女</v>
      </c>
      <c r="G73" s="1" t="str">
        <f t="shared" si="12"/>
        <v>本科</v>
      </c>
      <c r="H73" s="1" t="str">
        <f t="shared" si="13"/>
        <v>学士</v>
      </c>
      <c r="I73" s="1" t="str">
        <f>"黄冈师范学院"</f>
        <v>黄冈师范学院</v>
      </c>
      <c r="J73" s="1" t="str">
        <f>"播音与主持艺术"</f>
        <v>播音与主持艺术</v>
      </c>
      <c r="K73" s="7"/>
    </row>
    <row r="74" spans="1:11" ht="36" customHeight="1">
      <c r="A74" s="7">
        <v>72</v>
      </c>
      <c r="B74" s="1" t="s">
        <v>10</v>
      </c>
      <c r="C74" s="1" t="s">
        <v>9</v>
      </c>
      <c r="D74" s="2" t="str">
        <f t="shared" si="11"/>
        <v>z2024300</v>
      </c>
      <c r="E74" s="2" t="str">
        <f>"马帅"</f>
        <v>马帅</v>
      </c>
      <c r="F74" s="2" t="str">
        <f>"男"</f>
        <v>男</v>
      </c>
      <c r="G74" s="1" t="str">
        <f t="shared" si="12"/>
        <v>本科</v>
      </c>
      <c r="H74" s="1" t="str">
        <f t="shared" si="13"/>
        <v>学士</v>
      </c>
      <c r="I74" s="1" t="str">
        <f>"黄冈师范学院"</f>
        <v>黄冈师范学院</v>
      </c>
      <c r="J74" s="1" t="str">
        <f>"播音与主持艺术"</f>
        <v>播音与主持艺术</v>
      </c>
      <c r="K74" s="7"/>
    </row>
    <row r="75" spans="1:11" ht="36" customHeight="1">
      <c r="A75" s="7">
        <v>73</v>
      </c>
      <c r="B75" s="1" t="s">
        <v>10</v>
      </c>
      <c r="C75" s="1" t="s">
        <v>9</v>
      </c>
      <c r="D75" s="2" t="str">
        <f t="shared" si="11"/>
        <v>z2024300</v>
      </c>
      <c r="E75" s="2" t="str">
        <f>"曹明阳"</f>
        <v>曹明阳</v>
      </c>
      <c r="F75" s="2" t="str">
        <f>"男"</f>
        <v>男</v>
      </c>
      <c r="G75" s="1" t="str">
        <f t="shared" si="12"/>
        <v>本科</v>
      </c>
      <c r="H75" s="1" t="str">
        <f t="shared" si="13"/>
        <v>学士</v>
      </c>
      <c r="I75" s="1" t="str">
        <f>"四川文化艺术学院"</f>
        <v>四川文化艺术学院</v>
      </c>
      <c r="J75" s="1" t="str">
        <f>"音乐表演（声乐）"</f>
        <v>音乐表演（声乐）</v>
      </c>
      <c r="K75" s="7"/>
    </row>
    <row r="76" spans="1:11" ht="36" customHeight="1">
      <c r="A76" s="7">
        <v>74</v>
      </c>
      <c r="B76" s="1" t="s">
        <v>10</v>
      </c>
      <c r="C76" s="1" t="s">
        <v>9</v>
      </c>
      <c r="D76" s="2" t="str">
        <f t="shared" si="11"/>
        <v>z2024300</v>
      </c>
      <c r="E76" s="2" t="str">
        <f>"耿逸华"</f>
        <v>耿逸华</v>
      </c>
      <c r="F76" s="2" t="str">
        <f>"女"</f>
        <v>女</v>
      </c>
      <c r="G76" s="1" t="str">
        <f t="shared" si="12"/>
        <v>本科</v>
      </c>
      <c r="H76" s="1" t="str">
        <f t="shared" si="13"/>
        <v>学士</v>
      </c>
      <c r="I76" s="1" t="str">
        <f>"黄冈师范学院"</f>
        <v>黄冈师范学院</v>
      </c>
      <c r="J76" s="1" t="str">
        <f>"表演"</f>
        <v>表演</v>
      </c>
      <c r="K76" s="7"/>
    </row>
    <row r="77" spans="1:11" ht="36" customHeight="1">
      <c r="A77" s="7">
        <v>75</v>
      </c>
      <c r="B77" s="1" t="s">
        <v>10</v>
      </c>
      <c r="C77" s="1" t="s">
        <v>9</v>
      </c>
      <c r="D77" s="2" t="str">
        <f t="shared" si="11"/>
        <v>z2024300</v>
      </c>
      <c r="E77" s="2" t="str">
        <f>"朱芳瑶"</f>
        <v>朱芳瑶</v>
      </c>
      <c r="F77" s="2" t="str">
        <f>"女"</f>
        <v>女</v>
      </c>
      <c r="G77" s="1" t="str">
        <f t="shared" si="12"/>
        <v>本科</v>
      </c>
      <c r="H77" s="1" t="str">
        <f t="shared" si="13"/>
        <v>学士</v>
      </c>
      <c r="I77" s="1" t="str">
        <f>"湖北文理学院"</f>
        <v>湖北文理学院</v>
      </c>
      <c r="J77" s="1" t="str">
        <f>"音乐学"</f>
        <v>音乐学</v>
      </c>
      <c r="K77" s="7"/>
    </row>
    <row r="78" spans="1:11" ht="36" customHeight="1">
      <c r="A78" s="7">
        <v>76</v>
      </c>
      <c r="B78" s="1" t="s">
        <v>10</v>
      </c>
      <c r="C78" s="1" t="s">
        <v>9</v>
      </c>
      <c r="D78" s="2" t="str">
        <f t="shared" si="11"/>
        <v>z2024300</v>
      </c>
      <c r="E78" s="2" t="str">
        <f>"张潺"</f>
        <v>张潺</v>
      </c>
      <c r="F78" s="2" t="str">
        <f>"男"</f>
        <v>男</v>
      </c>
      <c r="G78" s="1" t="str">
        <f t="shared" si="12"/>
        <v>本科</v>
      </c>
      <c r="H78" s="1" t="str">
        <f t="shared" si="13"/>
        <v>学士</v>
      </c>
      <c r="I78" s="1" t="str">
        <f>"荆楚理工学院"</f>
        <v>荆楚理工学院</v>
      </c>
      <c r="J78" s="1" t="str">
        <f>"广播电视编导"</f>
        <v>广播电视编导</v>
      </c>
      <c r="K78" s="7"/>
    </row>
    <row r="79" spans="1:11" ht="36" customHeight="1">
      <c r="A79" s="7">
        <v>77</v>
      </c>
      <c r="B79" s="1" t="s">
        <v>10</v>
      </c>
      <c r="C79" s="1" t="s">
        <v>9</v>
      </c>
      <c r="D79" s="2" t="str">
        <f t="shared" si="11"/>
        <v>z2024300</v>
      </c>
      <c r="E79" s="2" t="str">
        <f>"李慧雯"</f>
        <v>李慧雯</v>
      </c>
      <c r="F79" s="2" t="str">
        <f>"女"</f>
        <v>女</v>
      </c>
      <c r="G79" s="1" t="str">
        <f t="shared" si="12"/>
        <v>本科</v>
      </c>
      <c r="H79" s="1" t="str">
        <f t="shared" si="13"/>
        <v>学士</v>
      </c>
      <c r="I79" s="1" t="str">
        <f>"湖南涉外经济"</f>
        <v>湖南涉外经济</v>
      </c>
      <c r="J79" s="1" t="str">
        <f>"舞蹈学"</f>
        <v>舞蹈学</v>
      </c>
      <c r="K79" s="7"/>
    </row>
    <row r="80" spans="1:11" ht="36" customHeight="1">
      <c r="A80" s="7">
        <v>78</v>
      </c>
      <c r="B80" s="1" t="s">
        <v>10</v>
      </c>
      <c r="C80" s="1" t="s">
        <v>9</v>
      </c>
      <c r="D80" s="2" t="str">
        <f t="shared" si="11"/>
        <v>z2024300</v>
      </c>
      <c r="E80" s="2" t="str">
        <f>"吕成希"</f>
        <v>吕成希</v>
      </c>
      <c r="F80" s="2" t="str">
        <f>"男"</f>
        <v>男</v>
      </c>
      <c r="G80" s="1" t="str">
        <f>"大专"</f>
        <v>大专</v>
      </c>
      <c r="H80" s="1" t="str">
        <f>"无"</f>
        <v>无</v>
      </c>
      <c r="I80" s="1" t="str">
        <f>"湖南外国语职业学院"</f>
        <v>湖南外国语职业学院</v>
      </c>
      <c r="J80" s="1" t="str">
        <f>"音乐传播"</f>
        <v>音乐传播</v>
      </c>
      <c r="K80" s="7"/>
    </row>
    <row r="81" spans="1:11" ht="36" customHeight="1">
      <c r="A81" s="7">
        <v>79</v>
      </c>
      <c r="B81" s="1" t="s">
        <v>12</v>
      </c>
      <c r="C81" s="1" t="s">
        <v>11</v>
      </c>
      <c r="D81" s="2" t="str">
        <f t="shared" ref="D81:D117" si="14">"z2024301"</f>
        <v>z2024301</v>
      </c>
      <c r="E81" s="2" t="str">
        <f>"杨珍"</f>
        <v>杨珍</v>
      </c>
      <c r="F81" s="2" t="str">
        <f>"女"</f>
        <v>女</v>
      </c>
      <c r="G81" s="1" t="str">
        <f t="shared" ref="G81:G119" si="15">"本科"</f>
        <v>本科</v>
      </c>
      <c r="H81" s="1" t="str">
        <f>"无"</f>
        <v>无</v>
      </c>
      <c r="I81" s="1" t="str">
        <f>"湖北理工学院"</f>
        <v>湖北理工学院</v>
      </c>
      <c r="J81" s="1" t="str">
        <f t="shared" ref="J81:J117" si="16">"临床医学"</f>
        <v>临床医学</v>
      </c>
      <c r="K81" s="7"/>
    </row>
    <row r="82" spans="1:11" ht="36" customHeight="1">
      <c r="A82" s="7">
        <v>80</v>
      </c>
      <c r="B82" s="1" t="s">
        <v>12</v>
      </c>
      <c r="C82" s="1" t="s">
        <v>11</v>
      </c>
      <c r="D82" s="2" t="str">
        <f t="shared" si="14"/>
        <v>z2024301</v>
      </c>
      <c r="E82" s="2" t="str">
        <f>"任苡兵"</f>
        <v>任苡兵</v>
      </c>
      <c r="F82" s="2" t="str">
        <f>"男"</f>
        <v>男</v>
      </c>
      <c r="G82" s="1" t="str">
        <f t="shared" si="15"/>
        <v>本科</v>
      </c>
      <c r="H82" s="1" t="str">
        <f>"无"</f>
        <v>无</v>
      </c>
      <c r="I82" s="1" t="str">
        <f>"湖北理工学院"</f>
        <v>湖北理工学院</v>
      </c>
      <c r="J82" s="1" t="str">
        <f t="shared" si="16"/>
        <v>临床医学</v>
      </c>
      <c r="K82" s="7"/>
    </row>
    <row r="83" spans="1:11" ht="36" customHeight="1">
      <c r="A83" s="7">
        <v>81</v>
      </c>
      <c r="B83" s="1" t="s">
        <v>12</v>
      </c>
      <c r="C83" s="1" t="s">
        <v>11</v>
      </c>
      <c r="D83" s="2" t="str">
        <f t="shared" si="14"/>
        <v>z2024301</v>
      </c>
      <c r="E83" s="2" t="str">
        <f>"陈华思"</f>
        <v>陈华思</v>
      </c>
      <c r="F83" s="2" t="str">
        <f>"男"</f>
        <v>男</v>
      </c>
      <c r="G83" s="1" t="str">
        <f t="shared" si="15"/>
        <v>本科</v>
      </c>
      <c r="H83" s="1" t="str">
        <f>"学士"</f>
        <v>学士</v>
      </c>
      <c r="I83" s="1" t="str">
        <f>"湖北民族学院"</f>
        <v>湖北民族学院</v>
      </c>
      <c r="J83" s="1" t="str">
        <f t="shared" si="16"/>
        <v>临床医学</v>
      </c>
      <c r="K83" s="7"/>
    </row>
    <row r="84" spans="1:11" ht="36" customHeight="1">
      <c r="A84" s="7">
        <v>82</v>
      </c>
      <c r="B84" s="1" t="s">
        <v>12</v>
      </c>
      <c r="C84" s="1" t="s">
        <v>11</v>
      </c>
      <c r="D84" s="2" t="str">
        <f t="shared" si="14"/>
        <v>z2024301</v>
      </c>
      <c r="E84" s="2" t="str">
        <f>"黎苹"</f>
        <v>黎苹</v>
      </c>
      <c r="F84" s="2" t="str">
        <f>"女"</f>
        <v>女</v>
      </c>
      <c r="G84" s="1" t="str">
        <f t="shared" si="15"/>
        <v>本科</v>
      </c>
      <c r="H84" s="1" t="str">
        <f>"无"</f>
        <v>无</v>
      </c>
      <c r="I84" s="1" t="str">
        <f>"三峡大学"</f>
        <v>三峡大学</v>
      </c>
      <c r="J84" s="1" t="str">
        <f t="shared" si="16"/>
        <v>临床医学</v>
      </c>
      <c r="K84" s="7"/>
    </row>
    <row r="85" spans="1:11" ht="36" customHeight="1">
      <c r="A85" s="7">
        <v>83</v>
      </c>
      <c r="B85" s="1" t="s">
        <v>12</v>
      </c>
      <c r="C85" s="1" t="s">
        <v>11</v>
      </c>
      <c r="D85" s="2" t="str">
        <f t="shared" si="14"/>
        <v>z2024301</v>
      </c>
      <c r="E85" s="2" t="str">
        <f>"罗蔓"</f>
        <v>罗蔓</v>
      </c>
      <c r="F85" s="2" t="str">
        <f>"女"</f>
        <v>女</v>
      </c>
      <c r="G85" s="1" t="str">
        <f t="shared" si="15"/>
        <v>本科</v>
      </c>
      <c r="H85" s="1" t="str">
        <f>"无"</f>
        <v>无</v>
      </c>
      <c r="I85" s="1" t="str">
        <f>"湖北科技学院"</f>
        <v>湖北科技学院</v>
      </c>
      <c r="J85" s="1" t="str">
        <f t="shared" si="16"/>
        <v>临床医学</v>
      </c>
      <c r="K85" s="7"/>
    </row>
    <row r="86" spans="1:11" ht="36" customHeight="1">
      <c r="A86" s="7">
        <v>84</v>
      </c>
      <c r="B86" s="1" t="s">
        <v>12</v>
      </c>
      <c r="C86" s="1" t="s">
        <v>11</v>
      </c>
      <c r="D86" s="2" t="str">
        <f t="shared" si="14"/>
        <v>z2024301</v>
      </c>
      <c r="E86" s="2" t="str">
        <f>"李燃"</f>
        <v>李燃</v>
      </c>
      <c r="F86" s="2" t="str">
        <f>"女"</f>
        <v>女</v>
      </c>
      <c r="G86" s="1" t="str">
        <f t="shared" si="15"/>
        <v>本科</v>
      </c>
      <c r="H86" s="1" t="str">
        <f>"无"</f>
        <v>无</v>
      </c>
      <c r="I86" s="1" t="str">
        <f>"武汉科技大学"</f>
        <v>武汉科技大学</v>
      </c>
      <c r="J86" s="1" t="str">
        <f t="shared" si="16"/>
        <v>临床医学</v>
      </c>
      <c r="K86" s="7"/>
    </row>
    <row r="87" spans="1:11" ht="36" customHeight="1">
      <c r="A87" s="7">
        <v>85</v>
      </c>
      <c r="B87" s="1" t="s">
        <v>12</v>
      </c>
      <c r="C87" s="1" t="s">
        <v>11</v>
      </c>
      <c r="D87" s="2" t="str">
        <f t="shared" si="14"/>
        <v>z2024301</v>
      </c>
      <c r="E87" s="2" t="str">
        <f>"文涵舣"</f>
        <v>文涵舣</v>
      </c>
      <c r="F87" s="2" t="str">
        <f>"女"</f>
        <v>女</v>
      </c>
      <c r="G87" s="1" t="str">
        <f t="shared" si="15"/>
        <v>本科</v>
      </c>
      <c r="H87" s="1" t="str">
        <f>"无"</f>
        <v>无</v>
      </c>
      <c r="I87" s="1" t="str">
        <f>"华中科技大学"</f>
        <v>华中科技大学</v>
      </c>
      <c r="J87" s="1" t="str">
        <f t="shared" si="16"/>
        <v>临床医学</v>
      </c>
      <c r="K87" s="7"/>
    </row>
    <row r="88" spans="1:11" ht="36" customHeight="1">
      <c r="A88" s="7">
        <v>86</v>
      </c>
      <c r="B88" s="1" t="s">
        <v>12</v>
      </c>
      <c r="C88" s="1" t="s">
        <v>11</v>
      </c>
      <c r="D88" s="2" t="str">
        <f t="shared" si="14"/>
        <v>z2024301</v>
      </c>
      <c r="E88" s="2" t="str">
        <f>"谭锐"</f>
        <v>谭锐</v>
      </c>
      <c r="F88" s="2" t="str">
        <f>"女"</f>
        <v>女</v>
      </c>
      <c r="G88" s="1" t="str">
        <f t="shared" si="15"/>
        <v>本科</v>
      </c>
      <c r="H88" s="1" t="str">
        <f>"学士"</f>
        <v>学士</v>
      </c>
      <c r="I88" s="1" t="str">
        <f>"湖北民族大学科技学院"</f>
        <v>湖北民族大学科技学院</v>
      </c>
      <c r="J88" s="1" t="str">
        <f t="shared" si="16"/>
        <v>临床医学</v>
      </c>
      <c r="K88" s="7"/>
    </row>
    <row r="89" spans="1:11" ht="36" customHeight="1">
      <c r="A89" s="7">
        <v>87</v>
      </c>
      <c r="B89" s="1" t="s">
        <v>12</v>
      </c>
      <c r="C89" s="1" t="s">
        <v>11</v>
      </c>
      <c r="D89" s="2" t="str">
        <f t="shared" si="14"/>
        <v>z2024301</v>
      </c>
      <c r="E89" s="2" t="str">
        <f>"易思归"</f>
        <v>易思归</v>
      </c>
      <c r="F89" s="2" t="str">
        <f>"男"</f>
        <v>男</v>
      </c>
      <c r="G89" s="1" t="str">
        <f t="shared" si="15"/>
        <v>本科</v>
      </c>
      <c r="H89" s="1" t="str">
        <f>"无"</f>
        <v>无</v>
      </c>
      <c r="I89" s="1" t="str">
        <f>"南华大学"</f>
        <v>南华大学</v>
      </c>
      <c r="J89" s="1" t="str">
        <f t="shared" si="16"/>
        <v>临床医学</v>
      </c>
      <c r="K89" s="7"/>
    </row>
    <row r="90" spans="1:11" ht="36" customHeight="1">
      <c r="A90" s="7">
        <v>88</v>
      </c>
      <c r="B90" s="1" t="s">
        <v>12</v>
      </c>
      <c r="C90" s="1" t="s">
        <v>11</v>
      </c>
      <c r="D90" s="2" t="str">
        <f t="shared" si="14"/>
        <v>z2024301</v>
      </c>
      <c r="E90" s="2" t="str">
        <f>"熊清"</f>
        <v>熊清</v>
      </c>
      <c r="F90" s="2" t="str">
        <f>"女"</f>
        <v>女</v>
      </c>
      <c r="G90" s="1" t="str">
        <f t="shared" si="15"/>
        <v>本科</v>
      </c>
      <c r="H90" s="1" t="str">
        <f>"无"</f>
        <v>无</v>
      </c>
      <c r="I90" s="1" t="str">
        <f>"长江大学"</f>
        <v>长江大学</v>
      </c>
      <c r="J90" s="1" t="str">
        <f t="shared" si="16"/>
        <v>临床医学</v>
      </c>
      <c r="K90" s="7"/>
    </row>
    <row r="91" spans="1:11" ht="36" customHeight="1">
      <c r="A91" s="7">
        <v>89</v>
      </c>
      <c r="B91" s="1" t="s">
        <v>12</v>
      </c>
      <c r="C91" s="1" t="s">
        <v>11</v>
      </c>
      <c r="D91" s="2" t="str">
        <f t="shared" si="14"/>
        <v>z2024301</v>
      </c>
      <c r="E91" s="2" t="str">
        <f>"田明明"</f>
        <v>田明明</v>
      </c>
      <c r="F91" s="2" t="str">
        <f>"女"</f>
        <v>女</v>
      </c>
      <c r="G91" s="1" t="str">
        <f t="shared" si="15"/>
        <v>本科</v>
      </c>
      <c r="H91" s="1" t="str">
        <f>"无"</f>
        <v>无</v>
      </c>
      <c r="I91" s="1" t="str">
        <f>"湖北民族大学"</f>
        <v>湖北民族大学</v>
      </c>
      <c r="J91" s="1" t="str">
        <f t="shared" si="16"/>
        <v>临床医学</v>
      </c>
      <c r="K91" s="7"/>
    </row>
    <row r="92" spans="1:11" ht="36" customHeight="1">
      <c r="A92" s="7">
        <v>90</v>
      </c>
      <c r="B92" s="1" t="s">
        <v>12</v>
      </c>
      <c r="C92" s="1" t="s">
        <v>11</v>
      </c>
      <c r="D92" s="2" t="str">
        <f t="shared" si="14"/>
        <v>z2024301</v>
      </c>
      <c r="E92" s="2" t="str">
        <f>"熊辉"</f>
        <v>熊辉</v>
      </c>
      <c r="F92" s="2" t="str">
        <f>"女"</f>
        <v>女</v>
      </c>
      <c r="G92" s="1" t="str">
        <f t="shared" si="15"/>
        <v>本科</v>
      </c>
      <c r="H92" s="1" t="str">
        <f>"无"</f>
        <v>无</v>
      </c>
      <c r="I92" s="1" t="str">
        <f>"湖北民族大学"</f>
        <v>湖北民族大学</v>
      </c>
      <c r="J92" s="1" t="str">
        <f t="shared" si="16"/>
        <v>临床医学</v>
      </c>
      <c r="K92" s="7"/>
    </row>
    <row r="93" spans="1:11" ht="36" customHeight="1">
      <c r="A93" s="7">
        <v>91</v>
      </c>
      <c r="B93" s="1" t="s">
        <v>12</v>
      </c>
      <c r="C93" s="1" t="s">
        <v>11</v>
      </c>
      <c r="D93" s="2" t="str">
        <f t="shared" si="14"/>
        <v>z2024301</v>
      </c>
      <c r="E93" s="2" t="str">
        <f>"周伟"</f>
        <v>周伟</v>
      </c>
      <c r="F93" s="2" t="str">
        <f>"男"</f>
        <v>男</v>
      </c>
      <c r="G93" s="1" t="str">
        <f t="shared" si="15"/>
        <v>本科</v>
      </c>
      <c r="H93" s="1" t="str">
        <f>"学士"</f>
        <v>学士</v>
      </c>
      <c r="I93" s="1" t="str">
        <f>"湖北恩施学院"</f>
        <v>湖北恩施学院</v>
      </c>
      <c r="J93" s="1" t="str">
        <f t="shared" si="16"/>
        <v>临床医学</v>
      </c>
      <c r="K93" s="7"/>
    </row>
    <row r="94" spans="1:11" ht="36" customHeight="1">
      <c r="A94" s="7">
        <v>92</v>
      </c>
      <c r="B94" s="1" t="s">
        <v>12</v>
      </c>
      <c r="C94" s="1" t="s">
        <v>11</v>
      </c>
      <c r="D94" s="2" t="str">
        <f t="shared" si="14"/>
        <v>z2024301</v>
      </c>
      <c r="E94" s="2" t="str">
        <f>"陈敏"</f>
        <v>陈敏</v>
      </c>
      <c r="F94" s="2" t="str">
        <f>"女"</f>
        <v>女</v>
      </c>
      <c r="G94" s="1" t="str">
        <f t="shared" si="15"/>
        <v>本科</v>
      </c>
      <c r="H94" s="1" t="str">
        <f>"无"</f>
        <v>无</v>
      </c>
      <c r="I94" s="1" t="str">
        <f>"湖北民族大学"</f>
        <v>湖北民族大学</v>
      </c>
      <c r="J94" s="1" t="str">
        <f t="shared" si="16"/>
        <v>临床医学</v>
      </c>
      <c r="K94" s="7"/>
    </row>
    <row r="95" spans="1:11" ht="36" customHeight="1">
      <c r="A95" s="7">
        <v>93</v>
      </c>
      <c r="B95" s="1" t="s">
        <v>12</v>
      </c>
      <c r="C95" s="1" t="s">
        <v>11</v>
      </c>
      <c r="D95" s="2" t="str">
        <f t="shared" si="14"/>
        <v>z2024301</v>
      </c>
      <c r="E95" s="2" t="str">
        <f>"杨智文"</f>
        <v>杨智文</v>
      </c>
      <c r="F95" s="2" t="str">
        <f>"男"</f>
        <v>男</v>
      </c>
      <c r="G95" s="1" t="str">
        <f t="shared" si="15"/>
        <v>本科</v>
      </c>
      <c r="H95" s="1" t="str">
        <f>"无"</f>
        <v>无</v>
      </c>
      <c r="I95" s="1" t="str">
        <f>"湖北理工学院"</f>
        <v>湖北理工学院</v>
      </c>
      <c r="J95" s="1" t="str">
        <f t="shared" si="16"/>
        <v>临床医学</v>
      </c>
      <c r="K95" s="7"/>
    </row>
    <row r="96" spans="1:11" ht="36" customHeight="1">
      <c r="A96" s="7">
        <v>94</v>
      </c>
      <c r="B96" s="1" t="s">
        <v>12</v>
      </c>
      <c r="C96" s="1" t="s">
        <v>11</v>
      </c>
      <c r="D96" s="2" t="str">
        <f t="shared" si="14"/>
        <v>z2024301</v>
      </c>
      <c r="E96" s="2" t="str">
        <f>"段垂青"</f>
        <v>段垂青</v>
      </c>
      <c r="F96" s="2" t="str">
        <f>"男"</f>
        <v>男</v>
      </c>
      <c r="G96" s="1" t="str">
        <f t="shared" si="15"/>
        <v>本科</v>
      </c>
      <c r="H96" s="1" t="str">
        <f>"学士"</f>
        <v>学士</v>
      </c>
      <c r="I96" s="1" t="str">
        <f>"湖北民族学院科技学院"</f>
        <v>湖北民族学院科技学院</v>
      </c>
      <c r="J96" s="1" t="str">
        <f t="shared" si="16"/>
        <v>临床医学</v>
      </c>
      <c r="K96" s="7"/>
    </row>
    <row r="97" spans="1:11" ht="36" customHeight="1">
      <c r="A97" s="7">
        <v>95</v>
      </c>
      <c r="B97" s="1" t="s">
        <v>12</v>
      </c>
      <c r="C97" s="1" t="s">
        <v>11</v>
      </c>
      <c r="D97" s="2" t="str">
        <f t="shared" si="14"/>
        <v>z2024301</v>
      </c>
      <c r="E97" s="2" t="str">
        <f>"张鑫"</f>
        <v>张鑫</v>
      </c>
      <c r="F97" s="2" t="str">
        <f>"女"</f>
        <v>女</v>
      </c>
      <c r="G97" s="1" t="str">
        <f t="shared" si="15"/>
        <v>本科</v>
      </c>
      <c r="H97" s="1" t="str">
        <f>"学士"</f>
        <v>学士</v>
      </c>
      <c r="I97" s="1" t="str">
        <f>"湖北民族大学科技学院"</f>
        <v>湖北民族大学科技学院</v>
      </c>
      <c r="J97" s="1" t="str">
        <f t="shared" si="16"/>
        <v>临床医学</v>
      </c>
      <c r="K97" s="7"/>
    </row>
    <row r="98" spans="1:11" ht="36" customHeight="1">
      <c r="A98" s="7">
        <v>96</v>
      </c>
      <c r="B98" s="1" t="s">
        <v>12</v>
      </c>
      <c r="C98" s="1" t="s">
        <v>11</v>
      </c>
      <c r="D98" s="2" t="str">
        <f t="shared" si="14"/>
        <v>z2024301</v>
      </c>
      <c r="E98" s="2" t="str">
        <f>"滕一帆"</f>
        <v>滕一帆</v>
      </c>
      <c r="F98" s="2" t="str">
        <f>"女"</f>
        <v>女</v>
      </c>
      <c r="G98" s="1" t="str">
        <f t="shared" si="15"/>
        <v>本科</v>
      </c>
      <c r="H98" s="1" t="str">
        <f>"学士"</f>
        <v>学士</v>
      </c>
      <c r="I98" s="1" t="str">
        <f>"湖北民族大学科技学院"</f>
        <v>湖北民族大学科技学院</v>
      </c>
      <c r="J98" s="1" t="str">
        <f t="shared" si="16"/>
        <v>临床医学</v>
      </c>
      <c r="K98" s="7"/>
    </row>
    <row r="99" spans="1:11" ht="36" customHeight="1">
      <c r="A99" s="7">
        <v>97</v>
      </c>
      <c r="B99" s="1" t="s">
        <v>12</v>
      </c>
      <c r="C99" s="1" t="s">
        <v>11</v>
      </c>
      <c r="D99" s="2" t="str">
        <f t="shared" si="14"/>
        <v>z2024301</v>
      </c>
      <c r="E99" s="2" t="str">
        <f>"何卫华"</f>
        <v>何卫华</v>
      </c>
      <c r="F99" s="2" t="str">
        <f>"女"</f>
        <v>女</v>
      </c>
      <c r="G99" s="1" t="str">
        <f t="shared" si="15"/>
        <v>本科</v>
      </c>
      <c r="H99" s="1" t="str">
        <f>"无"</f>
        <v>无</v>
      </c>
      <c r="I99" s="1" t="str">
        <f>"仙桃职业学院"</f>
        <v>仙桃职业学院</v>
      </c>
      <c r="J99" s="1" t="str">
        <f t="shared" si="16"/>
        <v>临床医学</v>
      </c>
      <c r="K99" s="7"/>
    </row>
    <row r="100" spans="1:11" ht="36" customHeight="1">
      <c r="A100" s="7">
        <v>98</v>
      </c>
      <c r="B100" s="1" t="s">
        <v>12</v>
      </c>
      <c r="C100" s="1" t="s">
        <v>11</v>
      </c>
      <c r="D100" s="2" t="str">
        <f t="shared" si="14"/>
        <v>z2024301</v>
      </c>
      <c r="E100" s="2" t="str">
        <f>"朱慧"</f>
        <v>朱慧</v>
      </c>
      <c r="F100" s="2" t="str">
        <f>"女"</f>
        <v>女</v>
      </c>
      <c r="G100" s="1" t="str">
        <f t="shared" si="15"/>
        <v>本科</v>
      </c>
      <c r="H100" s="1" t="str">
        <f>"学士"</f>
        <v>学士</v>
      </c>
      <c r="I100" s="1" t="str">
        <f>"湖北民族学院"</f>
        <v>湖北民族学院</v>
      </c>
      <c r="J100" s="1" t="str">
        <f t="shared" si="16"/>
        <v>临床医学</v>
      </c>
      <c r="K100" s="7"/>
    </row>
    <row r="101" spans="1:11" ht="36" customHeight="1">
      <c r="A101" s="7">
        <v>99</v>
      </c>
      <c r="B101" s="1" t="s">
        <v>12</v>
      </c>
      <c r="C101" s="1" t="s">
        <v>11</v>
      </c>
      <c r="D101" s="2" t="str">
        <f t="shared" si="14"/>
        <v>z2024301</v>
      </c>
      <c r="E101" s="2" t="str">
        <f>"何金朗"</f>
        <v>何金朗</v>
      </c>
      <c r="F101" s="2" t="str">
        <f>"男"</f>
        <v>男</v>
      </c>
      <c r="G101" s="1" t="str">
        <f t="shared" si="15"/>
        <v>本科</v>
      </c>
      <c r="H101" s="1" t="str">
        <f>"学士"</f>
        <v>学士</v>
      </c>
      <c r="I101" s="1" t="str">
        <f>"湖北民族学院"</f>
        <v>湖北民族学院</v>
      </c>
      <c r="J101" s="1" t="str">
        <f t="shared" si="16"/>
        <v>临床医学</v>
      </c>
      <c r="K101" s="7"/>
    </row>
    <row r="102" spans="1:11" ht="36" customHeight="1">
      <c r="A102" s="7">
        <v>100</v>
      </c>
      <c r="B102" s="1" t="s">
        <v>12</v>
      </c>
      <c r="C102" s="1" t="s">
        <v>11</v>
      </c>
      <c r="D102" s="2" t="str">
        <f t="shared" si="14"/>
        <v>z2024301</v>
      </c>
      <c r="E102" s="2" t="str">
        <f>"胡飞洋"</f>
        <v>胡飞洋</v>
      </c>
      <c r="F102" s="2" t="str">
        <f>"男"</f>
        <v>男</v>
      </c>
      <c r="G102" s="1" t="str">
        <f t="shared" si="15"/>
        <v>本科</v>
      </c>
      <c r="H102" s="1" t="str">
        <f>"学士"</f>
        <v>学士</v>
      </c>
      <c r="I102" s="1" t="str">
        <f>"湖北民族大学科技学院"</f>
        <v>湖北民族大学科技学院</v>
      </c>
      <c r="J102" s="1" t="str">
        <f t="shared" si="16"/>
        <v>临床医学</v>
      </c>
      <c r="K102" s="7"/>
    </row>
    <row r="103" spans="1:11" ht="36" customHeight="1">
      <c r="A103" s="7">
        <v>101</v>
      </c>
      <c r="B103" s="1" t="s">
        <v>12</v>
      </c>
      <c r="C103" s="1" t="s">
        <v>11</v>
      </c>
      <c r="D103" s="2" t="str">
        <f t="shared" si="14"/>
        <v>z2024301</v>
      </c>
      <c r="E103" s="2" t="str">
        <f>"李凡"</f>
        <v>李凡</v>
      </c>
      <c r="F103" s="2" t="str">
        <f>"女"</f>
        <v>女</v>
      </c>
      <c r="G103" s="1" t="str">
        <f t="shared" si="15"/>
        <v>本科</v>
      </c>
      <c r="H103" s="1" t="str">
        <f>"学士"</f>
        <v>学士</v>
      </c>
      <c r="I103" s="1" t="str">
        <f>"湖北民族大学科技学院"</f>
        <v>湖北民族大学科技学院</v>
      </c>
      <c r="J103" s="1" t="str">
        <f t="shared" si="16"/>
        <v>临床医学</v>
      </c>
      <c r="K103" s="7"/>
    </row>
    <row r="104" spans="1:11" ht="36" customHeight="1">
      <c r="A104" s="7">
        <v>102</v>
      </c>
      <c r="B104" s="1" t="s">
        <v>12</v>
      </c>
      <c r="C104" s="1" t="s">
        <v>11</v>
      </c>
      <c r="D104" s="2" t="str">
        <f t="shared" si="14"/>
        <v>z2024301</v>
      </c>
      <c r="E104" s="2" t="str">
        <f>"张维敏"</f>
        <v>张维敏</v>
      </c>
      <c r="F104" s="2" t="str">
        <f>"男"</f>
        <v>男</v>
      </c>
      <c r="G104" s="1" t="str">
        <f t="shared" si="15"/>
        <v>本科</v>
      </c>
      <c r="H104" s="1" t="str">
        <f>"学士"</f>
        <v>学士</v>
      </c>
      <c r="I104" s="1" t="str">
        <f>"湖北民族学院"</f>
        <v>湖北民族学院</v>
      </c>
      <c r="J104" s="1" t="str">
        <f t="shared" si="16"/>
        <v>临床医学</v>
      </c>
      <c r="K104" s="7"/>
    </row>
    <row r="105" spans="1:11" ht="36" customHeight="1">
      <c r="A105" s="7">
        <v>103</v>
      </c>
      <c r="B105" s="1" t="s">
        <v>12</v>
      </c>
      <c r="C105" s="1" t="s">
        <v>11</v>
      </c>
      <c r="D105" s="2" t="str">
        <f t="shared" si="14"/>
        <v>z2024301</v>
      </c>
      <c r="E105" s="2" t="str">
        <f>"姚敏"</f>
        <v>姚敏</v>
      </c>
      <c r="F105" s="2" t="str">
        <f>"女"</f>
        <v>女</v>
      </c>
      <c r="G105" s="1" t="str">
        <f t="shared" si="15"/>
        <v>本科</v>
      </c>
      <c r="H105" s="1" t="str">
        <f>"无"</f>
        <v>无</v>
      </c>
      <c r="I105" s="1" t="str">
        <f>"湖北民族学院"</f>
        <v>湖北民族学院</v>
      </c>
      <c r="J105" s="1" t="str">
        <f t="shared" si="16"/>
        <v>临床医学</v>
      </c>
      <c r="K105" s="7"/>
    </row>
    <row r="106" spans="1:11" ht="36" customHeight="1">
      <c r="A106" s="7">
        <v>104</v>
      </c>
      <c r="B106" s="1" t="s">
        <v>12</v>
      </c>
      <c r="C106" s="1" t="s">
        <v>11</v>
      </c>
      <c r="D106" s="2" t="str">
        <f t="shared" si="14"/>
        <v>z2024301</v>
      </c>
      <c r="E106" s="2" t="str">
        <f>"朱灏"</f>
        <v>朱灏</v>
      </c>
      <c r="F106" s="2" t="str">
        <f>"男"</f>
        <v>男</v>
      </c>
      <c r="G106" s="1" t="str">
        <f t="shared" si="15"/>
        <v>本科</v>
      </c>
      <c r="H106" s="1" t="str">
        <f>"学士"</f>
        <v>学士</v>
      </c>
      <c r="I106" s="1" t="str">
        <f>"湖北恩施学院"</f>
        <v>湖北恩施学院</v>
      </c>
      <c r="J106" s="1" t="str">
        <f t="shared" si="16"/>
        <v>临床医学</v>
      </c>
      <c r="K106" s="7"/>
    </row>
    <row r="107" spans="1:11" ht="36" customHeight="1">
      <c r="A107" s="7">
        <v>105</v>
      </c>
      <c r="B107" s="1" t="s">
        <v>12</v>
      </c>
      <c r="C107" s="1" t="s">
        <v>11</v>
      </c>
      <c r="D107" s="2" t="str">
        <f t="shared" si="14"/>
        <v>z2024301</v>
      </c>
      <c r="E107" s="2" t="str">
        <f>"张源"</f>
        <v>张源</v>
      </c>
      <c r="F107" s="2" t="str">
        <f>"女"</f>
        <v>女</v>
      </c>
      <c r="G107" s="1" t="str">
        <f t="shared" si="15"/>
        <v>本科</v>
      </c>
      <c r="H107" s="1" t="str">
        <f>"学士"</f>
        <v>学士</v>
      </c>
      <c r="I107" s="1" t="str">
        <f>"湖北恩施学院"</f>
        <v>湖北恩施学院</v>
      </c>
      <c r="J107" s="1" t="str">
        <f t="shared" si="16"/>
        <v>临床医学</v>
      </c>
      <c r="K107" s="7"/>
    </row>
    <row r="108" spans="1:11" ht="36" customHeight="1">
      <c r="A108" s="7">
        <v>106</v>
      </c>
      <c r="B108" s="1" t="s">
        <v>12</v>
      </c>
      <c r="C108" s="1" t="s">
        <v>11</v>
      </c>
      <c r="D108" s="2" t="str">
        <f t="shared" si="14"/>
        <v>z2024301</v>
      </c>
      <c r="E108" s="2" t="str">
        <f>"胡晓畅"</f>
        <v>胡晓畅</v>
      </c>
      <c r="F108" s="2" t="str">
        <f>"男"</f>
        <v>男</v>
      </c>
      <c r="G108" s="1" t="str">
        <f t="shared" si="15"/>
        <v>本科</v>
      </c>
      <c r="H108" s="1" t="str">
        <f>"学士"</f>
        <v>学士</v>
      </c>
      <c r="I108" s="1" t="str">
        <f>"湖北民族大学"</f>
        <v>湖北民族大学</v>
      </c>
      <c r="J108" s="1" t="str">
        <f t="shared" si="16"/>
        <v>临床医学</v>
      </c>
      <c r="K108" s="7"/>
    </row>
    <row r="109" spans="1:11" ht="36" customHeight="1">
      <c r="A109" s="7">
        <v>107</v>
      </c>
      <c r="B109" s="1" t="s">
        <v>12</v>
      </c>
      <c r="C109" s="1" t="s">
        <v>11</v>
      </c>
      <c r="D109" s="2" t="str">
        <f t="shared" si="14"/>
        <v>z2024301</v>
      </c>
      <c r="E109" s="2" t="str">
        <f>"田庆"</f>
        <v>田庆</v>
      </c>
      <c r="F109" s="2" t="str">
        <f>"男"</f>
        <v>男</v>
      </c>
      <c r="G109" s="1" t="str">
        <f t="shared" si="15"/>
        <v>本科</v>
      </c>
      <c r="H109" s="1" t="str">
        <f>"学士"</f>
        <v>学士</v>
      </c>
      <c r="I109" s="1" t="str">
        <f>"湖北民族大学科技学院"</f>
        <v>湖北民族大学科技学院</v>
      </c>
      <c r="J109" s="1" t="str">
        <f t="shared" si="16"/>
        <v>临床医学</v>
      </c>
      <c r="K109" s="7"/>
    </row>
    <row r="110" spans="1:11" ht="36" customHeight="1">
      <c r="A110" s="7">
        <v>108</v>
      </c>
      <c r="B110" s="1" t="s">
        <v>12</v>
      </c>
      <c r="C110" s="1" t="s">
        <v>11</v>
      </c>
      <c r="D110" s="2" t="str">
        <f t="shared" si="14"/>
        <v>z2024301</v>
      </c>
      <c r="E110" s="2" t="str">
        <f>"郭洋"</f>
        <v>郭洋</v>
      </c>
      <c r="F110" s="2" t="str">
        <f t="shared" ref="F110:F116" si="17">"女"</f>
        <v>女</v>
      </c>
      <c r="G110" s="1" t="str">
        <f t="shared" si="15"/>
        <v>本科</v>
      </c>
      <c r="H110" s="1" t="str">
        <f>"无"</f>
        <v>无</v>
      </c>
      <c r="I110" s="1" t="str">
        <f>"武汉科技大学"</f>
        <v>武汉科技大学</v>
      </c>
      <c r="J110" s="1" t="str">
        <f t="shared" si="16"/>
        <v>临床医学</v>
      </c>
      <c r="K110" s="7"/>
    </row>
    <row r="111" spans="1:11" ht="36" customHeight="1">
      <c r="A111" s="7">
        <v>109</v>
      </c>
      <c r="B111" s="1" t="s">
        <v>12</v>
      </c>
      <c r="C111" s="1" t="s">
        <v>11</v>
      </c>
      <c r="D111" s="2" t="str">
        <f t="shared" si="14"/>
        <v>z2024301</v>
      </c>
      <c r="E111" s="2" t="str">
        <f>"朱捃舒"</f>
        <v>朱捃舒</v>
      </c>
      <c r="F111" s="2" t="str">
        <f t="shared" si="17"/>
        <v>女</v>
      </c>
      <c r="G111" s="1" t="str">
        <f t="shared" si="15"/>
        <v>本科</v>
      </c>
      <c r="H111" s="1" t="str">
        <f>"学士"</f>
        <v>学士</v>
      </c>
      <c r="I111" s="1" t="str">
        <f>"湖北恩施学院"</f>
        <v>湖北恩施学院</v>
      </c>
      <c r="J111" s="1" t="str">
        <f t="shared" si="16"/>
        <v>临床医学</v>
      </c>
      <c r="K111" s="7"/>
    </row>
    <row r="112" spans="1:11" ht="36" customHeight="1">
      <c r="A112" s="7">
        <v>110</v>
      </c>
      <c r="B112" s="1" t="s">
        <v>12</v>
      </c>
      <c r="C112" s="1" t="s">
        <v>11</v>
      </c>
      <c r="D112" s="2" t="str">
        <f t="shared" si="14"/>
        <v>z2024301</v>
      </c>
      <c r="E112" s="2" t="str">
        <f>"梁柳"</f>
        <v>梁柳</v>
      </c>
      <c r="F112" s="2" t="str">
        <f t="shared" si="17"/>
        <v>女</v>
      </c>
      <c r="G112" s="1" t="str">
        <f t="shared" si="15"/>
        <v>本科</v>
      </c>
      <c r="H112" s="1" t="str">
        <f>"学士"</f>
        <v>学士</v>
      </c>
      <c r="I112" s="1" t="str">
        <f>"湖北民族学院科技学院"</f>
        <v>湖北民族学院科技学院</v>
      </c>
      <c r="J112" s="1" t="str">
        <f t="shared" si="16"/>
        <v>临床医学</v>
      </c>
      <c r="K112" s="7"/>
    </row>
    <row r="113" spans="1:11" ht="36" customHeight="1">
      <c r="A113" s="7">
        <v>111</v>
      </c>
      <c r="B113" s="1" t="s">
        <v>12</v>
      </c>
      <c r="C113" s="1" t="s">
        <v>11</v>
      </c>
      <c r="D113" s="2" t="str">
        <f t="shared" si="14"/>
        <v>z2024301</v>
      </c>
      <c r="E113" s="2" t="str">
        <f>"杨娟"</f>
        <v>杨娟</v>
      </c>
      <c r="F113" s="2" t="str">
        <f t="shared" si="17"/>
        <v>女</v>
      </c>
      <c r="G113" s="1" t="str">
        <f t="shared" si="15"/>
        <v>本科</v>
      </c>
      <c r="H113" s="1" t="str">
        <f>"无"</f>
        <v>无</v>
      </c>
      <c r="I113" s="1" t="str">
        <f>"湖北民族大学"</f>
        <v>湖北民族大学</v>
      </c>
      <c r="J113" s="1" t="str">
        <f t="shared" si="16"/>
        <v>临床医学</v>
      </c>
      <c r="K113" s="7"/>
    </row>
    <row r="114" spans="1:11" ht="36" customHeight="1">
      <c r="A114" s="7">
        <v>112</v>
      </c>
      <c r="B114" s="1" t="s">
        <v>12</v>
      </c>
      <c r="C114" s="1" t="s">
        <v>11</v>
      </c>
      <c r="D114" s="2" t="str">
        <f t="shared" si="14"/>
        <v>z2024301</v>
      </c>
      <c r="E114" s="2" t="str">
        <f>"朱红"</f>
        <v>朱红</v>
      </c>
      <c r="F114" s="2" t="str">
        <f t="shared" si="17"/>
        <v>女</v>
      </c>
      <c r="G114" s="1" t="str">
        <f t="shared" si="15"/>
        <v>本科</v>
      </c>
      <c r="H114" s="1" t="str">
        <f>"学士"</f>
        <v>学士</v>
      </c>
      <c r="I114" s="1" t="str">
        <f>"湖北医药学院药护学院"</f>
        <v>湖北医药学院药护学院</v>
      </c>
      <c r="J114" s="1" t="str">
        <f t="shared" si="16"/>
        <v>临床医学</v>
      </c>
      <c r="K114" s="7"/>
    </row>
    <row r="115" spans="1:11" ht="36" customHeight="1">
      <c r="A115" s="7">
        <v>113</v>
      </c>
      <c r="B115" s="1" t="s">
        <v>12</v>
      </c>
      <c r="C115" s="1" t="s">
        <v>11</v>
      </c>
      <c r="D115" s="2" t="str">
        <f t="shared" si="14"/>
        <v>z2024301</v>
      </c>
      <c r="E115" s="2" t="str">
        <f>"吴红"</f>
        <v>吴红</v>
      </c>
      <c r="F115" s="2" t="str">
        <f t="shared" si="17"/>
        <v>女</v>
      </c>
      <c r="G115" s="1" t="str">
        <f t="shared" si="15"/>
        <v>本科</v>
      </c>
      <c r="H115" s="1" t="str">
        <f>"学士"</f>
        <v>学士</v>
      </c>
      <c r="I115" s="1" t="str">
        <f>"湖北民族学院科技学院"</f>
        <v>湖北民族学院科技学院</v>
      </c>
      <c r="J115" s="1" t="str">
        <f t="shared" si="16"/>
        <v>临床医学</v>
      </c>
      <c r="K115" s="7"/>
    </row>
    <row r="116" spans="1:11" ht="36" customHeight="1">
      <c r="A116" s="7">
        <v>114</v>
      </c>
      <c r="B116" s="1" t="s">
        <v>12</v>
      </c>
      <c r="C116" s="1" t="s">
        <v>11</v>
      </c>
      <c r="D116" s="2" t="str">
        <f t="shared" si="14"/>
        <v>z2024301</v>
      </c>
      <c r="E116" s="2" t="str">
        <f>"张娜"</f>
        <v>张娜</v>
      </c>
      <c r="F116" s="2" t="str">
        <f t="shared" si="17"/>
        <v>女</v>
      </c>
      <c r="G116" s="1" t="str">
        <f t="shared" si="15"/>
        <v>本科</v>
      </c>
      <c r="H116" s="1" t="str">
        <f>"无"</f>
        <v>无</v>
      </c>
      <c r="I116" s="1" t="str">
        <f>"湖北民族大学"</f>
        <v>湖北民族大学</v>
      </c>
      <c r="J116" s="1" t="str">
        <f t="shared" si="16"/>
        <v>临床医学</v>
      </c>
      <c r="K116" s="7"/>
    </row>
    <row r="117" spans="1:11" ht="36" customHeight="1">
      <c r="A117" s="7">
        <v>115</v>
      </c>
      <c r="B117" s="1" t="s">
        <v>12</v>
      </c>
      <c r="C117" s="1" t="s">
        <v>11</v>
      </c>
      <c r="D117" s="2" t="str">
        <f t="shared" si="14"/>
        <v>z2024301</v>
      </c>
      <c r="E117" s="2" t="str">
        <f>"陈林海"</f>
        <v>陈林海</v>
      </c>
      <c r="F117" s="2" t="str">
        <f>"男"</f>
        <v>男</v>
      </c>
      <c r="G117" s="1" t="str">
        <f t="shared" si="15"/>
        <v>本科</v>
      </c>
      <c r="H117" s="1" t="str">
        <f>"学士"</f>
        <v>学士</v>
      </c>
      <c r="I117" s="1" t="str">
        <f>"湖北恩施学院"</f>
        <v>湖北恩施学院</v>
      </c>
      <c r="J117" s="1" t="str">
        <f t="shared" si="16"/>
        <v>临床医学</v>
      </c>
      <c r="K117" s="7"/>
    </row>
    <row r="118" spans="1:11" ht="36" customHeight="1">
      <c r="A118" s="7">
        <v>116</v>
      </c>
      <c r="B118" s="1" t="s">
        <v>14</v>
      </c>
      <c r="C118" s="1" t="s">
        <v>13</v>
      </c>
      <c r="D118" s="2" t="str">
        <f t="shared" ref="D118:D181" si="18">"z2024302"</f>
        <v>z2024302</v>
      </c>
      <c r="E118" s="2" t="str">
        <f>"李峻如"</f>
        <v>李峻如</v>
      </c>
      <c r="F118" s="2" t="str">
        <f>"男"</f>
        <v>男</v>
      </c>
      <c r="G118" s="1" t="str">
        <f t="shared" si="15"/>
        <v>本科</v>
      </c>
      <c r="H118" s="1" t="str">
        <f>"学士"</f>
        <v>学士</v>
      </c>
      <c r="I118" s="1" t="str">
        <f>"湖北民族学院科技学院"</f>
        <v>湖北民族学院科技学院</v>
      </c>
      <c r="J118" s="1" t="str">
        <f>"财务管理"</f>
        <v>财务管理</v>
      </c>
      <c r="K118" s="7"/>
    </row>
    <row r="119" spans="1:11" ht="36" customHeight="1">
      <c r="A119" s="7">
        <v>117</v>
      </c>
      <c r="B119" s="1" t="s">
        <v>14</v>
      </c>
      <c r="C119" s="1" t="s">
        <v>13</v>
      </c>
      <c r="D119" s="2" t="str">
        <f t="shared" si="18"/>
        <v>z2024302</v>
      </c>
      <c r="E119" s="2" t="str">
        <f>"王菲"</f>
        <v>王菲</v>
      </c>
      <c r="F119" s="2" t="str">
        <f t="shared" ref="F119:F126" si="19">"女"</f>
        <v>女</v>
      </c>
      <c r="G119" s="1" t="str">
        <f t="shared" si="15"/>
        <v>本科</v>
      </c>
      <c r="H119" s="1" t="str">
        <f t="shared" ref="H119:H124" si="20">"无"</f>
        <v>无</v>
      </c>
      <c r="I119" s="1" t="str">
        <f>"中南财经政法大学"</f>
        <v>中南财经政法大学</v>
      </c>
      <c r="J119" s="1" t="str">
        <f>"会计"</f>
        <v>会计</v>
      </c>
      <c r="K119" s="7"/>
    </row>
    <row r="120" spans="1:11" ht="36" customHeight="1">
      <c r="A120" s="7">
        <v>118</v>
      </c>
      <c r="B120" s="1" t="s">
        <v>14</v>
      </c>
      <c r="C120" s="1" t="s">
        <v>13</v>
      </c>
      <c r="D120" s="2" t="str">
        <f t="shared" si="18"/>
        <v>z2024302</v>
      </c>
      <c r="E120" s="2" t="str">
        <f>"蔡涵"</f>
        <v>蔡涵</v>
      </c>
      <c r="F120" s="2" t="str">
        <f t="shared" si="19"/>
        <v>女</v>
      </c>
      <c r="G120" s="1" t="str">
        <f>"大专"</f>
        <v>大专</v>
      </c>
      <c r="H120" s="1" t="str">
        <f t="shared" si="20"/>
        <v>无</v>
      </c>
      <c r="I120" s="1" t="str">
        <f>"恩施职业技术学院"</f>
        <v>恩施职业技术学院</v>
      </c>
      <c r="J120" s="1" t="str">
        <f>"财务管理"</f>
        <v>财务管理</v>
      </c>
      <c r="K120" s="7"/>
    </row>
    <row r="121" spans="1:11" ht="36" customHeight="1">
      <c r="A121" s="7">
        <v>119</v>
      </c>
      <c r="B121" s="1" t="s">
        <v>14</v>
      </c>
      <c r="C121" s="1" t="s">
        <v>13</v>
      </c>
      <c r="D121" s="2" t="str">
        <f t="shared" si="18"/>
        <v>z2024302</v>
      </c>
      <c r="E121" s="2" t="str">
        <f>"陈卫"</f>
        <v>陈卫</v>
      </c>
      <c r="F121" s="2" t="str">
        <f t="shared" si="19"/>
        <v>女</v>
      </c>
      <c r="G121" s="1" t="str">
        <f>"本科"</f>
        <v>本科</v>
      </c>
      <c r="H121" s="1" t="str">
        <f t="shared" si="20"/>
        <v>无</v>
      </c>
      <c r="I121" s="1" t="str">
        <f>"三峡大学"</f>
        <v>三峡大学</v>
      </c>
      <c r="J121" s="1" t="str">
        <f>"财务管理"</f>
        <v>财务管理</v>
      </c>
      <c r="K121" s="7"/>
    </row>
    <row r="122" spans="1:11" ht="36" customHeight="1">
      <c r="A122" s="7">
        <v>120</v>
      </c>
      <c r="B122" s="1" t="s">
        <v>14</v>
      </c>
      <c r="C122" s="1" t="s">
        <v>13</v>
      </c>
      <c r="D122" s="2" t="str">
        <f t="shared" si="18"/>
        <v>z2024302</v>
      </c>
      <c r="E122" s="2" t="str">
        <f>"黄梨萍"</f>
        <v>黄梨萍</v>
      </c>
      <c r="F122" s="2" t="str">
        <f t="shared" si="19"/>
        <v>女</v>
      </c>
      <c r="G122" s="1" t="str">
        <f>"大专"</f>
        <v>大专</v>
      </c>
      <c r="H122" s="1" t="str">
        <f t="shared" si="20"/>
        <v>无</v>
      </c>
      <c r="I122" s="1" t="str">
        <f>"湖北三峡职业技术学院"</f>
        <v>湖北三峡职业技术学院</v>
      </c>
      <c r="J122" s="1" t="str">
        <f>"会计电算化"</f>
        <v>会计电算化</v>
      </c>
      <c r="K122" s="7"/>
    </row>
    <row r="123" spans="1:11" ht="36" customHeight="1">
      <c r="A123" s="7">
        <v>121</v>
      </c>
      <c r="B123" s="1" t="s">
        <v>14</v>
      </c>
      <c r="C123" s="1" t="s">
        <v>13</v>
      </c>
      <c r="D123" s="2" t="str">
        <f t="shared" si="18"/>
        <v>z2024302</v>
      </c>
      <c r="E123" s="2" t="str">
        <f>"汪桐羽"</f>
        <v>汪桐羽</v>
      </c>
      <c r="F123" s="2" t="str">
        <f t="shared" si="19"/>
        <v>女</v>
      </c>
      <c r="G123" s="1" t="str">
        <f>"本科"</f>
        <v>本科</v>
      </c>
      <c r="H123" s="1" t="str">
        <f t="shared" si="20"/>
        <v>无</v>
      </c>
      <c r="I123" s="1" t="str">
        <f>"华中科技大学"</f>
        <v>华中科技大学</v>
      </c>
      <c r="J123" s="1" t="str">
        <f>"会计学"</f>
        <v>会计学</v>
      </c>
      <c r="K123" s="7"/>
    </row>
    <row r="124" spans="1:11" ht="36" customHeight="1">
      <c r="A124" s="7">
        <v>122</v>
      </c>
      <c r="B124" s="1" t="s">
        <v>14</v>
      </c>
      <c r="C124" s="1" t="s">
        <v>13</v>
      </c>
      <c r="D124" s="2" t="str">
        <f t="shared" si="18"/>
        <v>z2024302</v>
      </c>
      <c r="E124" s="2" t="str">
        <f>"曹崔"</f>
        <v>曹崔</v>
      </c>
      <c r="F124" s="2" t="str">
        <f t="shared" si="19"/>
        <v>女</v>
      </c>
      <c r="G124" s="1" t="str">
        <f>"大专"</f>
        <v>大专</v>
      </c>
      <c r="H124" s="1" t="str">
        <f t="shared" si="20"/>
        <v>无</v>
      </c>
      <c r="I124" s="1" t="str">
        <f>"国家开放大学"</f>
        <v>国家开放大学</v>
      </c>
      <c r="J124" s="1" t="str">
        <f>"会计"</f>
        <v>会计</v>
      </c>
      <c r="K124" s="7"/>
    </row>
    <row r="125" spans="1:11" ht="36" customHeight="1">
      <c r="A125" s="7">
        <v>123</v>
      </c>
      <c r="B125" s="1" t="s">
        <v>14</v>
      </c>
      <c r="C125" s="1" t="s">
        <v>13</v>
      </c>
      <c r="D125" s="2" t="str">
        <f t="shared" si="18"/>
        <v>z2024302</v>
      </c>
      <c r="E125" s="2" t="str">
        <f>"覃芙慧"</f>
        <v>覃芙慧</v>
      </c>
      <c r="F125" s="2" t="str">
        <f t="shared" si="19"/>
        <v>女</v>
      </c>
      <c r="G125" s="1" t="str">
        <f>"本科"</f>
        <v>本科</v>
      </c>
      <c r="H125" s="1" t="str">
        <f>"学士"</f>
        <v>学士</v>
      </c>
      <c r="I125" s="1" t="str">
        <f>"武汉工程科技学院"</f>
        <v>武汉工程科技学院</v>
      </c>
      <c r="J125" s="1" t="str">
        <f>"财务管理"</f>
        <v>财务管理</v>
      </c>
      <c r="K125" s="7"/>
    </row>
    <row r="126" spans="1:11" ht="36" customHeight="1">
      <c r="A126" s="7">
        <v>124</v>
      </c>
      <c r="B126" s="1" t="s">
        <v>14</v>
      </c>
      <c r="C126" s="1" t="s">
        <v>13</v>
      </c>
      <c r="D126" s="2" t="str">
        <f t="shared" si="18"/>
        <v>z2024302</v>
      </c>
      <c r="E126" s="2" t="str">
        <f>"陈娇"</f>
        <v>陈娇</v>
      </c>
      <c r="F126" s="2" t="str">
        <f t="shared" si="19"/>
        <v>女</v>
      </c>
      <c r="G126" s="1" t="str">
        <f>"本科"</f>
        <v>本科</v>
      </c>
      <c r="H126" s="1" t="str">
        <f>"学士"</f>
        <v>学士</v>
      </c>
      <c r="I126" s="1" t="str">
        <f>"武汉科技大学城市"</f>
        <v>武汉科技大学城市</v>
      </c>
      <c r="J126" s="1" t="str">
        <f>"会计学"</f>
        <v>会计学</v>
      </c>
      <c r="K126" s="7"/>
    </row>
    <row r="127" spans="1:11" ht="36" customHeight="1">
      <c r="A127" s="7">
        <v>125</v>
      </c>
      <c r="B127" s="1" t="s">
        <v>14</v>
      </c>
      <c r="C127" s="1" t="s">
        <v>13</v>
      </c>
      <c r="D127" s="2" t="str">
        <f t="shared" si="18"/>
        <v>z2024302</v>
      </c>
      <c r="E127" s="2" t="str">
        <f>"李峰"</f>
        <v>李峰</v>
      </c>
      <c r="F127" s="2" t="str">
        <f>"男"</f>
        <v>男</v>
      </c>
      <c r="G127" s="1" t="str">
        <f>"本科"</f>
        <v>本科</v>
      </c>
      <c r="H127" s="1" t="str">
        <f t="shared" ref="H127:H134" si="21">"无"</f>
        <v>无</v>
      </c>
      <c r="I127" s="1" t="str">
        <f>"三峡大学"</f>
        <v>三峡大学</v>
      </c>
      <c r="J127" s="1" t="str">
        <f>"财务管理"</f>
        <v>财务管理</v>
      </c>
      <c r="K127" s="7"/>
    </row>
    <row r="128" spans="1:11" ht="36" customHeight="1">
      <c r="A128" s="7">
        <v>126</v>
      </c>
      <c r="B128" s="1" t="s">
        <v>14</v>
      </c>
      <c r="C128" s="1" t="s">
        <v>13</v>
      </c>
      <c r="D128" s="2" t="str">
        <f t="shared" si="18"/>
        <v>z2024302</v>
      </c>
      <c r="E128" s="2" t="str">
        <f>"张园园"</f>
        <v>张园园</v>
      </c>
      <c r="F128" s="2" t="str">
        <f>"女"</f>
        <v>女</v>
      </c>
      <c r="G128" s="1" t="str">
        <f>"大专"</f>
        <v>大专</v>
      </c>
      <c r="H128" s="1" t="str">
        <f t="shared" si="21"/>
        <v>无</v>
      </c>
      <c r="I128" s="1" t="str">
        <f>"华中科技大学"</f>
        <v>华中科技大学</v>
      </c>
      <c r="J128" s="1" t="str">
        <f>"会计"</f>
        <v>会计</v>
      </c>
      <c r="K128" s="7"/>
    </row>
    <row r="129" spans="1:11" ht="36" customHeight="1">
      <c r="A129" s="7">
        <v>127</v>
      </c>
      <c r="B129" s="1" t="s">
        <v>14</v>
      </c>
      <c r="C129" s="1" t="s">
        <v>13</v>
      </c>
      <c r="D129" s="2" t="str">
        <f t="shared" si="18"/>
        <v>z2024302</v>
      </c>
      <c r="E129" s="2" t="str">
        <f>"刘莉"</f>
        <v>刘莉</v>
      </c>
      <c r="F129" s="2" t="str">
        <f>"女"</f>
        <v>女</v>
      </c>
      <c r="G129" s="1" t="str">
        <f>"大专"</f>
        <v>大专</v>
      </c>
      <c r="H129" s="1" t="str">
        <f t="shared" si="21"/>
        <v>无</v>
      </c>
      <c r="I129" s="1" t="str">
        <f>"长江大学"</f>
        <v>长江大学</v>
      </c>
      <c r="J129" s="1" t="str">
        <f>"会计"</f>
        <v>会计</v>
      </c>
      <c r="K129" s="7"/>
    </row>
    <row r="130" spans="1:11" ht="36" customHeight="1">
      <c r="A130" s="7">
        <v>128</v>
      </c>
      <c r="B130" s="1" t="s">
        <v>14</v>
      </c>
      <c r="C130" s="1" t="s">
        <v>13</v>
      </c>
      <c r="D130" s="2" t="str">
        <f t="shared" si="18"/>
        <v>z2024302</v>
      </c>
      <c r="E130" s="2" t="str">
        <f>"向琪玲"</f>
        <v>向琪玲</v>
      </c>
      <c r="F130" s="2" t="str">
        <f>"女"</f>
        <v>女</v>
      </c>
      <c r="G130" s="1" t="str">
        <f>"大专"</f>
        <v>大专</v>
      </c>
      <c r="H130" s="1" t="str">
        <f t="shared" si="21"/>
        <v>无</v>
      </c>
      <c r="I130" s="1" t="str">
        <f>"武汉交通职业学院"</f>
        <v>武汉交通职业学院</v>
      </c>
      <c r="J130" s="1" t="str">
        <f>"会计"</f>
        <v>会计</v>
      </c>
      <c r="K130" s="7"/>
    </row>
    <row r="131" spans="1:11" ht="36" customHeight="1">
      <c r="A131" s="7">
        <v>129</v>
      </c>
      <c r="B131" s="1" t="s">
        <v>14</v>
      </c>
      <c r="C131" s="1" t="s">
        <v>13</v>
      </c>
      <c r="D131" s="2" t="str">
        <f t="shared" si="18"/>
        <v>z2024302</v>
      </c>
      <c r="E131" s="2" t="str">
        <f>"覃琼慧"</f>
        <v>覃琼慧</v>
      </c>
      <c r="F131" s="2" t="str">
        <f>"女"</f>
        <v>女</v>
      </c>
      <c r="G131" s="1" t="str">
        <f>"大专"</f>
        <v>大专</v>
      </c>
      <c r="H131" s="1" t="str">
        <f t="shared" si="21"/>
        <v>无</v>
      </c>
      <c r="I131" s="1" t="str">
        <f>"恩施职业技术学院"</f>
        <v>恩施职业技术学院</v>
      </c>
      <c r="J131" s="1" t="str">
        <f>"会计"</f>
        <v>会计</v>
      </c>
      <c r="K131" s="7"/>
    </row>
    <row r="132" spans="1:11" ht="36" customHeight="1">
      <c r="A132" s="7">
        <v>130</v>
      </c>
      <c r="B132" s="1" t="s">
        <v>14</v>
      </c>
      <c r="C132" s="1" t="s">
        <v>13</v>
      </c>
      <c r="D132" s="2" t="str">
        <f t="shared" si="18"/>
        <v>z2024302</v>
      </c>
      <c r="E132" s="2" t="str">
        <f>"彭爽"</f>
        <v>彭爽</v>
      </c>
      <c r="F132" s="2" t="str">
        <f>"男"</f>
        <v>男</v>
      </c>
      <c r="G132" s="1" t="str">
        <f>"大专"</f>
        <v>大专</v>
      </c>
      <c r="H132" s="1" t="str">
        <f t="shared" si="21"/>
        <v>无</v>
      </c>
      <c r="I132" s="1" t="str">
        <f>"湖北第二师范学院"</f>
        <v>湖北第二师范学院</v>
      </c>
      <c r="J132" s="1" t="str">
        <f>"财务管理"</f>
        <v>财务管理</v>
      </c>
      <c r="K132" s="7"/>
    </row>
    <row r="133" spans="1:11" ht="36" customHeight="1">
      <c r="A133" s="7">
        <v>131</v>
      </c>
      <c r="B133" s="1" t="s">
        <v>14</v>
      </c>
      <c r="C133" s="1" t="s">
        <v>13</v>
      </c>
      <c r="D133" s="2" t="str">
        <f t="shared" si="18"/>
        <v>z2024302</v>
      </c>
      <c r="E133" s="2" t="str">
        <f>"杨柳清"</f>
        <v>杨柳清</v>
      </c>
      <c r="F133" s="2" t="str">
        <f>"女"</f>
        <v>女</v>
      </c>
      <c r="G133" s="1" t="str">
        <f>"本科"</f>
        <v>本科</v>
      </c>
      <c r="H133" s="1" t="str">
        <f t="shared" si="21"/>
        <v>无</v>
      </c>
      <c r="I133" s="1" t="str">
        <f>"中国地质大学《武汉》"</f>
        <v>中国地质大学《武汉》</v>
      </c>
      <c r="J133" s="1" t="str">
        <f>"会计（注册会计师方向）"</f>
        <v>会计（注册会计师方向）</v>
      </c>
      <c r="K133" s="7"/>
    </row>
    <row r="134" spans="1:11" ht="36" customHeight="1">
      <c r="A134" s="7">
        <v>132</v>
      </c>
      <c r="B134" s="1" t="s">
        <v>14</v>
      </c>
      <c r="C134" s="1" t="s">
        <v>13</v>
      </c>
      <c r="D134" s="2" t="str">
        <f t="shared" si="18"/>
        <v>z2024302</v>
      </c>
      <c r="E134" s="2" t="str">
        <f>"吴涵"</f>
        <v>吴涵</v>
      </c>
      <c r="F134" s="2" t="str">
        <f>"女"</f>
        <v>女</v>
      </c>
      <c r="G134" s="1" t="str">
        <f>"大专"</f>
        <v>大专</v>
      </c>
      <c r="H134" s="1" t="str">
        <f t="shared" si="21"/>
        <v>无</v>
      </c>
      <c r="I134" s="1" t="str">
        <f>"仙桃职业学院"</f>
        <v>仙桃职业学院</v>
      </c>
      <c r="J134" s="1" t="str">
        <f>"会计"</f>
        <v>会计</v>
      </c>
      <c r="K134" s="7"/>
    </row>
    <row r="135" spans="1:11" ht="36" customHeight="1">
      <c r="A135" s="7">
        <v>133</v>
      </c>
      <c r="B135" s="1" t="s">
        <v>14</v>
      </c>
      <c r="C135" s="1" t="s">
        <v>13</v>
      </c>
      <c r="D135" s="2" t="str">
        <f t="shared" si="18"/>
        <v>z2024302</v>
      </c>
      <c r="E135" s="2" t="str">
        <f>"蒲丽芳"</f>
        <v>蒲丽芳</v>
      </c>
      <c r="F135" s="2" t="str">
        <f>"女"</f>
        <v>女</v>
      </c>
      <c r="G135" s="1" t="str">
        <f>"本科"</f>
        <v>本科</v>
      </c>
      <c r="H135" s="1" t="str">
        <f>"学士"</f>
        <v>学士</v>
      </c>
      <c r="I135" s="1" t="str">
        <f>"湖北民族大学"</f>
        <v>湖北民族大学</v>
      </c>
      <c r="J135" s="1" t="str">
        <f>"会计学"</f>
        <v>会计学</v>
      </c>
      <c r="K135" s="7"/>
    </row>
    <row r="136" spans="1:11" ht="36" customHeight="1">
      <c r="A136" s="7">
        <v>134</v>
      </c>
      <c r="B136" s="1" t="s">
        <v>14</v>
      </c>
      <c r="C136" s="1" t="s">
        <v>13</v>
      </c>
      <c r="D136" s="2" t="str">
        <f t="shared" si="18"/>
        <v>z2024302</v>
      </c>
      <c r="E136" s="2" t="str">
        <f>"覃雨杰"</f>
        <v>覃雨杰</v>
      </c>
      <c r="F136" s="2" t="str">
        <f>"男"</f>
        <v>男</v>
      </c>
      <c r="G136" s="1" t="str">
        <f>"本科"</f>
        <v>本科</v>
      </c>
      <c r="H136" s="1" t="str">
        <f>"学士"</f>
        <v>学士</v>
      </c>
      <c r="I136" s="1" t="str">
        <f>"三峡大学科技学院"</f>
        <v>三峡大学科技学院</v>
      </c>
      <c r="J136" s="1" t="str">
        <f>"财务管理"</f>
        <v>财务管理</v>
      </c>
      <c r="K136" s="7"/>
    </row>
    <row r="137" spans="1:11" ht="36" customHeight="1">
      <c r="A137" s="7">
        <v>135</v>
      </c>
      <c r="B137" s="1" t="s">
        <v>14</v>
      </c>
      <c r="C137" s="1" t="s">
        <v>13</v>
      </c>
      <c r="D137" s="2" t="str">
        <f t="shared" si="18"/>
        <v>z2024302</v>
      </c>
      <c r="E137" s="2" t="str">
        <f>"周婷婷"</f>
        <v>周婷婷</v>
      </c>
      <c r="F137" s="2" t="str">
        <f>"女"</f>
        <v>女</v>
      </c>
      <c r="G137" s="1" t="str">
        <f>"大专"</f>
        <v>大专</v>
      </c>
      <c r="H137" s="1" t="str">
        <f t="shared" ref="H137:H153" si="22">"无"</f>
        <v>无</v>
      </c>
      <c r="I137" s="1" t="str">
        <f>"武汉学院"</f>
        <v>武汉学院</v>
      </c>
      <c r="J137" s="1" t="str">
        <f>"会计"</f>
        <v>会计</v>
      </c>
      <c r="K137" s="7"/>
    </row>
    <row r="138" spans="1:11" ht="36" customHeight="1">
      <c r="A138" s="7">
        <v>136</v>
      </c>
      <c r="B138" s="1" t="s">
        <v>14</v>
      </c>
      <c r="C138" s="1" t="s">
        <v>13</v>
      </c>
      <c r="D138" s="2" t="str">
        <f t="shared" si="18"/>
        <v>z2024302</v>
      </c>
      <c r="E138" s="2" t="str">
        <f>"陈远雄"</f>
        <v>陈远雄</v>
      </c>
      <c r="F138" s="2" t="str">
        <f>"男"</f>
        <v>男</v>
      </c>
      <c r="G138" s="1" t="str">
        <f>"本科"</f>
        <v>本科</v>
      </c>
      <c r="H138" s="1" t="str">
        <f t="shared" si="22"/>
        <v>无</v>
      </c>
      <c r="I138" s="1" t="str">
        <f>"湖北民族大学"</f>
        <v>湖北民族大学</v>
      </c>
      <c r="J138" s="1" t="str">
        <f>"财务管理"</f>
        <v>财务管理</v>
      </c>
      <c r="K138" s="7"/>
    </row>
    <row r="139" spans="1:11" ht="36" customHeight="1">
      <c r="A139" s="7">
        <v>137</v>
      </c>
      <c r="B139" s="1" t="s">
        <v>14</v>
      </c>
      <c r="C139" s="1" t="s">
        <v>13</v>
      </c>
      <c r="D139" s="2" t="str">
        <f t="shared" si="18"/>
        <v>z2024302</v>
      </c>
      <c r="E139" s="2" t="str">
        <f>"谭作晗"</f>
        <v>谭作晗</v>
      </c>
      <c r="F139" s="2" t="str">
        <f>"男"</f>
        <v>男</v>
      </c>
      <c r="G139" s="1" t="str">
        <f>"大专"</f>
        <v>大专</v>
      </c>
      <c r="H139" s="1" t="str">
        <f t="shared" si="22"/>
        <v>无</v>
      </c>
      <c r="I139" s="1" t="str">
        <f>"湖北民族学院科技学院"</f>
        <v>湖北民族学院科技学院</v>
      </c>
      <c r="J139" s="1" t="str">
        <f>"财务管理"</f>
        <v>财务管理</v>
      </c>
      <c r="K139" s="7"/>
    </row>
    <row r="140" spans="1:11" ht="36" customHeight="1">
      <c r="A140" s="7">
        <v>138</v>
      </c>
      <c r="B140" s="1" t="s">
        <v>14</v>
      </c>
      <c r="C140" s="1" t="s">
        <v>13</v>
      </c>
      <c r="D140" s="2" t="str">
        <f t="shared" si="18"/>
        <v>z2024302</v>
      </c>
      <c r="E140" s="2" t="str">
        <f>"胡冬"</f>
        <v>胡冬</v>
      </c>
      <c r="F140" s="2" t="str">
        <f t="shared" ref="F140:F153" si="23">"女"</f>
        <v>女</v>
      </c>
      <c r="G140" s="1" t="str">
        <f>"大专"</f>
        <v>大专</v>
      </c>
      <c r="H140" s="1" t="str">
        <f t="shared" si="22"/>
        <v>无</v>
      </c>
      <c r="I140" s="1" t="str">
        <f>"国家开放大学"</f>
        <v>国家开放大学</v>
      </c>
      <c r="J140" s="1" t="str">
        <f>"会计"</f>
        <v>会计</v>
      </c>
      <c r="K140" s="7"/>
    </row>
    <row r="141" spans="1:11" ht="36" customHeight="1">
      <c r="A141" s="7">
        <v>139</v>
      </c>
      <c r="B141" s="1" t="s">
        <v>14</v>
      </c>
      <c r="C141" s="1" t="s">
        <v>13</v>
      </c>
      <c r="D141" s="2" t="str">
        <f t="shared" si="18"/>
        <v>z2024302</v>
      </c>
      <c r="E141" s="2" t="str">
        <f>"饶娅"</f>
        <v>饶娅</v>
      </c>
      <c r="F141" s="2" t="str">
        <f t="shared" si="23"/>
        <v>女</v>
      </c>
      <c r="G141" s="1" t="str">
        <f>"本科"</f>
        <v>本科</v>
      </c>
      <c r="H141" s="1" t="str">
        <f t="shared" si="22"/>
        <v>无</v>
      </c>
      <c r="I141" s="1" t="str">
        <f>"华中师范大学汉口分校（现汉口学院）"</f>
        <v>华中师范大学汉口分校（现汉口学院）</v>
      </c>
      <c r="J141" s="1" t="str">
        <f>"会计"</f>
        <v>会计</v>
      </c>
      <c r="K141" s="7"/>
    </row>
    <row r="142" spans="1:11" ht="36" customHeight="1">
      <c r="A142" s="7">
        <v>140</v>
      </c>
      <c r="B142" s="1" t="s">
        <v>14</v>
      </c>
      <c r="C142" s="1" t="s">
        <v>13</v>
      </c>
      <c r="D142" s="2" t="str">
        <f t="shared" si="18"/>
        <v>z2024302</v>
      </c>
      <c r="E142" s="2" t="str">
        <f>"周琴"</f>
        <v>周琴</v>
      </c>
      <c r="F142" s="2" t="str">
        <f t="shared" si="23"/>
        <v>女</v>
      </c>
      <c r="G142" s="1" t="str">
        <f>"大专"</f>
        <v>大专</v>
      </c>
      <c r="H142" s="1" t="str">
        <f t="shared" si="22"/>
        <v>无</v>
      </c>
      <c r="I142" s="1" t="str">
        <f>"武汉外语外事职业学院"</f>
        <v>武汉外语外事职业学院</v>
      </c>
      <c r="J142" s="1" t="str">
        <f>"会计"</f>
        <v>会计</v>
      </c>
      <c r="K142" s="7"/>
    </row>
    <row r="143" spans="1:11" ht="36" customHeight="1">
      <c r="A143" s="7">
        <v>141</v>
      </c>
      <c r="B143" s="1" t="s">
        <v>14</v>
      </c>
      <c r="C143" s="1" t="s">
        <v>13</v>
      </c>
      <c r="D143" s="2" t="str">
        <f t="shared" si="18"/>
        <v>z2024302</v>
      </c>
      <c r="E143" s="2" t="str">
        <f>"黄艳"</f>
        <v>黄艳</v>
      </c>
      <c r="F143" s="2" t="str">
        <f t="shared" si="23"/>
        <v>女</v>
      </c>
      <c r="G143" s="1" t="str">
        <f>"本科"</f>
        <v>本科</v>
      </c>
      <c r="H143" s="1" t="str">
        <f t="shared" si="22"/>
        <v>无</v>
      </c>
      <c r="I143" s="1" t="str">
        <f>"中南财经政法大学"</f>
        <v>中南财经政法大学</v>
      </c>
      <c r="J143" s="1" t="str">
        <f>"会计（注册会计师方向）"</f>
        <v>会计（注册会计师方向）</v>
      </c>
      <c r="K143" s="7"/>
    </row>
    <row r="144" spans="1:11" ht="36" customHeight="1">
      <c r="A144" s="7">
        <v>142</v>
      </c>
      <c r="B144" s="1" t="s">
        <v>14</v>
      </c>
      <c r="C144" s="1" t="s">
        <v>13</v>
      </c>
      <c r="D144" s="2" t="str">
        <f t="shared" si="18"/>
        <v>z2024302</v>
      </c>
      <c r="E144" s="2" t="str">
        <f>"李玲玉"</f>
        <v>李玲玉</v>
      </c>
      <c r="F144" s="2" t="str">
        <f t="shared" si="23"/>
        <v>女</v>
      </c>
      <c r="G144" s="1" t="str">
        <f>"本科"</f>
        <v>本科</v>
      </c>
      <c r="H144" s="1" t="str">
        <f t="shared" si="22"/>
        <v>无</v>
      </c>
      <c r="I144" s="1" t="str">
        <f>"湖北民族大学"</f>
        <v>湖北民族大学</v>
      </c>
      <c r="J144" s="1" t="str">
        <f>"会计学"</f>
        <v>会计学</v>
      </c>
      <c r="K144" s="7"/>
    </row>
    <row r="145" spans="1:11" ht="36" customHeight="1">
      <c r="A145" s="7">
        <v>143</v>
      </c>
      <c r="B145" s="1" t="s">
        <v>14</v>
      </c>
      <c r="C145" s="1" t="s">
        <v>13</v>
      </c>
      <c r="D145" s="2" t="str">
        <f t="shared" si="18"/>
        <v>z2024302</v>
      </c>
      <c r="E145" s="2" t="str">
        <f>"袁芹"</f>
        <v>袁芹</v>
      </c>
      <c r="F145" s="2" t="str">
        <f t="shared" si="23"/>
        <v>女</v>
      </c>
      <c r="G145" s="1" t="str">
        <f>"大专"</f>
        <v>大专</v>
      </c>
      <c r="H145" s="1" t="str">
        <f t="shared" si="22"/>
        <v>无</v>
      </c>
      <c r="I145" s="1" t="str">
        <f>"湖北民族学院科技学院"</f>
        <v>湖北民族学院科技学院</v>
      </c>
      <c r="J145" s="1" t="str">
        <f>"财务管理"</f>
        <v>财务管理</v>
      </c>
      <c r="K145" s="7"/>
    </row>
    <row r="146" spans="1:11" ht="36" customHeight="1">
      <c r="A146" s="7">
        <v>144</v>
      </c>
      <c r="B146" s="1" t="s">
        <v>14</v>
      </c>
      <c r="C146" s="1" t="s">
        <v>13</v>
      </c>
      <c r="D146" s="2" t="str">
        <f t="shared" si="18"/>
        <v>z2024302</v>
      </c>
      <c r="E146" s="2" t="str">
        <f>"胡慧"</f>
        <v>胡慧</v>
      </c>
      <c r="F146" s="2" t="str">
        <f t="shared" si="23"/>
        <v>女</v>
      </c>
      <c r="G146" s="1" t="str">
        <f>"本科"</f>
        <v>本科</v>
      </c>
      <c r="H146" s="1" t="str">
        <f t="shared" si="22"/>
        <v>无</v>
      </c>
      <c r="I146" s="1" t="str">
        <f>"华中农业大学"</f>
        <v>华中农业大学</v>
      </c>
      <c r="J146" s="1" t="str">
        <f>"会计"</f>
        <v>会计</v>
      </c>
      <c r="K146" s="7"/>
    </row>
    <row r="147" spans="1:11" ht="36" customHeight="1">
      <c r="A147" s="7">
        <v>145</v>
      </c>
      <c r="B147" s="1" t="s">
        <v>14</v>
      </c>
      <c r="C147" s="1" t="s">
        <v>13</v>
      </c>
      <c r="D147" s="2" t="str">
        <f t="shared" si="18"/>
        <v>z2024302</v>
      </c>
      <c r="E147" s="2" t="str">
        <f>"吴丹"</f>
        <v>吴丹</v>
      </c>
      <c r="F147" s="2" t="str">
        <f t="shared" si="23"/>
        <v>女</v>
      </c>
      <c r="G147" s="1" t="str">
        <f>"大专"</f>
        <v>大专</v>
      </c>
      <c r="H147" s="1" t="str">
        <f t="shared" si="22"/>
        <v>无</v>
      </c>
      <c r="I147" s="1" t="str">
        <f>"湖北民族学院科技学院"</f>
        <v>湖北民族学院科技学院</v>
      </c>
      <c r="J147" s="1" t="str">
        <f>"财务管理"</f>
        <v>财务管理</v>
      </c>
      <c r="K147" s="7"/>
    </row>
    <row r="148" spans="1:11" ht="36" customHeight="1">
      <c r="A148" s="7">
        <v>146</v>
      </c>
      <c r="B148" s="1" t="s">
        <v>14</v>
      </c>
      <c r="C148" s="1" t="s">
        <v>13</v>
      </c>
      <c r="D148" s="2" t="str">
        <f t="shared" si="18"/>
        <v>z2024302</v>
      </c>
      <c r="E148" s="2" t="str">
        <f>"王晓娇"</f>
        <v>王晓娇</v>
      </c>
      <c r="F148" s="2" t="str">
        <f t="shared" si="23"/>
        <v>女</v>
      </c>
      <c r="G148" s="1" t="str">
        <f>"大专"</f>
        <v>大专</v>
      </c>
      <c r="H148" s="1" t="str">
        <f t="shared" si="22"/>
        <v>无</v>
      </c>
      <c r="I148" s="1" t="str">
        <f>"长江大学文理学院"</f>
        <v>长江大学文理学院</v>
      </c>
      <c r="J148" s="1" t="str">
        <f>"会计电算化"</f>
        <v>会计电算化</v>
      </c>
      <c r="K148" s="7"/>
    </row>
    <row r="149" spans="1:11" ht="36" customHeight="1">
      <c r="A149" s="7">
        <v>147</v>
      </c>
      <c r="B149" s="1" t="s">
        <v>14</v>
      </c>
      <c r="C149" s="1" t="s">
        <v>13</v>
      </c>
      <c r="D149" s="2" t="str">
        <f t="shared" si="18"/>
        <v>z2024302</v>
      </c>
      <c r="E149" s="2" t="str">
        <f>"廖珍荣"</f>
        <v>廖珍荣</v>
      </c>
      <c r="F149" s="2" t="str">
        <f t="shared" si="23"/>
        <v>女</v>
      </c>
      <c r="G149" s="1" t="str">
        <f>"大专"</f>
        <v>大专</v>
      </c>
      <c r="H149" s="1" t="str">
        <f t="shared" si="22"/>
        <v>无</v>
      </c>
      <c r="I149" s="1" t="str">
        <f>"湖北民族学院"</f>
        <v>湖北民族学院</v>
      </c>
      <c r="J149" s="1" t="str">
        <f>"财务管理"</f>
        <v>财务管理</v>
      </c>
      <c r="K149" s="7"/>
    </row>
    <row r="150" spans="1:11" ht="36" customHeight="1">
      <c r="A150" s="7">
        <v>148</v>
      </c>
      <c r="B150" s="1" t="s">
        <v>14</v>
      </c>
      <c r="C150" s="1" t="s">
        <v>13</v>
      </c>
      <c r="D150" s="2" t="str">
        <f t="shared" si="18"/>
        <v>z2024302</v>
      </c>
      <c r="E150" s="2" t="str">
        <f>"刘昭"</f>
        <v>刘昭</v>
      </c>
      <c r="F150" s="2" t="str">
        <f t="shared" si="23"/>
        <v>女</v>
      </c>
      <c r="G150" s="1" t="str">
        <f>"本科"</f>
        <v>本科</v>
      </c>
      <c r="H150" s="1" t="str">
        <f t="shared" si="22"/>
        <v>无</v>
      </c>
      <c r="I150" s="1" t="str">
        <f>"湖北民族大学"</f>
        <v>湖北民族大学</v>
      </c>
      <c r="J150" s="1" t="str">
        <f>"财务管理"</f>
        <v>财务管理</v>
      </c>
      <c r="K150" s="7"/>
    </row>
    <row r="151" spans="1:11" ht="36" customHeight="1">
      <c r="A151" s="7">
        <v>149</v>
      </c>
      <c r="B151" s="1" t="s">
        <v>14</v>
      </c>
      <c r="C151" s="1" t="s">
        <v>13</v>
      </c>
      <c r="D151" s="2" t="str">
        <f t="shared" si="18"/>
        <v>z2024302</v>
      </c>
      <c r="E151" s="2" t="str">
        <f>"龙斌斌"</f>
        <v>龙斌斌</v>
      </c>
      <c r="F151" s="2" t="str">
        <f t="shared" si="23"/>
        <v>女</v>
      </c>
      <c r="G151" s="1" t="str">
        <f>"本科"</f>
        <v>本科</v>
      </c>
      <c r="H151" s="1" t="str">
        <f t="shared" si="22"/>
        <v>无</v>
      </c>
      <c r="I151" s="1" t="str">
        <f>"国家开放大学"</f>
        <v>国家开放大学</v>
      </c>
      <c r="J151" s="1" t="str">
        <f>"会计学"</f>
        <v>会计学</v>
      </c>
      <c r="K151" s="7"/>
    </row>
    <row r="152" spans="1:11" ht="36" customHeight="1">
      <c r="A152" s="7">
        <v>150</v>
      </c>
      <c r="B152" s="1" t="s">
        <v>14</v>
      </c>
      <c r="C152" s="1" t="s">
        <v>13</v>
      </c>
      <c r="D152" s="2" t="str">
        <f t="shared" si="18"/>
        <v>z2024302</v>
      </c>
      <c r="E152" s="2" t="str">
        <f>"龚佳玥"</f>
        <v>龚佳玥</v>
      </c>
      <c r="F152" s="2" t="str">
        <f t="shared" si="23"/>
        <v>女</v>
      </c>
      <c r="G152" s="1" t="str">
        <f>"本科"</f>
        <v>本科</v>
      </c>
      <c r="H152" s="1" t="str">
        <f t="shared" si="22"/>
        <v>无</v>
      </c>
      <c r="I152" s="1" t="str">
        <f>"长江大学"</f>
        <v>长江大学</v>
      </c>
      <c r="J152" s="1" t="str">
        <f>"会计学"</f>
        <v>会计学</v>
      </c>
      <c r="K152" s="7"/>
    </row>
    <row r="153" spans="1:11" ht="36" customHeight="1">
      <c r="A153" s="7">
        <v>151</v>
      </c>
      <c r="B153" s="1" t="s">
        <v>14</v>
      </c>
      <c r="C153" s="1" t="s">
        <v>13</v>
      </c>
      <c r="D153" s="2" t="str">
        <f t="shared" si="18"/>
        <v>z2024302</v>
      </c>
      <c r="E153" s="2" t="str">
        <f>"曹国英"</f>
        <v>曹国英</v>
      </c>
      <c r="F153" s="2" t="str">
        <f t="shared" si="23"/>
        <v>女</v>
      </c>
      <c r="G153" s="1" t="str">
        <f>"大专"</f>
        <v>大专</v>
      </c>
      <c r="H153" s="1" t="str">
        <f t="shared" si="22"/>
        <v>无</v>
      </c>
      <c r="I153" s="1" t="str">
        <f>"华中师范大学汉口分校"</f>
        <v>华中师范大学汉口分校</v>
      </c>
      <c r="J153" s="1" t="str">
        <f>"会计"</f>
        <v>会计</v>
      </c>
      <c r="K153" s="7"/>
    </row>
    <row r="154" spans="1:11" ht="36" customHeight="1">
      <c r="A154" s="7">
        <v>152</v>
      </c>
      <c r="B154" s="1" t="s">
        <v>14</v>
      </c>
      <c r="C154" s="1" t="s">
        <v>13</v>
      </c>
      <c r="D154" s="2" t="str">
        <f t="shared" si="18"/>
        <v>z2024302</v>
      </c>
      <c r="E154" s="2" t="str">
        <f>"刘科扬"</f>
        <v>刘科扬</v>
      </c>
      <c r="F154" s="2" t="str">
        <f>"男"</f>
        <v>男</v>
      </c>
      <c r="G154" s="1" t="str">
        <f>"本科"</f>
        <v>本科</v>
      </c>
      <c r="H154" s="1" t="str">
        <f>"学士"</f>
        <v>学士</v>
      </c>
      <c r="I154" s="1" t="str">
        <f>"湖北民族学院科技学院"</f>
        <v>湖北民族学院科技学院</v>
      </c>
      <c r="J154" s="1" t="str">
        <f>"财务管理"</f>
        <v>财务管理</v>
      </c>
      <c r="K154" s="7"/>
    </row>
    <row r="155" spans="1:11" ht="36" customHeight="1">
      <c r="A155" s="7">
        <v>153</v>
      </c>
      <c r="B155" s="1" t="s">
        <v>14</v>
      </c>
      <c r="C155" s="1" t="s">
        <v>13</v>
      </c>
      <c r="D155" s="2" t="str">
        <f t="shared" si="18"/>
        <v>z2024302</v>
      </c>
      <c r="E155" s="2" t="str">
        <f>"吴娇莺"</f>
        <v>吴娇莺</v>
      </c>
      <c r="F155" s="2" t="str">
        <f t="shared" ref="F155:F162" si="24">"女"</f>
        <v>女</v>
      </c>
      <c r="G155" s="1" t="str">
        <f>"大专"</f>
        <v>大专</v>
      </c>
      <c r="H155" s="1" t="str">
        <f>"无"</f>
        <v>无</v>
      </c>
      <c r="I155" s="1" t="str">
        <f>"西安思源学院"</f>
        <v>西安思源学院</v>
      </c>
      <c r="J155" s="1" t="str">
        <f>"财务管理（财务核算方向）"</f>
        <v>财务管理（财务核算方向）</v>
      </c>
      <c r="K155" s="7"/>
    </row>
    <row r="156" spans="1:11" ht="36" customHeight="1">
      <c r="A156" s="7">
        <v>154</v>
      </c>
      <c r="B156" s="1" t="s">
        <v>14</v>
      </c>
      <c r="C156" s="1" t="s">
        <v>13</v>
      </c>
      <c r="D156" s="2" t="str">
        <f t="shared" si="18"/>
        <v>z2024302</v>
      </c>
      <c r="E156" s="2" t="str">
        <f>"田雪秀"</f>
        <v>田雪秀</v>
      </c>
      <c r="F156" s="2" t="str">
        <f t="shared" si="24"/>
        <v>女</v>
      </c>
      <c r="G156" s="1" t="str">
        <f>"本科"</f>
        <v>本科</v>
      </c>
      <c r="H156" s="1" t="str">
        <f>"学士"</f>
        <v>学士</v>
      </c>
      <c r="I156" s="1" t="str">
        <f>"湖州师范学院"</f>
        <v>湖州师范学院</v>
      </c>
      <c r="J156" s="1" t="str">
        <f>"财务管理"</f>
        <v>财务管理</v>
      </c>
      <c r="K156" s="7"/>
    </row>
    <row r="157" spans="1:11" ht="36" customHeight="1">
      <c r="A157" s="7">
        <v>155</v>
      </c>
      <c r="B157" s="1" t="s">
        <v>14</v>
      </c>
      <c r="C157" s="1" t="s">
        <v>13</v>
      </c>
      <c r="D157" s="2" t="str">
        <f t="shared" si="18"/>
        <v>z2024302</v>
      </c>
      <c r="E157" s="2" t="str">
        <f>"张宇"</f>
        <v>张宇</v>
      </c>
      <c r="F157" s="2" t="str">
        <f t="shared" si="24"/>
        <v>女</v>
      </c>
      <c r="G157" s="1" t="str">
        <f>"本科"</f>
        <v>本科</v>
      </c>
      <c r="H157" s="1" t="str">
        <f>"无"</f>
        <v>无</v>
      </c>
      <c r="I157" s="1" t="str">
        <f>"长江大学"</f>
        <v>长江大学</v>
      </c>
      <c r="J157" s="1" t="str">
        <f>"会计学"</f>
        <v>会计学</v>
      </c>
      <c r="K157" s="7"/>
    </row>
    <row r="158" spans="1:11" ht="36" customHeight="1">
      <c r="A158" s="7">
        <v>156</v>
      </c>
      <c r="B158" s="1" t="s">
        <v>14</v>
      </c>
      <c r="C158" s="1" t="s">
        <v>13</v>
      </c>
      <c r="D158" s="2" t="str">
        <f t="shared" si="18"/>
        <v>z2024302</v>
      </c>
      <c r="E158" s="2" t="str">
        <f>"尹柳楒"</f>
        <v>尹柳楒</v>
      </c>
      <c r="F158" s="2" t="str">
        <f t="shared" si="24"/>
        <v>女</v>
      </c>
      <c r="G158" s="1" t="str">
        <f>"本科"</f>
        <v>本科</v>
      </c>
      <c r="H158" s="1" t="str">
        <f>"学士"</f>
        <v>学士</v>
      </c>
      <c r="I158" s="1" t="str">
        <f>"湖北民族学院"</f>
        <v>湖北民族学院</v>
      </c>
      <c r="J158" s="1" t="str">
        <f>"财务管理"</f>
        <v>财务管理</v>
      </c>
      <c r="K158" s="7"/>
    </row>
    <row r="159" spans="1:11" ht="36" customHeight="1">
      <c r="A159" s="7">
        <v>157</v>
      </c>
      <c r="B159" s="1" t="s">
        <v>14</v>
      </c>
      <c r="C159" s="1" t="s">
        <v>13</v>
      </c>
      <c r="D159" s="2" t="str">
        <f t="shared" si="18"/>
        <v>z2024302</v>
      </c>
      <c r="E159" s="2" t="str">
        <f>"董桂燕"</f>
        <v>董桂燕</v>
      </c>
      <c r="F159" s="2" t="str">
        <f t="shared" si="24"/>
        <v>女</v>
      </c>
      <c r="G159" s="1" t="str">
        <f>"本科"</f>
        <v>本科</v>
      </c>
      <c r="H159" s="1" t="str">
        <f>"无"</f>
        <v>无</v>
      </c>
      <c r="I159" s="1" t="str">
        <f>"长江大学"</f>
        <v>长江大学</v>
      </c>
      <c r="J159" s="1" t="str">
        <f>"财务管理"</f>
        <v>财务管理</v>
      </c>
      <c r="K159" s="7"/>
    </row>
    <row r="160" spans="1:11" ht="36" customHeight="1">
      <c r="A160" s="7">
        <v>158</v>
      </c>
      <c r="B160" s="1" t="s">
        <v>14</v>
      </c>
      <c r="C160" s="1" t="s">
        <v>13</v>
      </c>
      <c r="D160" s="2" t="str">
        <f t="shared" si="18"/>
        <v>z2024302</v>
      </c>
      <c r="E160" s="2" t="str">
        <f>"商菊红"</f>
        <v>商菊红</v>
      </c>
      <c r="F160" s="2" t="str">
        <f t="shared" si="24"/>
        <v>女</v>
      </c>
      <c r="G160" s="1" t="str">
        <f>"大专"</f>
        <v>大专</v>
      </c>
      <c r="H160" s="1" t="str">
        <f>"无"</f>
        <v>无</v>
      </c>
      <c r="I160" s="1" t="str">
        <f>"恩施职业技术学院"</f>
        <v>恩施职业技术学院</v>
      </c>
      <c r="J160" s="1" t="str">
        <f>"会计"</f>
        <v>会计</v>
      </c>
      <c r="K160" s="7"/>
    </row>
    <row r="161" spans="1:11" ht="36" customHeight="1">
      <c r="A161" s="7">
        <v>159</v>
      </c>
      <c r="B161" s="1" t="s">
        <v>14</v>
      </c>
      <c r="C161" s="1" t="s">
        <v>13</v>
      </c>
      <c r="D161" s="2" t="str">
        <f t="shared" si="18"/>
        <v>z2024302</v>
      </c>
      <c r="E161" s="2" t="str">
        <f>"贺文倩"</f>
        <v>贺文倩</v>
      </c>
      <c r="F161" s="2" t="str">
        <f t="shared" si="24"/>
        <v>女</v>
      </c>
      <c r="G161" s="1" t="str">
        <f>"大专"</f>
        <v>大专</v>
      </c>
      <c r="H161" s="1" t="str">
        <f>"无"</f>
        <v>无</v>
      </c>
      <c r="I161" s="1" t="str">
        <f>"恩施职业技术学院"</f>
        <v>恩施职业技术学院</v>
      </c>
      <c r="J161" s="1" t="str">
        <f>"会计"</f>
        <v>会计</v>
      </c>
      <c r="K161" s="7"/>
    </row>
    <row r="162" spans="1:11" ht="36" customHeight="1">
      <c r="A162" s="7">
        <v>160</v>
      </c>
      <c r="B162" s="1" t="s">
        <v>14</v>
      </c>
      <c r="C162" s="1" t="s">
        <v>13</v>
      </c>
      <c r="D162" s="2" t="str">
        <f t="shared" si="18"/>
        <v>z2024302</v>
      </c>
      <c r="E162" s="2" t="str">
        <f>"刘爱华"</f>
        <v>刘爱华</v>
      </c>
      <c r="F162" s="2" t="str">
        <f t="shared" si="24"/>
        <v>女</v>
      </c>
      <c r="G162" s="1" t="str">
        <f>"本科"</f>
        <v>本科</v>
      </c>
      <c r="H162" s="1" t="str">
        <f>"学士"</f>
        <v>学士</v>
      </c>
      <c r="I162" s="1" t="str">
        <f>"三峡大学科技学院"</f>
        <v>三峡大学科技学院</v>
      </c>
      <c r="J162" s="1" t="str">
        <f>"财务管理"</f>
        <v>财务管理</v>
      </c>
      <c r="K162" s="7"/>
    </row>
    <row r="163" spans="1:11" ht="36" customHeight="1">
      <c r="A163" s="7">
        <v>161</v>
      </c>
      <c r="B163" s="1" t="s">
        <v>14</v>
      </c>
      <c r="C163" s="1" t="s">
        <v>13</v>
      </c>
      <c r="D163" s="2" t="str">
        <f t="shared" si="18"/>
        <v>z2024302</v>
      </c>
      <c r="E163" s="2" t="str">
        <f>"冉耀"</f>
        <v>冉耀</v>
      </c>
      <c r="F163" s="2" t="str">
        <f>"男"</f>
        <v>男</v>
      </c>
      <c r="G163" s="1" t="str">
        <f>"大专"</f>
        <v>大专</v>
      </c>
      <c r="H163" s="1" t="str">
        <f>"无"</f>
        <v>无</v>
      </c>
      <c r="I163" s="1" t="str">
        <f>"长江大学"</f>
        <v>长江大学</v>
      </c>
      <c r="J163" s="1" t="str">
        <f>"会计"</f>
        <v>会计</v>
      </c>
      <c r="K163" s="7"/>
    </row>
    <row r="164" spans="1:11" ht="36" customHeight="1">
      <c r="A164" s="7">
        <v>162</v>
      </c>
      <c r="B164" s="1" t="s">
        <v>14</v>
      </c>
      <c r="C164" s="1" t="s">
        <v>13</v>
      </c>
      <c r="D164" s="2" t="str">
        <f t="shared" si="18"/>
        <v>z2024302</v>
      </c>
      <c r="E164" s="2" t="str">
        <f>"刘铖"</f>
        <v>刘铖</v>
      </c>
      <c r="F164" s="2" t="str">
        <f>"女"</f>
        <v>女</v>
      </c>
      <c r="G164" s="1" t="str">
        <f>"大专"</f>
        <v>大专</v>
      </c>
      <c r="H164" s="1" t="str">
        <f>"无"</f>
        <v>无</v>
      </c>
      <c r="I164" s="1" t="str">
        <f>"武汉外语外事职业学院"</f>
        <v>武汉外语外事职业学院</v>
      </c>
      <c r="J164" s="1" t="str">
        <f>"会计"</f>
        <v>会计</v>
      </c>
      <c r="K164" s="7"/>
    </row>
    <row r="165" spans="1:11" ht="36" customHeight="1">
      <c r="A165" s="7">
        <v>163</v>
      </c>
      <c r="B165" s="1" t="s">
        <v>14</v>
      </c>
      <c r="C165" s="1" t="s">
        <v>13</v>
      </c>
      <c r="D165" s="2" t="str">
        <f t="shared" si="18"/>
        <v>z2024302</v>
      </c>
      <c r="E165" s="2" t="str">
        <f>"张粤丹"</f>
        <v>张粤丹</v>
      </c>
      <c r="F165" s="2" t="str">
        <f>"女"</f>
        <v>女</v>
      </c>
      <c r="G165" s="1" t="str">
        <f>"本科"</f>
        <v>本科</v>
      </c>
      <c r="H165" s="1" t="str">
        <f>"学士"</f>
        <v>学士</v>
      </c>
      <c r="I165" s="1" t="str">
        <f>"中原工学院信息商务学院"</f>
        <v>中原工学院信息商务学院</v>
      </c>
      <c r="J165" s="1" t="str">
        <f>"会计学"</f>
        <v>会计学</v>
      </c>
      <c r="K165" s="7"/>
    </row>
    <row r="166" spans="1:11" ht="36" customHeight="1">
      <c r="A166" s="7">
        <v>164</v>
      </c>
      <c r="B166" s="1" t="s">
        <v>14</v>
      </c>
      <c r="C166" s="1" t="s">
        <v>13</v>
      </c>
      <c r="D166" s="2" t="str">
        <f t="shared" si="18"/>
        <v>z2024302</v>
      </c>
      <c r="E166" s="2" t="str">
        <f>"张学念"</f>
        <v>张学念</v>
      </c>
      <c r="F166" s="2" t="str">
        <f>"女"</f>
        <v>女</v>
      </c>
      <c r="G166" s="1" t="str">
        <f>"大专"</f>
        <v>大专</v>
      </c>
      <c r="H166" s="1" t="str">
        <f>"无"</f>
        <v>无</v>
      </c>
      <c r="I166" s="1" t="str">
        <f>"重庆财经职业学院"</f>
        <v>重庆财经职业学院</v>
      </c>
      <c r="J166" s="1" t="str">
        <f>"财务管理"</f>
        <v>财务管理</v>
      </c>
      <c r="K166" s="7"/>
    </row>
    <row r="167" spans="1:11" ht="36" customHeight="1">
      <c r="A167" s="7">
        <v>165</v>
      </c>
      <c r="B167" s="1" t="s">
        <v>14</v>
      </c>
      <c r="C167" s="1" t="s">
        <v>13</v>
      </c>
      <c r="D167" s="2" t="str">
        <f t="shared" si="18"/>
        <v>z2024302</v>
      </c>
      <c r="E167" s="2" t="str">
        <f>"李月娥"</f>
        <v>李月娥</v>
      </c>
      <c r="F167" s="2" t="str">
        <f>"女"</f>
        <v>女</v>
      </c>
      <c r="G167" s="1" t="str">
        <f>"本科"</f>
        <v>本科</v>
      </c>
      <c r="H167" s="1" t="str">
        <f>"无"</f>
        <v>无</v>
      </c>
      <c r="I167" s="1" t="str">
        <f>"湖北师范大学"</f>
        <v>湖北师范大学</v>
      </c>
      <c r="J167" s="1" t="str">
        <f>"财务管理"</f>
        <v>财务管理</v>
      </c>
      <c r="K167" s="7"/>
    </row>
    <row r="168" spans="1:11" ht="36" customHeight="1">
      <c r="A168" s="7">
        <v>166</v>
      </c>
      <c r="B168" s="1" t="s">
        <v>14</v>
      </c>
      <c r="C168" s="1" t="s">
        <v>13</v>
      </c>
      <c r="D168" s="2" t="str">
        <f t="shared" si="18"/>
        <v>z2024302</v>
      </c>
      <c r="E168" s="2" t="str">
        <f>"聂宇桥"</f>
        <v>聂宇桥</v>
      </c>
      <c r="F168" s="2" t="str">
        <f>"男"</f>
        <v>男</v>
      </c>
      <c r="G168" s="1" t="str">
        <f>"本科"</f>
        <v>本科</v>
      </c>
      <c r="H168" s="1" t="str">
        <f>"学士"</f>
        <v>学士</v>
      </c>
      <c r="I168" s="1" t="str">
        <f>"湖北省民族学院科技学院"</f>
        <v>湖北省民族学院科技学院</v>
      </c>
      <c r="J168" s="1" t="str">
        <f>"财务管理"</f>
        <v>财务管理</v>
      </c>
      <c r="K168" s="7"/>
    </row>
    <row r="169" spans="1:11" ht="36" customHeight="1">
      <c r="A169" s="7">
        <v>167</v>
      </c>
      <c r="B169" s="1" t="s">
        <v>14</v>
      </c>
      <c r="C169" s="1" t="s">
        <v>13</v>
      </c>
      <c r="D169" s="2" t="str">
        <f t="shared" si="18"/>
        <v>z2024302</v>
      </c>
      <c r="E169" s="2" t="str">
        <f>"陈谦"</f>
        <v>陈谦</v>
      </c>
      <c r="F169" s="2" t="str">
        <f>"女"</f>
        <v>女</v>
      </c>
      <c r="G169" s="1" t="str">
        <f>"本科"</f>
        <v>本科</v>
      </c>
      <c r="H169" s="1" t="str">
        <f t="shared" ref="H169:H174" si="25">"无"</f>
        <v>无</v>
      </c>
      <c r="I169" s="1" t="str">
        <f>"三峡大学"</f>
        <v>三峡大学</v>
      </c>
      <c r="J169" s="1" t="str">
        <f>"财务管理"</f>
        <v>财务管理</v>
      </c>
      <c r="K169" s="7"/>
    </row>
    <row r="170" spans="1:11" ht="36" customHeight="1">
      <c r="A170" s="7">
        <v>168</v>
      </c>
      <c r="B170" s="1" t="s">
        <v>14</v>
      </c>
      <c r="C170" s="1" t="s">
        <v>13</v>
      </c>
      <c r="D170" s="2" t="str">
        <f t="shared" si="18"/>
        <v>z2024302</v>
      </c>
      <c r="E170" s="2" t="str">
        <f>"邹红艳"</f>
        <v>邹红艳</v>
      </c>
      <c r="F170" s="2" t="str">
        <f>"女"</f>
        <v>女</v>
      </c>
      <c r="G170" s="1" t="str">
        <f>"本科"</f>
        <v>本科</v>
      </c>
      <c r="H170" s="1" t="str">
        <f t="shared" si="25"/>
        <v>无</v>
      </c>
      <c r="I170" s="1" t="str">
        <f>"湖北工业大学"</f>
        <v>湖北工业大学</v>
      </c>
      <c r="J170" s="1" t="str">
        <f>"会计学"</f>
        <v>会计学</v>
      </c>
      <c r="K170" s="7"/>
    </row>
    <row r="171" spans="1:11" ht="36" customHeight="1">
      <c r="A171" s="7">
        <v>169</v>
      </c>
      <c r="B171" s="1" t="s">
        <v>14</v>
      </c>
      <c r="C171" s="1" t="s">
        <v>13</v>
      </c>
      <c r="D171" s="2" t="str">
        <f t="shared" si="18"/>
        <v>z2024302</v>
      </c>
      <c r="E171" s="2" t="str">
        <f>"胡蓉"</f>
        <v>胡蓉</v>
      </c>
      <c r="F171" s="2" t="str">
        <f>"女"</f>
        <v>女</v>
      </c>
      <c r="G171" s="1" t="str">
        <f>"大专"</f>
        <v>大专</v>
      </c>
      <c r="H171" s="1" t="str">
        <f t="shared" si="25"/>
        <v>无</v>
      </c>
      <c r="I171" s="1" t="str">
        <f>"武昌职业学院"</f>
        <v>武昌职业学院</v>
      </c>
      <c r="J171" s="1" t="str">
        <f>"财务管理"</f>
        <v>财务管理</v>
      </c>
      <c r="K171" s="7"/>
    </row>
    <row r="172" spans="1:11" ht="36" customHeight="1">
      <c r="A172" s="7">
        <v>170</v>
      </c>
      <c r="B172" s="1" t="s">
        <v>14</v>
      </c>
      <c r="C172" s="1" t="s">
        <v>13</v>
      </c>
      <c r="D172" s="2" t="str">
        <f t="shared" si="18"/>
        <v>z2024302</v>
      </c>
      <c r="E172" s="2" t="str">
        <f>"刘李"</f>
        <v>刘李</v>
      </c>
      <c r="F172" s="2" t="str">
        <f>"女"</f>
        <v>女</v>
      </c>
      <c r="G172" s="1" t="str">
        <f>"本科"</f>
        <v>本科</v>
      </c>
      <c r="H172" s="1" t="str">
        <f t="shared" si="25"/>
        <v>无</v>
      </c>
      <c r="I172" s="1" t="str">
        <f>"湖北民族大学"</f>
        <v>湖北民族大学</v>
      </c>
      <c r="J172" s="1" t="str">
        <f>"财务管理"</f>
        <v>财务管理</v>
      </c>
      <c r="K172" s="7"/>
    </row>
    <row r="173" spans="1:11" ht="36" customHeight="1">
      <c r="A173" s="7">
        <v>171</v>
      </c>
      <c r="B173" s="1" t="s">
        <v>14</v>
      </c>
      <c r="C173" s="1" t="s">
        <v>13</v>
      </c>
      <c r="D173" s="2" t="str">
        <f t="shared" si="18"/>
        <v>z2024302</v>
      </c>
      <c r="E173" s="2" t="str">
        <f>"杨苏清"</f>
        <v>杨苏清</v>
      </c>
      <c r="F173" s="2" t="str">
        <f>"男"</f>
        <v>男</v>
      </c>
      <c r="G173" s="1" t="str">
        <f>"大专"</f>
        <v>大专</v>
      </c>
      <c r="H173" s="1" t="str">
        <f t="shared" si="25"/>
        <v>无</v>
      </c>
      <c r="I173" s="1" t="str">
        <f>"湖北生物科技职业技术学院"</f>
        <v>湖北生物科技职业技术学院</v>
      </c>
      <c r="J173" s="1" t="str">
        <f>"会计与审计"</f>
        <v>会计与审计</v>
      </c>
      <c r="K173" s="7"/>
    </row>
    <row r="174" spans="1:11" ht="36" customHeight="1">
      <c r="A174" s="7">
        <v>172</v>
      </c>
      <c r="B174" s="1" t="s">
        <v>14</v>
      </c>
      <c r="C174" s="1" t="s">
        <v>13</v>
      </c>
      <c r="D174" s="2" t="str">
        <f t="shared" si="18"/>
        <v>z2024302</v>
      </c>
      <c r="E174" s="2" t="str">
        <f>"谭照琴"</f>
        <v>谭照琴</v>
      </c>
      <c r="F174" s="2" t="str">
        <f>"女"</f>
        <v>女</v>
      </c>
      <c r="G174" s="1" t="str">
        <f>"本科"</f>
        <v>本科</v>
      </c>
      <c r="H174" s="1" t="str">
        <f t="shared" si="25"/>
        <v>无</v>
      </c>
      <c r="I174" s="1" t="str">
        <f>"湖北经济学院"</f>
        <v>湖北经济学院</v>
      </c>
      <c r="J174" s="1" t="str">
        <f>"会计学"</f>
        <v>会计学</v>
      </c>
      <c r="K174" s="7"/>
    </row>
    <row r="175" spans="1:11" ht="36" customHeight="1">
      <c r="A175" s="7">
        <v>173</v>
      </c>
      <c r="B175" s="1" t="s">
        <v>14</v>
      </c>
      <c r="C175" s="1" t="s">
        <v>13</v>
      </c>
      <c r="D175" s="2" t="str">
        <f t="shared" si="18"/>
        <v>z2024302</v>
      </c>
      <c r="E175" s="2" t="str">
        <f>"覃琳茸"</f>
        <v>覃琳茸</v>
      </c>
      <c r="F175" s="2" t="str">
        <f>"女"</f>
        <v>女</v>
      </c>
      <c r="G175" s="1" t="str">
        <f>"本科"</f>
        <v>本科</v>
      </c>
      <c r="H175" s="1" t="str">
        <f>"学士"</f>
        <v>学士</v>
      </c>
      <c r="I175" s="1" t="str">
        <f>"湖北恩施学院"</f>
        <v>湖北恩施学院</v>
      </c>
      <c r="J175" s="1" t="str">
        <f>"会计学"</f>
        <v>会计学</v>
      </c>
      <c r="K175" s="7"/>
    </row>
    <row r="176" spans="1:11" ht="36" customHeight="1">
      <c r="A176" s="7">
        <v>174</v>
      </c>
      <c r="B176" s="1" t="s">
        <v>14</v>
      </c>
      <c r="C176" s="1" t="s">
        <v>13</v>
      </c>
      <c r="D176" s="2" t="str">
        <f t="shared" si="18"/>
        <v>z2024302</v>
      </c>
      <c r="E176" s="2" t="str">
        <f>"甘群山"</f>
        <v>甘群山</v>
      </c>
      <c r="F176" s="2" t="str">
        <f>"男"</f>
        <v>男</v>
      </c>
      <c r="G176" s="1" t="str">
        <f>"本科"</f>
        <v>本科</v>
      </c>
      <c r="H176" s="1" t="str">
        <f>"学士"</f>
        <v>学士</v>
      </c>
      <c r="I176" s="1" t="str">
        <f>"湖北恩施学院"</f>
        <v>湖北恩施学院</v>
      </c>
      <c r="J176" s="1" t="str">
        <f>"会计学"</f>
        <v>会计学</v>
      </c>
      <c r="K176" s="7"/>
    </row>
    <row r="177" spans="1:11" ht="36" customHeight="1">
      <c r="A177" s="7">
        <v>175</v>
      </c>
      <c r="B177" s="1" t="s">
        <v>14</v>
      </c>
      <c r="C177" s="1" t="s">
        <v>13</v>
      </c>
      <c r="D177" s="2" t="str">
        <f t="shared" si="18"/>
        <v>z2024302</v>
      </c>
      <c r="E177" s="2" t="str">
        <f>"杨馥榕"</f>
        <v>杨馥榕</v>
      </c>
      <c r="F177" s="2" t="str">
        <f>"女"</f>
        <v>女</v>
      </c>
      <c r="G177" s="1" t="str">
        <f>"大专"</f>
        <v>大专</v>
      </c>
      <c r="H177" s="1" t="str">
        <f>"无"</f>
        <v>无</v>
      </c>
      <c r="I177" s="1" t="str">
        <f>"湖北轻工职业技术学院"</f>
        <v>湖北轻工职业技术学院</v>
      </c>
      <c r="J177" s="1" t="str">
        <f>"会计电算化"</f>
        <v>会计电算化</v>
      </c>
      <c r="K177" s="7"/>
    </row>
    <row r="178" spans="1:11" ht="36" customHeight="1">
      <c r="A178" s="7">
        <v>176</v>
      </c>
      <c r="B178" s="1" t="s">
        <v>14</v>
      </c>
      <c r="C178" s="1" t="s">
        <v>13</v>
      </c>
      <c r="D178" s="2" t="str">
        <f t="shared" si="18"/>
        <v>z2024302</v>
      </c>
      <c r="E178" s="2" t="str">
        <f>"冉巧林"</f>
        <v>冉巧林</v>
      </c>
      <c r="F178" s="2" t="str">
        <f>"女"</f>
        <v>女</v>
      </c>
      <c r="G178" s="1" t="str">
        <f>"大专"</f>
        <v>大专</v>
      </c>
      <c r="H178" s="1" t="str">
        <f>"无"</f>
        <v>无</v>
      </c>
      <c r="I178" s="1" t="str">
        <f>"湖北民族学院科技学院"</f>
        <v>湖北民族学院科技学院</v>
      </c>
      <c r="J178" s="1" t="str">
        <f>"财务管理"</f>
        <v>财务管理</v>
      </c>
      <c r="K178" s="7"/>
    </row>
    <row r="179" spans="1:11" ht="36" customHeight="1">
      <c r="A179" s="7">
        <v>177</v>
      </c>
      <c r="B179" s="1" t="s">
        <v>14</v>
      </c>
      <c r="C179" s="1" t="s">
        <v>13</v>
      </c>
      <c r="D179" s="2" t="str">
        <f t="shared" si="18"/>
        <v>z2024302</v>
      </c>
      <c r="E179" s="2" t="str">
        <f>"陈欢"</f>
        <v>陈欢</v>
      </c>
      <c r="F179" s="2" t="str">
        <f>"女"</f>
        <v>女</v>
      </c>
      <c r="G179" s="1" t="str">
        <f>"本科"</f>
        <v>本科</v>
      </c>
      <c r="H179" s="1" t="str">
        <f>"学士"</f>
        <v>学士</v>
      </c>
      <c r="I179" s="1" t="str">
        <f>"武汉工商学院"</f>
        <v>武汉工商学院</v>
      </c>
      <c r="J179" s="1" t="str">
        <f>"财务管理"</f>
        <v>财务管理</v>
      </c>
      <c r="K179" s="7"/>
    </row>
    <row r="180" spans="1:11" ht="36" customHeight="1">
      <c r="A180" s="7">
        <v>178</v>
      </c>
      <c r="B180" s="1" t="s">
        <v>14</v>
      </c>
      <c r="C180" s="1" t="s">
        <v>13</v>
      </c>
      <c r="D180" s="2" t="str">
        <f t="shared" si="18"/>
        <v>z2024302</v>
      </c>
      <c r="E180" s="2" t="str">
        <f>"刘润琦"</f>
        <v>刘润琦</v>
      </c>
      <c r="F180" s="2" t="str">
        <f>"女"</f>
        <v>女</v>
      </c>
      <c r="G180" s="1" t="str">
        <f>"本科"</f>
        <v>本科</v>
      </c>
      <c r="H180" s="1" t="str">
        <f>"学士"</f>
        <v>学士</v>
      </c>
      <c r="I180" s="1" t="str">
        <f>"湖北民族学院科技学院"</f>
        <v>湖北民族学院科技学院</v>
      </c>
      <c r="J180" s="1" t="str">
        <f>"财务管理"</f>
        <v>财务管理</v>
      </c>
      <c r="K180" s="7"/>
    </row>
    <row r="181" spans="1:11" ht="36" customHeight="1">
      <c r="A181" s="7">
        <v>179</v>
      </c>
      <c r="B181" s="1" t="s">
        <v>14</v>
      </c>
      <c r="C181" s="1" t="s">
        <v>13</v>
      </c>
      <c r="D181" s="2" t="str">
        <f t="shared" si="18"/>
        <v>z2024302</v>
      </c>
      <c r="E181" s="2" t="str">
        <f>"袁梦怡"</f>
        <v>袁梦怡</v>
      </c>
      <c r="F181" s="2" t="str">
        <f>"女"</f>
        <v>女</v>
      </c>
      <c r="G181" s="1" t="str">
        <f>"大专"</f>
        <v>大专</v>
      </c>
      <c r="H181" s="1" t="str">
        <f>"无"</f>
        <v>无</v>
      </c>
      <c r="I181" s="1" t="str">
        <f>"武汉软件工程职业学院"</f>
        <v>武汉软件工程职业学院</v>
      </c>
      <c r="J181" s="1" t="str">
        <f>"会计"</f>
        <v>会计</v>
      </c>
      <c r="K181" s="7"/>
    </row>
    <row r="182" spans="1:11" ht="36" customHeight="1">
      <c r="A182" s="7">
        <v>180</v>
      </c>
      <c r="B182" s="1" t="s">
        <v>14</v>
      </c>
      <c r="C182" s="1" t="s">
        <v>13</v>
      </c>
      <c r="D182" s="2" t="str">
        <f t="shared" ref="D182:D245" si="26">"z2024302"</f>
        <v>z2024302</v>
      </c>
      <c r="E182" s="2" t="str">
        <f>"杨雅峰"</f>
        <v>杨雅峰</v>
      </c>
      <c r="F182" s="2" t="str">
        <f>"男"</f>
        <v>男</v>
      </c>
      <c r="G182" s="1" t="str">
        <f>"本科"</f>
        <v>本科</v>
      </c>
      <c r="H182" s="1" t="str">
        <f>"学士"</f>
        <v>学士</v>
      </c>
      <c r="I182" s="1" t="str">
        <f>"湖北民族学院"</f>
        <v>湖北民族学院</v>
      </c>
      <c r="J182" s="1" t="str">
        <f>"财务管理"</f>
        <v>财务管理</v>
      </c>
      <c r="K182" s="7"/>
    </row>
    <row r="183" spans="1:11" ht="36" customHeight="1">
      <c r="A183" s="7">
        <v>181</v>
      </c>
      <c r="B183" s="1" t="s">
        <v>14</v>
      </c>
      <c r="C183" s="1" t="s">
        <v>13</v>
      </c>
      <c r="D183" s="2" t="str">
        <f t="shared" si="26"/>
        <v>z2024302</v>
      </c>
      <c r="E183" s="2" t="str">
        <f>"王珊叁"</f>
        <v>王珊叁</v>
      </c>
      <c r="F183" s="2" t="str">
        <f>"女"</f>
        <v>女</v>
      </c>
      <c r="G183" s="1" t="str">
        <f>"本科"</f>
        <v>本科</v>
      </c>
      <c r="H183" s="1" t="str">
        <f>"学士"</f>
        <v>学士</v>
      </c>
      <c r="I183" s="1" t="str">
        <f>"湖北民族大学"</f>
        <v>湖北民族大学</v>
      </c>
      <c r="J183" s="1" t="str">
        <f>"会计"</f>
        <v>会计</v>
      </c>
      <c r="K183" s="7"/>
    </row>
    <row r="184" spans="1:11" ht="36" customHeight="1">
      <c r="A184" s="7">
        <v>182</v>
      </c>
      <c r="B184" s="1" t="s">
        <v>14</v>
      </c>
      <c r="C184" s="1" t="s">
        <v>13</v>
      </c>
      <c r="D184" s="2" t="str">
        <f t="shared" si="26"/>
        <v>z2024302</v>
      </c>
      <c r="E184" s="2" t="str">
        <f>"何东升"</f>
        <v>何东升</v>
      </c>
      <c r="F184" s="2" t="str">
        <f>"男"</f>
        <v>男</v>
      </c>
      <c r="G184" s="1" t="str">
        <f>"大专"</f>
        <v>大专</v>
      </c>
      <c r="H184" s="1" t="str">
        <f>"无"</f>
        <v>无</v>
      </c>
      <c r="I184" s="1" t="str">
        <f>"恩施州职业技术学院"</f>
        <v>恩施州职业技术学院</v>
      </c>
      <c r="J184" s="1" t="str">
        <f>"会计"</f>
        <v>会计</v>
      </c>
      <c r="K184" s="7"/>
    </row>
    <row r="185" spans="1:11" ht="36" customHeight="1">
      <c r="A185" s="7">
        <v>183</v>
      </c>
      <c r="B185" s="1" t="s">
        <v>14</v>
      </c>
      <c r="C185" s="1" t="s">
        <v>13</v>
      </c>
      <c r="D185" s="2" t="str">
        <f t="shared" si="26"/>
        <v>z2024302</v>
      </c>
      <c r="E185" s="2" t="str">
        <f>"安琳"</f>
        <v>安琳</v>
      </c>
      <c r="F185" s="2" t="str">
        <f>"女"</f>
        <v>女</v>
      </c>
      <c r="G185" s="1" t="str">
        <f>"本科"</f>
        <v>本科</v>
      </c>
      <c r="H185" s="1" t="str">
        <f>"学士"</f>
        <v>学士</v>
      </c>
      <c r="I185" s="1" t="str">
        <f>"武汉工程科技学院"</f>
        <v>武汉工程科技学院</v>
      </c>
      <c r="J185" s="1" t="str">
        <f>"会计学"</f>
        <v>会计学</v>
      </c>
      <c r="K185" s="7"/>
    </row>
    <row r="186" spans="1:11" ht="36" customHeight="1">
      <c r="A186" s="7">
        <v>184</v>
      </c>
      <c r="B186" s="1" t="s">
        <v>14</v>
      </c>
      <c r="C186" s="1" t="s">
        <v>13</v>
      </c>
      <c r="D186" s="2" t="str">
        <f t="shared" si="26"/>
        <v>z2024302</v>
      </c>
      <c r="E186" s="2" t="str">
        <f>"李林"</f>
        <v>李林</v>
      </c>
      <c r="F186" s="2" t="str">
        <f>"女"</f>
        <v>女</v>
      </c>
      <c r="G186" s="1" t="str">
        <f>"本科"</f>
        <v>本科</v>
      </c>
      <c r="H186" s="1" t="str">
        <f>"无"</f>
        <v>无</v>
      </c>
      <c r="I186" s="1" t="str">
        <f>"武汉工程大学"</f>
        <v>武汉工程大学</v>
      </c>
      <c r="J186" s="1" t="str">
        <f>"会计"</f>
        <v>会计</v>
      </c>
      <c r="K186" s="7"/>
    </row>
    <row r="187" spans="1:11" ht="36" customHeight="1">
      <c r="A187" s="7">
        <v>185</v>
      </c>
      <c r="B187" s="1" t="s">
        <v>14</v>
      </c>
      <c r="C187" s="1" t="s">
        <v>13</v>
      </c>
      <c r="D187" s="2" t="str">
        <f t="shared" si="26"/>
        <v>z2024302</v>
      </c>
      <c r="E187" s="2" t="str">
        <f>"覃锟"</f>
        <v>覃锟</v>
      </c>
      <c r="F187" s="2" t="str">
        <f>"男"</f>
        <v>男</v>
      </c>
      <c r="G187" s="1" t="str">
        <f>"本科"</f>
        <v>本科</v>
      </c>
      <c r="H187" s="1" t="str">
        <f>"学士"</f>
        <v>学士</v>
      </c>
      <c r="I187" s="1" t="str">
        <f>"武汉晴川学院"</f>
        <v>武汉晴川学院</v>
      </c>
      <c r="J187" s="1" t="str">
        <f>"会计学"</f>
        <v>会计学</v>
      </c>
      <c r="K187" s="7"/>
    </row>
    <row r="188" spans="1:11" ht="36" customHeight="1">
      <c r="A188" s="7">
        <v>186</v>
      </c>
      <c r="B188" s="1" t="s">
        <v>14</v>
      </c>
      <c r="C188" s="1" t="s">
        <v>13</v>
      </c>
      <c r="D188" s="2" t="str">
        <f t="shared" si="26"/>
        <v>z2024302</v>
      </c>
      <c r="E188" s="2" t="str">
        <f>"熊亚林"</f>
        <v>熊亚林</v>
      </c>
      <c r="F188" s="2" t="str">
        <f>"女"</f>
        <v>女</v>
      </c>
      <c r="G188" s="1" t="str">
        <f>"本科"</f>
        <v>本科</v>
      </c>
      <c r="H188" s="1" t="str">
        <f>"学士"</f>
        <v>学士</v>
      </c>
      <c r="I188" s="1" t="str">
        <f>"湖北民族学院科技学院"</f>
        <v>湖北民族学院科技学院</v>
      </c>
      <c r="J188" s="1" t="str">
        <f>"财务管理"</f>
        <v>财务管理</v>
      </c>
      <c r="K188" s="7"/>
    </row>
    <row r="189" spans="1:11" ht="36" customHeight="1">
      <c r="A189" s="7">
        <v>187</v>
      </c>
      <c r="B189" s="1" t="s">
        <v>14</v>
      </c>
      <c r="C189" s="1" t="s">
        <v>13</v>
      </c>
      <c r="D189" s="2" t="str">
        <f t="shared" si="26"/>
        <v>z2024302</v>
      </c>
      <c r="E189" s="2" t="str">
        <f>"杨帆"</f>
        <v>杨帆</v>
      </c>
      <c r="F189" s="2" t="str">
        <f>"女"</f>
        <v>女</v>
      </c>
      <c r="G189" s="1" t="str">
        <f>"本科"</f>
        <v>本科</v>
      </c>
      <c r="H189" s="1" t="str">
        <f t="shared" ref="H189:H194" si="27">"无"</f>
        <v>无</v>
      </c>
      <c r="I189" s="1" t="str">
        <f>"湖北大学"</f>
        <v>湖北大学</v>
      </c>
      <c r="J189" s="1" t="str">
        <f>"会计学"</f>
        <v>会计学</v>
      </c>
      <c r="K189" s="7"/>
    </row>
    <row r="190" spans="1:11" ht="36" customHeight="1">
      <c r="A190" s="7">
        <v>188</v>
      </c>
      <c r="B190" s="1" t="s">
        <v>14</v>
      </c>
      <c r="C190" s="1" t="s">
        <v>13</v>
      </c>
      <c r="D190" s="2" t="str">
        <f t="shared" si="26"/>
        <v>z2024302</v>
      </c>
      <c r="E190" s="2" t="str">
        <f>"袁思彤"</f>
        <v>袁思彤</v>
      </c>
      <c r="F190" s="2" t="str">
        <f>"女"</f>
        <v>女</v>
      </c>
      <c r="G190" s="1" t="str">
        <f>"大专"</f>
        <v>大专</v>
      </c>
      <c r="H190" s="1" t="str">
        <f t="shared" si="27"/>
        <v>无</v>
      </c>
      <c r="I190" s="1" t="str">
        <f>"武汉船舶职业技术学院"</f>
        <v>武汉船舶职业技术学院</v>
      </c>
      <c r="J190" s="1" t="str">
        <f>"会计"</f>
        <v>会计</v>
      </c>
      <c r="K190" s="7"/>
    </row>
    <row r="191" spans="1:11" ht="36" customHeight="1">
      <c r="A191" s="7">
        <v>189</v>
      </c>
      <c r="B191" s="1" t="s">
        <v>14</v>
      </c>
      <c r="C191" s="1" t="s">
        <v>13</v>
      </c>
      <c r="D191" s="2" t="str">
        <f t="shared" si="26"/>
        <v>z2024302</v>
      </c>
      <c r="E191" s="2" t="str">
        <f>"温顺"</f>
        <v>温顺</v>
      </c>
      <c r="F191" s="2" t="str">
        <f>"男"</f>
        <v>男</v>
      </c>
      <c r="G191" s="1" t="str">
        <f>"大专"</f>
        <v>大专</v>
      </c>
      <c r="H191" s="1" t="str">
        <f t="shared" si="27"/>
        <v>无</v>
      </c>
      <c r="I191" s="1" t="str">
        <f>"恩施职业技术学院"</f>
        <v>恩施职业技术学院</v>
      </c>
      <c r="J191" s="1" t="str">
        <f>"会计"</f>
        <v>会计</v>
      </c>
      <c r="K191" s="7"/>
    </row>
    <row r="192" spans="1:11" ht="36" customHeight="1">
      <c r="A192" s="7">
        <v>190</v>
      </c>
      <c r="B192" s="1" t="s">
        <v>14</v>
      </c>
      <c r="C192" s="1" t="s">
        <v>13</v>
      </c>
      <c r="D192" s="2" t="str">
        <f t="shared" si="26"/>
        <v>z2024302</v>
      </c>
      <c r="E192" s="2" t="str">
        <f>"易卉"</f>
        <v>易卉</v>
      </c>
      <c r="F192" s="2" t="str">
        <f>"女"</f>
        <v>女</v>
      </c>
      <c r="G192" s="1" t="str">
        <f>"本科"</f>
        <v>本科</v>
      </c>
      <c r="H192" s="1" t="str">
        <f t="shared" si="27"/>
        <v>无</v>
      </c>
      <c r="I192" s="1" t="str">
        <f>"湖北工程学院"</f>
        <v>湖北工程学院</v>
      </c>
      <c r="J192" s="1" t="str">
        <f>"会计（注册会计师方向）"</f>
        <v>会计（注册会计师方向）</v>
      </c>
      <c r="K192" s="7"/>
    </row>
    <row r="193" spans="1:11" ht="36" customHeight="1">
      <c r="A193" s="7">
        <v>191</v>
      </c>
      <c r="B193" s="1" t="s">
        <v>14</v>
      </c>
      <c r="C193" s="1" t="s">
        <v>13</v>
      </c>
      <c r="D193" s="2" t="str">
        <f t="shared" si="26"/>
        <v>z2024302</v>
      </c>
      <c r="E193" s="2" t="str">
        <f>"李柳"</f>
        <v>李柳</v>
      </c>
      <c r="F193" s="2" t="str">
        <f>"女"</f>
        <v>女</v>
      </c>
      <c r="G193" s="1" t="str">
        <f>"大专"</f>
        <v>大专</v>
      </c>
      <c r="H193" s="1" t="str">
        <f t="shared" si="27"/>
        <v>无</v>
      </c>
      <c r="I193" s="1" t="str">
        <f>"湖北职业技术学院"</f>
        <v>湖北职业技术学院</v>
      </c>
      <c r="J193" s="1" t="str">
        <f>"会计"</f>
        <v>会计</v>
      </c>
      <c r="K193" s="7"/>
    </row>
    <row r="194" spans="1:11" ht="36" customHeight="1">
      <c r="A194" s="7">
        <v>192</v>
      </c>
      <c r="B194" s="1" t="s">
        <v>14</v>
      </c>
      <c r="C194" s="1" t="s">
        <v>13</v>
      </c>
      <c r="D194" s="2" t="str">
        <f t="shared" si="26"/>
        <v>z2024302</v>
      </c>
      <c r="E194" s="2" t="str">
        <f>"刘意冰"</f>
        <v>刘意冰</v>
      </c>
      <c r="F194" s="2" t="str">
        <f>"女"</f>
        <v>女</v>
      </c>
      <c r="G194" s="1" t="str">
        <f>"大专"</f>
        <v>大专</v>
      </c>
      <c r="H194" s="1" t="str">
        <f t="shared" si="27"/>
        <v>无</v>
      </c>
      <c r="I194" s="1" t="str">
        <f>"湖北生物科技职业学院"</f>
        <v>湖北生物科技职业学院</v>
      </c>
      <c r="J194" s="1" t="str">
        <f>"会计与审计"</f>
        <v>会计与审计</v>
      </c>
      <c r="K194" s="7"/>
    </row>
    <row r="195" spans="1:11" ht="36" customHeight="1">
      <c r="A195" s="7">
        <v>193</v>
      </c>
      <c r="B195" s="1" t="s">
        <v>14</v>
      </c>
      <c r="C195" s="1" t="s">
        <v>13</v>
      </c>
      <c r="D195" s="2" t="str">
        <f t="shared" si="26"/>
        <v>z2024302</v>
      </c>
      <c r="E195" s="2" t="str">
        <f>"张宇豪"</f>
        <v>张宇豪</v>
      </c>
      <c r="F195" s="2" t="str">
        <f>"男"</f>
        <v>男</v>
      </c>
      <c r="G195" s="1" t="str">
        <f>"本科"</f>
        <v>本科</v>
      </c>
      <c r="H195" s="1" t="str">
        <f>"学士"</f>
        <v>学士</v>
      </c>
      <c r="I195" s="1" t="str">
        <f>"武汉工商学院"</f>
        <v>武汉工商学院</v>
      </c>
      <c r="J195" s="1" t="str">
        <f>"会计学"</f>
        <v>会计学</v>
      </c>
      <c r="K195" s="7"/>
    </row>
    <row r="196" spans="1:11" ht="36" customHeight="1">
      <c r="A196" s="7">
        <v>194</v>
      </c>
      <c r="B196" s="1" t="s">
        <v>14</v>
      </c>
      <c r="C196" s="1" t="s">
        <v>13</v>
      </c>
      <c r="D196" s="2" t="str">
        <f t="shared" si="26"/>
        <v>z2024302</v>
      </c>
      <c r="E196" s="2" t="str">
        <f>"罗晶"</f>
        <v>罗晶</v>
      </c>
      <c r="F196" s="2" t="str">
        <f>"女"</f>
        <v>女</v>
      </c>
      <c r="G196" s="1" t="str">
        <f>"本科"</f>
        <v>本科</v>
      </c>
      <c r="H196" s="1" t="str">
        <f>"学士"</f>
        <v>学士</v>
      </c>
      <c r="I196" s="1" t="str">
        <f>"武汉工程科技学院"</f>
        <v>武汉工程科技学院</v>
      </c>
      <c r="J196" s="1" t="str">
        <f>"会计学"</f>
        <v>会计学</v>
      </c>
      <c r="K196" s="7"/>
    </row>
    <row r="197" spans="1:11" ht="36" customHeight="1">
      <c r="A197" s="7">
        <v>195</v>
      </c>
      <c r="B197" s="1" t="s">
        <v>14</v>
      </c>
      <c r="C197" s="1" t="s">
        <v>13</v>
      </c>
      <c r="D197" s="2" t="str">
        <f t="shared" si="26"/>
        <v>z2024302</v>
      </c>
      <c r="E197" s="2" t="str">
        <f>"徐茜"</f>
        <v>徐茜</v>
      </c>
      <c r="F197" s="2" t="str">
        <f>"女"</f>
        <v>女</v>
      </c>
      <c r="G197" s="1" t="str">
        <f>"本科"</f>
        <v>本科</v>
      </c>
      <c r="H197" s="1" t="str">
        <f>"学士"</f>
        <v>学士</v>
      </c>
      <c r="I197" s="1" t="str">
        <f>"文华学院"</f>
        <v>文华学院</v>
      </c>
      <c r="J197" s="1" t="str">
        <f>"财务管理"</f>
        <v>财务管理</v>
      </c>
      <c r="K197" s="7"/>
    </row>
    <row r="198" spans="1:11" ht="36" customHeight="1">
      <c r="A198" s="7">
        <v>196</v>
      </c>
      <c r="B198" s="1" t="s">
        <v>14</v>
      </c>
      <c r="C198" s="1" t="s">
        <v>13</v>
      </c>
      <c r="D198" s="2" t="str">
        <f t="shared" si="26"/>
        <v>z2024302</v>
      </c>
      <c r="E198" s="2" t="str">
        <f>"谢艳玲"</f>
        <v>谢艳玲</v>
      </c>
      <c r="F198" s="2" t="str">
        <f>"女"</f>
        <v>女</v>
      </c>
      <c r="G198" s="1" t="str">
        <f>"大专"</f>
        <v>大专</v>
      </c>
      <c r="H198" s="1" t="str">
        <f>"无"</f>
        <v>无</v>
      </c>
      <c r="I198" s="1" t="str">
        <f>"咸宁职业技术学院"</f>
        <v>咸宁职业技术学院</v>
      </c>
      <c r="J198" s="1" t="str">
        <f>"会计"</f>
        <v>会计</v>
      </c>
      <c r="K198" s="7"/>
    </row>
    <row r="199" spans="1:11" ht="36" customHeight="1">
      <c r="A199" s="7">
        <v>197</v>
      </c>
      <c r="B199" s="1" t="s">
        <v>14</v>
      </c>
      <c r="C199" s="1" t="s">
        <v>13</v>
      </c>
      <c r="D199" s="2" t="str">
        <f t="shared" si="26"/>
        <v>z2024302</v>
      </c>
      <c r="E199" s="2" t="str">
        <f>"谭晓婕"</f>
        <v>谭晓婕</v>
      </c>
      <c r="F199" s="2" t="str">
        <f>"女"</f>
        <v>女</v>
      </c>
      <c r="G199" s="1" t="str">
        <f>"本科"</f>
        <v>本科</v>
      </c>
      <c r="H199" s="1" t="str">
        <f>"无"</f>
        <v>无</v>
      </c>
      <c r="I199" s="1" t="str">
        <f>"武汉生物工程学院"</f>
        <v>武汉生物工程学院</v>
      </c>
      <c r="J199" s="1" t="str">
        <f>"会计"</f>
        <v>会计</v>
      </c>
      <c r="K199" s="7"/>
    </row>
    <row r="200" spans="1:11" ht="36" customHeight="1">
      <c r="A200" s="7">
        <v>198</v>
      </c>
      <c r="B200" s="1" t="s">
        <v>14</v>
      </c>
      <c r="C200" s="1" t="s">
        <v>13</v>
      </c>
      <c r="D200" s="2" t="str">
        <f t="shared" si="26"/>
        <v>z2024302</v>
      </c>
      <c r="E200" s="2" t="str">
        <f>"王俐"</f>
        <v>王俐</v>
      </c>
      <c r="F200" s="2" t="str">
        <f>"女"</f>
        <v>女</v>
      </c>
      <c r="G200" s="1" t="str">
        <f>"大专"</f>
        <v>大专</v>
      </c>
      <c r="H200" s="1" t="str">
        <f>"无"</f>
        <v>无</v>
      </c>
      <c r="I200" s="1" t="str">
        <f>"恩施职业技术学院"</f>
        <v>恩施职业技术学院</v>
      </c>
      <c r="J200" s="1" t="str">
        <f>"会计"</f>
        <v>会计</v>
      </c>
      <c r="K200" s="7"/>
    </row>
    <row r="201" spans="1:11" ht="36" customHeight="1">
      <c r="A201" s="7">
        <v>199</v>
      </c>
      <c r="B201" s="1" t="s">
        <v>14</v>
      </c>
      <c r="C201" s="1" t="s">
        <v>13</v>
      </c>
      <c r="D201" s="2" t="str">
        <f t="shared" si="26"/>
        <v>z2024302</v>
      </c>
      <c r="E201" s="2" t="str">
        <f>"洪山"</f>
        <v>洪山</v>
      </c>
      <c r="F201" s="2" t="str">
        <f>"男"</f>
        <v>男</v>
      </c>
      <c r="G201" s="1" t="str">
        <f>"本科"</f>
        <v>本科</v>
      </c>
      <c r="H201" s="1" t="str">
        <f>"学士"</f>
        <v>学士</v>
      </c>
      <c r="I201" s="1" t="str">
        <f>"武汉工商学院"</f>
        <v>武汉工商学院</v>
      </c>
      <c r="J201" s="1" t="str">
        <f>"会计学"</f>
        <v>会计学</v>
      </c>
      <c r="K201" s="7"/>
    </row>
    <row r="202" spans="1:11" ht="36" customHeight="1">
      <c r="A202" s="7">
        <v>200</v>
      </c>
      <c r="B202" s="1" t="s">
        <v>14</v>
      </c>
      <c r="C202" s="1" t="s">
        <v>13</v>
      </c>
      <c r="D202" s="2" t="str">
        <f t="shared" si="26"/>
        <v>z2024302</v>
      </c>
      <c r="E202" s="2" t="str">
        <f>"韩庆君"</f>
        <v>韩庆君</v>
      </c>
      <c r="F202" s="2" t="str">
        <f t="shared" ref="F202:F211" si="28">"女"</f>
        <v>女</v>
      </c>
      <c r="G202" s="1" t="str">
        <f>"本科"</f>
        <v>本科</v>
      </c>
      <c r="H202" s="1" t="str">
        <f>"无"</f>
        <v>无</v>
      </c>
      <c r="I202" s="1" t="str">
        <f>"湖北经济学院"</f>
        <v>湖北经济学院</v>
      </c>
      <c r="J202" s="1" t="str">
        <f>"会计学"</f>
        <v>会计学</v>
      </c>
      <c r="K202" s="7"/>
    </row>
    <row r="203" spans="1:11" ht="36" customHeight="1">
      <c r="A203" s="7">
        <v>201</v>
      </c>
      <c r="B203" s="1" t="s">
        <v>14</v>
      </c>
      <c r="C203" s="1" t="s">
        <v>13</v>
      </c>
      <c r="D203" s="2" t="str">
        <f t="shared" si="26"/>
        <v>z2024302</v>
      </c>
      <c r="E203" s="2" t="str">
        <f>"喻淑芳"</f>
        <v>喻淑芳</v>
      </c>
      <c r="F203" s="2" t="str">
        <f t="shared" si="28"/>
        <v>女</v>
      </c>
      <c r="G203" s="1" t="str">
        <f>"本科"</f>
        <v>本科</v>
      </c>
      <c r="H203" s="1" t="str">
        <f>"学士"</f>
        <v>学士</v>
      </c>
      <c r="I203" s="1" t="str">
        <f>"湖北大学知行学院"</f>
        <v>湖北大学知行学院</v>
      </c>
      <c r="J203" s="1" t="str">
        <f>"审计学"</f>
        <v>审计学</v>
      </c>
      <c r="K203" s="7"/>
    </row>
    <row r="204" spans="1:11" ht="36" customHeight="1">
      <c r="A204" s="7">
        <v>202</v>
      </c>
      <c r="B204" s="1" t="s">
        <v>14</v>
      </c>
      <c r="C204" s="1" t="s">
        <v>13</v>
      </c>
      <c r="D204" s="2" t="str">
        <f t="shared" si="26"/>
        <v>z2024302</v>
      </c>
      <c r="E204" s="2" t="str">
        <f>"王家诗"</f>
        <v>王家诗</v>
      </c>
      <c r="F204" s="2" t="str">
        <f t="shared" si="28"/>
        <v>女</v>
      </c>
      <c r="G204" s="1" t="str">
        <f>"大专"</f>
        <v>大专</v>
      </c>
      <c r="H204" s="1" t="str">
        <f>"无"</f>
        <v>无</v>
      </c>
      <c r="I204" s="1" t="str">
        <f>"湖北生态工程职业技术学院"</f>
        <v>湖北生态工程职业技术学院</v>
      </c>
      <c r="J204" s="1" t="str">
        <f>"会计"</f>
        <v>会计</v>
      </c>
      <c r="K204" s="7"/>
    </row>
    <row r="205" spans="1:11" ht="36" customHeight="1">
      <c r="A205" s="7">
        <v>203</v>
      </c>
      <c r="B205" s="1" t="s">
        <v>14</v>
      </c>
      <c r="C205" s="1" t="s">
        <v>13</v>
      </c>
      <c r="D205" s="2" t="str">
        <f t="shared" si="26"/>
        <v>z2024302</v>
      </c>
      <c r="E205" s="2" t="str">
        <f>"贺小亚"</f>
        <v>贺小亚</v>
      </c>
      <c r="F205" s="2" t="str">
        <f t="shared" si="28"/>
        <v>女</v>
      </c>
      <c r="G205" s="1" t="str">
        <f>"本科"</f>
        <v>本科</v>
      </c>
      <c r="H205" s="1" t="str">
        <f>"学士"</f>
        <v>学士</v>
      </c>
      <c r="I205" s="1" t="str">
        <f>"武汉工商学院"</f>
        <v>武汉工商学院</v>
      </c>
      <c r="J205" s="1" t="str">
        <f>"会计学"</f>
        <v>会计学</v>
      </c>
      <c r="K205" s="7"/>
    </row>
    <row r="206" spans="1:11" ht="36" customHeight="1">
      <c r="A206" s="7">
        <v>204</v>
      </c>
      <c r="B206" s="1" t="s">
        <v>14</v>
      </c>
      <c r="C206" s="1" t="s">
        <v>13</v>
      </c>
      <c r="D206" s="2" t="str">
        <f t="shared" si="26"/>
        <v>z2024302</v>
      </c>
      <c r="E206" s="2" t="str">
        <f>"甘居正"</f>
        <v>甘居正</v>
      </c>
      <c r="F206" s="2" t="str">
        <f t="shared" si="28"/>
        <v>女</v>
      </c>
      <c r="G206" s="1" t="str">
        <f>"大专"</f>
        <v>大专</v>
      </c>
      <c r="H206" s="1" t="str">
        <f t="shared" ref="H206:H213" si="29">"无"</f>
        <v>无</v>
      </c>
      <c r="I206" s="1" t="str">
        <f>"武汉交通职业学院"</f>
        <v>武汉交通职业学院</v>
      </c>
      <c r="J206" s="1" t="str">
        <f>"会计"</f>
        <v>会计</v>
      </c>
      <c r="K206" s="7"/>
    </row>
    <row r="207" spans="1:11" ht="36" customHeight="1">
      <c r="A207" s="7">
        <v>205</v>
      </c>
      <c r="B207" s="1" t="s">
        <v>14</v>
      </c>
      <c r="C207" s="1" t="s">
        <v>13</v>
      </c>
      <c r="D207" s="2" t="str">
        <f t="shared" si="26"/>
        <v>z2024302</v>
      </c>
      <c r="E207" s="2" t="str">
        <f>"邓小芬"</f>
        <v>邓小芬</v>
      </c>
      <c r="F207" s="2" t="str">
        <f t="shared" si="28"/>
        <v>女</v>
      </c>
      <c r="G207" s="1" t="str">
        <f>"大专"</f>
        <v>大专</v>
      </c>
      <c r="H207" s="1" t="str">
        <f t="shared" si="29"/>
        <v>无</v>
      </c>
      <c r="I207" s="1" t="str">
        <f>"汉江师范学院"</f>
        <v>汉江师范学院</v>
      </c>
      <c r="J207" s="1" t="str">
        <f>"会计"</f>
        <v>会计</v>
      </c>
      <c r="K207" s="7"/>
    </row>
    <row r="208" spans="1:11" ht="36" customHeight="1">
      <c r="A208" s="7">
        <v>206</v>
      </c>
      <c r="B208" s="1" t="s">
        <v>14</v>
      </c>
      <c r="C208" s="1" t="s">
        <v>13</v>
      </c>
      <c r="D208" s="2" t="str">
        <f t="shared" si="26"/>
        <v>z2024302</v>
      </c>
      <c r="E208" s="2" t="str">
        <f>"陈溪"</f>
        <v>陈溪</v>
      </c>
      <c r="F208" s="2" t="str">
        <f t="shared" si="28"/>
        <v>女</v>
      </c>
      <c r="G208" s="1" t="str">
        <f>"大专"</f>
        <v>大专</v>
      </c>
      <c r="H208" s="1" t="str">
        <f t="shared" si="29"/>
        <v>无</v>
      </c>
      <c r="I208" s="1" t="str">
        <f>"武汉东湖学院"</f>
        <v>武汉东湖学院</v>
      </c>
      <c r="J208" s="1" t="str">
        <f>"会计"</f>
        <v>会计</v>
      </c>
      <c r="K208" s="7"/>
    </row>
    <row r="209" spans="1:11" ht="36" customHeight="1">
      <c r="A209" s="7">
        <v>207</v>
      </c>
      <c r="B209" s="1" t="s">
        <v>14</v>
      </c>
      <c r="C209" s="1" t="s">
        <v>13</v>
      </c>
      <c r="D209" s="2" t="str">
        <f t="shared" si="26"/>
        <v>z2024302</v>
      </c>
      <c r="E209" s="2" t="str">
        <f>"尹清一"</f>
        <v>尹清一</v>
      </c>
      <c r="F209" s="2" t="str">
        <f t="shared" si="28"/>
        <v>女</v>
      </c>
      <c r="G209" s="1" t="str">
        <f>"本科"</f>
        <v>本科</v>
      </c>
      <c r="H209" s="1" t="str">
        <f t="shared" si="29"/>
        <v>无</v>
      </c>
      <c r="I209" s="1" t="str">
        <f>"武汉理工大学"</f>
        <v>武汉理工大学</v>
      </c>
      <c r="J209" s="1" t="str">
        <f>"会计（注册会计师方向）"</f>
        <v>会计（注册会计师方向）</v>
      </c>
      <c r="K209" s="7"/>
    </row>
    <row r="210" spans="1:11" ht="36" customHeight="1">
      <c r="A210" s="7">
        <v>208</v>
      </c>
      <c r="B210" s="1" t="s">
        <v>14</v>
      </c>
      <c r="C210" s="1" t="s">
        <v>13</v>
      </c>
      <c r="D210" s="2" t="str">
        <f t="shared" si="26"/>
        <v>z2024302</v>
      </c>
      <c r="E210" s="2" t="str">
        <f>"李娅"</f>
        <v>李娅</v>
      </c>
      <c r="F210" s="2" t="str">
        <f t="shared" si="28"/>
        <v>女</v>
      </c>
      <c r="G210" s="1" t="str">
        <f>"本科"</f>
        <v>本科</v>
      </c>
      <c r="H210" s="1" t="str">
        <f t="shared" si="29"/>
        <v>无</v>
      </c>
      <c r="I210" s="1" t="str">
        <f>"武汉工程大学"</f>
        <v>武汉工程大学</v>
      </c>
      <c r="J210" s="1" t="str">
        <f>"会计"</f>
        <v>会计</v>
      </c>
      <c r="K210" s="7"/>
    </row>
    <row r="211" spans="1:11" ht="36" customHeight="1">
      <c r="A211" s="7">
        <v>209</v>
      </c>
      <c r="B211" s="1" t="s">
        <v>14</v>
      </c>
      <c r="C211" s="1" t="s">
        <v>13</v>
      </c>
      <c r="D211" s="2" t="str">
        <f t="shared" si="26"/>
        <v>z2024302</v>
      </c>
      <c r="E211" s="2" t="str">
        <f>"蒲瀛"</f>
        <v>蒲瀛</v>
      </c>
      <c r="F211" s="2" t="str">
        <f t="shared" si="28"/>
        <v>女</v>
      </c>
      <c r="G211" s="1" t="str">
        <f>"本科"</f>
        <v>本科</v>
      </c>
      <c r="H211" s="1" t="str">
        <f t="shared" si="29"/>
        <v>无</v>
      </c>
      <c r="I211" s="1" t="str">
        <f>"武汉科技大学"</f>
        <v>武汉科技大学</v>
      </c>
      <c r="J211" s="1" t="str">
        <f>"会计学"</f>
        <v>会计学</v>
      </c>
      <c r="K211" s="7"/>
    </row>
    <row r="212" spans="1:11" ht="36" customHeight="1">
      <c r="A212" s="7">
        <v>210</v>
      </c>
      <c r="B212" s="1" t="s">
        <v>14</v>
      </c>
      <c r="C212" s="1" t="s">
        <v>13</v>
      </c>
      <c r="D212" s="2" t="str">
        <f t="shared" si="26"/>
        <v>z2024302</v>
      </c>
      <c r="E212" s="2" t="str">
        <f>"向华恩"</f>
        <v>向华恩</v>
      </c>
      <c r="F212" s="2" t="str">
        <f>"男"</f>
        <v>男</v>
      </c>
      <c r="G212" s="1" t="str">
        <f>"大专"</f>
        <v>大专</v>
      </c>
      <c r="H212" s="1" t="str">
        <f t="shared" si="29"/>
        <v>无</v>
      </c>
      <c r="I212" s="1" t="str">
        <f>"湖北民族学院科技学院"</f>
        <v>湖北民族学院科技学院</v>
      </c>
      <c r="J212" s="1" t="str">
        <f>"财务管理"</f>
        <v>财务管理</v>
      </c>
      <c r="K212" s="7"/>
    </row>
    <row r="213" spans="1:11" ht="36" customHeight="1">
      <c r="A213" s="7">
        <v>211</v>
      </c>
      <c r="B213" s="1" t="s">
        <v>14</v>
      </c>
      <c r="C213" s="1" t="s">
        <v>13</v>
      </c>
      <c r="D213" s="2" t="str">
        <f t="shared" si="26"/>
        <v>z2024302</v>
      </c>
      <c r="E213" s="2" t="str">
        <f>"王漫"</f>
        <v>王漫</v>
      </c>
      <c r="F213" s="2" t="str">
        <f t="shared" ref="F213:F219" si="30">"女"</f>
        <v>女</v>
      </c>
      <c r="G213" s="1" t="str">
        <f>"大专"</f>
        <v>大专</v>
      </c>
      <c r="H213" s="1" t="str">
        <f t="shared" si="29"/>
        <v>无</v>
      </c>
      <c r="I213" s="1" t="str">
        <f>"三峡旅游职业技术学院"</f>
        <v>三峡旅游职业技术学院</v>
      </c>
      <c r="J213" s="1" t="str">
        <f>"会计电算化"</f>
        <v>会计电算化</v>
      </c>
      <c r="K213" s="7"/>
    </row>
    <row r="214" spans="1:11" ht="36" customHeight="1">
      <c r="A214" s="7">
        <v>212</v>
      </c>
      <c r="B214" s="1" t="s">
        <v>14</v>
      </c>
      <c r="C214" s="1" t="s">
        <v>13</v>
      </c>
      <c r="D214" s="2" t="str">
        <f t="shared" si="26"/>
        <v>z2024302</v>
      </c>
      <c r="E214" s="2" t="str">
        <f>"陈秋敏"</f>
        <v>陈秋敏</v>
      </c>
      <c r="F214" s="2" t="str">
        <f t="shared" si="30"/>
        <v>女</v>
      </c>
      <c r="G214" s="1" t="str">
        <f>"本科"</f>
        <v>本科</v>
      </c>
      <c r="H214" s="1" t="str">
        <f>"学士"</f>
        <v>学士</v>
      </c>
      <c r="I214" s="1" t="str">
        <f>"武汉工商学院"</f>
        <v>武汉工商学院</v>
      </c>
      <c r="J214" s="1" t="str">
        <f>"会计学"</f>
        <v>会计学</v>
      </c>
      <c r="K214" s="7"/>
    </row>
    <row r="215" spans="1:11" ht="36" customHeight="1">
      <c r="A215" s="7">
        <v>213</v>
      </c>
      <c r="B215" s="1" t="s">
        <v>14</v>
      </c>
      <c r="C215" s="1" t="s">
        <v>13</v>
      </c>
      <c r="D215" s="2" t="str">
        <f t="shared" si="26"/>
        <v>z2024302</v>
      </c>
      <c r="E215" s="2" t="str">
        <f>"段晓芳"</f>
        <v>段晓芳</v>
      </c>
      <c r="F215" s="2" t="str">
        <f t="shared" si="30"/>
        <v>女</v>
      </c>
      <c r="G215" s="1" t="str">
        <f>"大专"</f>
        <v>大专</v>
      </c>
      <c r="H215" s="1" t="str">
        <f>"无"</f>
        <v>无</v>
      </c>
      <c r="I215" s="1" t="str">
        <f>"荆州职业技术学院"</f>
        <v>荆州职业技术学院</v>
      </c>
      <c r="J215" s="1" t="str">
        <f>"会计专业"</f>
        <v>会计专业</v>
      </c>
      <c r="K215" s="7"/>
    </row>
    <row r="216" spans="1:11" ht="36" customHeight="1">
      <c r="A216" s="7">
        <v>214</v>
      </c>
      <c r="B216" s="1" t="s">
        <v>14</v>
      </c>
      <c r="C216" s="1" t="s">
        <v>13</v>
      </c>
      <c r="D216" s="2" t="str">
        <f t="shared" si="26"/>
        <v>z2024302</v>
      </c>
      <c r="E216" s="2" t="str">
        <f>"黄晓丹"</f>
        <v>黄晓丹</v>
      </c>
      <c r="F216" s="2" t="str">
        <f t="shared" si="30"/>
        <v>女</v>
      </c>
      <c r="G216" s="1" t="str">
        <f>"本科"</f>
        <v>本科</v>
      </c>
      <c r="H216" s="1" t="str">
        <f>"学士"</f>
        <v>学士</v>
      </c>
      <c r="I216" s="1" t="str">
        <f>"湖北经济学院"</f>
        <v>湖北经济学院</v>
      </c>
      <c r="J216" s="1" t="str">
        <f>"会计学"</f>
        <v>会计学</v>
      </c>
      <c r="K216" s="7"/>
    </row>
    <row r="217" spans="1:11" ht="36" customHeight="1">
      <c r="A217" s="7">
        <v>215</v>
      </c>
      <c r="B217" s="1" t="s">
        <v>14</v>
      </c>
      <c r="C217" s="1" t="s">
        <v>13</v>
      </c>
      <c r="D217" s="2" t="str">
        <f t="shared" si="26"/>
        <v>z2024302</v>
      </c>
      <c r="E217" s="2" t="str">
        <f>"王评"</f>
        <v>王评</v>
      </c>
      <c r="F217" s="2" t="str">
        <f t="shared" si="30"/>
        <v>女</v>
      </c>
      <c r="G217" s="1" t="str">
        <f>"本科"</f>
        <v>本科</v>
      </c>
      <c r="H217" s="1" t="str">
        <f>"无"</f>
        <v>无</v>
      </c>
      <c r="I217" s="1" t="str">
        <f>"湖北民族学院"</f>
        <v>湖北民族学院</v>
      </c>
      <c r="J217" s="1" t="str">
        <f>"财务管理"</f>
        <v>财务管理</v>
      </c>
      <c r="K217" s="7"/>
    </row>
    <row r="218" spans="1:11" ht="36" customHeight="1">
      <c r="A218" s="7">
        <v>216</v>
      </c>
      <c r="B218" s="1" t="s">
        <v>14</v>
      </c>
      <c r="C218" s="1" t="s">
        <v>13</v>
      </c>
      <c r="D218" s="2" t="str">
        <f t="shared" si="26"/>
        <v>z2024302</v>
      </c>
      <c r="E218" s="2" t="str">
        <f>"陈思燚"</f>
        <v>陈思燚</v>
      </c>
      <c r="F218" s="2" t="str">
        <f t="shared" si="30"/>
        <v>女</v>
      </c>
      <c r="G218" s="1" t="str">
        <f>"大专"</f>
        <v>大专</v>
      </c>
      <c r="H218" s="1" t="str">
        <f>"无"</f>
        <v>无</v>
      </c>
      <c r="I218" s="1" t="str">
        <f>"西安思源学院"</f>
        <v>西安思源学院</v>
      </c>
      <c r="J218" s="1" t="str">
        <f>"大数据与财务管理"</f>
        <v>大数据与财务管理</v>
      </c>
      <c r="K218" s="7"/>
    </row>
    <row r="219" spans="1:11" ht="36" customHeight="1">
      <c r="A219" s="7">
        <v>217</v>
      </c>
      <c r="B219" s="1" t="s">
        <v>14</v>
      </c>
      <c r="C219" s="1" t="s">
        <v>13</v>
      </c>
      <c r="D219" s="2" t="str">
        <f t="shared" si="26"/>
        <v>z2024302</v>
      </c>
      <c r="E219" s="2" t="str">
        <f>"刘芹"</f>
        <v>刘芹</v>
      </c>
      <c r="F219" s="2" t="str">
        <f t="shared" si="30"/>
        <v>女</v>
      </c>
      <c r="G219" s="1" t="str">
        <f t="shared" ref="G219:G225" si="31">"本科"</f>
        <v>本科</v>
      </c>
      <c r="H219" s="1" t="str">
        <f>"无"</f>
        <v>无</v>
      </c>
      <c r="I219" s="1" t="str">
        <f>"重庆师范大学"</f>
        <v>重庆师范大学</v>
      </c>
      <c r="J219" s="1" t="str">
        <f>"会计（独立本科段）"</f>
        <v>会计（独立本科段）</v>
      </c>
      <c r="K219" s="7"/>
    </row>
    <row r="220" spans="1:11" ht="36" customHeight="1">
      <c r="A220" s="7">
        <v>218</v>
      </c>
      <c r="B220" s="1" t="s">
        <v>14</v>
      </c>
      <c r="C220" s="1" t="s">
        <v>13</v>
      </c>
      <c r="D220" s="2" t="str">
        <f t="shared" si="26"/>
        <v>z2024302</v>
      </c>
      <c r="E220" s="2" t="str">
        <f>"廖明洋"</f>
        <v>廖明洋</v>
      </c>
      <c r="F220" s="2" t="str">
        <f>"男"</f>
        <v>男</v>
      </c>
      <c r="G220" s="1" t="str">
        <f t="shared" si="31"/>
        <v>本科</v>
      </c>
      <c r="H220" s="1" t="str">
        <f>"学士"</f>
        <v>学士</v>
      </c>
      <c r="I220" s="1" t="str">
        <f>"湖北师范大学文理学院"</f>
        <v>湖北师范大学文理学院</v>
      </c>
      <c r="J220" s="1" t="str">
        <f>"财务管理"</f>
        <v>财务管理</v>
      </c>
      <c r="K220" s="7"/>
    </row>
    <row r="221" spans="1:11" ht="36" customHeight="1">
      <c r="A221" s="7">
        <v>219</v>
      </c>
      <c r="B221" s="1" t="s">
        <v>14</v>
      </c>
      <c r="C221" s="1" t="s">
        <v>13</v>
      </c>
      <c r="D221" s="2" t="str">
        <f t="shared" si="26"/>
        <v>z2024302</v>
      </c>
      <c r="E221" s="2" t="str">
        <f>"李梦溪"</f>
        <v>李梦溪</v>
      </c>
      <c r="F221" s="2" t="str">
        <f>"女"</f>
        <v>女</v>
      </c>
      <c r="G221" s="1" t="str">
        <f t="shared" si="31"/>
        <v>本科</v>
      </c>
      <c r="H221" s="1" t="str">
        <f>"学士"</f>
        <v>学士</v>
      </c>
      <c r="I221" s="1" t="str">
        <f>"重庆工商大学"</f>
        <v>重庆工商大学</v>
      </c>
      <c r="J221" s="1" t="str">
        <f>"审计学"</f>
        <v>审计学</v>
      </c>
      <c r="K221" s="7"/>
    </row>
    <row r="222" spans="1:11" ht="36" customHeight="1">
      <c r="A222" s="7">
        <v>220</v>
      </c>
      <c r="B222" s="1" t="s">
        <v>14</v>
      </c>
      <c r="C222" s="1" t="s">
        <v>13</v>
      </c>
      <c r="D222" s="2" t="str">
        <f t="shared" si="26"/>
        <v>z2024302</v>
      </c>
      <c r="E222" s="2" t="str">
        <f>"曾兰岚"</f>
        <v>曾兰岚</v>
      </c>
      <c r="F222" s="2" t="str">
        <f>"女"</f>
        <v>女</v>
      </c>
      <c r="G222" s="1" t="str">
        <f t="shared" si="31"/>
        <v>本科</v>
      </c>
      <c r="H222" s="1" t="str">
        <f>"学士"</f>
        <v>学士</v>
      </c>
      <c r="I222" s="1" t="str">
        <f>"武汉轻工大学"</f>
        <v>武汉轻工大学</v>
      </c>
      <c r="J222" s="1" t="str">
        <f>"会计学"</f>
        <v>会计学</v>
      </c>
      <c r="K222" s="7"/>
    </row>
    <row r="223" spans="1:11" ht="36" customHeight="1">
      <c r="A223" s="7">
        <v>221</v>
      </c>
      <c r="B223" s="1" t="s">
        <v>14</v>
      </c>
      <c r="C223" s="1" t="s">
        <v>13</v>
      </c>
      <c r="D223" s="2" t="str">
        <f t="shared" si="26"/>
        <v>z2024302</v>
      </c>
      <c r="E223" s="2" t="str">
        <f>"尹力"</f>
        <v>尹力</v>
      </c>
      <c r="F223" s="2" t="str">
        <f>"男"</f>
        <v>男</v>
      </c>
      <c r="G223" s="1" t="str">
        <f t="shared" si="31"/>
        <v>本科</v>
      </c>
      <c r="H223" s="1" t="str">
        <f>"无"</f>
        <v>无</v>
      </c>
      <c r="I223" s="1" t="str">
        <f>"湖北民族学院科技学院"</f>
        <v>湖北民族学院科技学院</v>
      </c>
      <c r="J223" s="1" t="str">
        <f>"财务管理"</f>
        <v>财务管理</v>
      </c>
      <c r="K223" s="7"/>
    </row>
    <row r="224" spans="1:11" ht="36" customHeight="1">
      <c r="A224" s="7">
        <v>222</v>
      </c>
      <c r="B224" s="1" t="s">
        <v>14</v>
      </c>
      <c r="C224" s="1" t="s">
        <v>13</v>
      </c>
      <c r="D224" s="2" t="str">
        <f t="shared" si="26"/>
        <v>z2024302</v>
      </c>
      <c r="E224" s="2" t="str">
        <f>"李玲杰"</f>
        <v>李玲杰</v>
      </c>
      <c r="F224" s="2" t="str">
        <f>"女"</f>
        <v>女</v>
      </c>
      <c r="G224" s="1" t="str">
        <f t="shared" si="31"/>
        <v>本科</v>
      </c>
      <c r="H224" s="1" t="str">
        <f>"学士"</f>
        <v>学士</v>
      </c>
      <c r="I224" s="1" t="str">
        <f>"武汉工商学院"</f>
        <v>武汉工商学院</v>
      </c>
      <c r="J224" s="1" t="str">
        <f>"会计学"</f>
        <v>会计学</v>
      </c>
      <c r="K224" s="7"/>
    </row>
    <row r="225" spans="1:11" ht="36" customHeight="1">
      <c r="A225" s="7">
        <v>223</v>
      </c>
      <c r="B225" s="1" t="s">
        <v>14</v>
      </c>
      <c r="C225" s="1" t="s">
        <v>13</v>
      </c>
      <c r="D225" s="2" t="str">
        <f t="shared" si="26"/>
        <v>z2024302</v>
      </c>
      <c r="E225" s="2" t="str">
        <f>"曾浪"</f>
        <v>曾浪</v>
      </c>
      <c r="F225" s="2" t="str">
        <f>"男"</f>
        <v>男</v>
      </c>
      <c r="G225" s="1" t="str">
        <f t="shared" si="31"/>
        <v>本科</v>
      </c>
      <c r="H225" s="1" t="str">
        <f>"无"</f>
        <v>无</v>
      </c>
      <c r="I225" s="1" t="str">
        <f>"湖北民族大学"</f>
        <v>湖北民族大学</v>
      </c>
      <c r="J225" s="1" t="str">
        <f>"财务管理"</f>
        <v>财务管理</v>
      </c>
      <c r="K225" s="7"/>
    </row>
    <row r="226" spans="1:11" ht="36" customHeight="1">
      <c r="A226" s="7">
        <v>224</v>
      </c>
      <c r="B226" s="1" t="s">
        <v>14</v>
      </c>
      <c r="C226" s="1" t="s">
        <v>13</v>
      </c>
      <c r="D226" s="2" t="str">
        <f t="shared" si="26"/>
        <v>z2024302</v>
      </c>
      <c r="E226" s="2" t="str">
        <f>"丁展鹏"</f>
        <v>丁展鹏</v>
      </c>
      <c r="F226" s="2" t="str">
        <f>"男"</f>
        <v>男</v>
      </c>
      <c r="G226" s="1" t="str">
        <f>"大专"</f>
        <v>大专</v>
      </c>
      <c r="H226" s="1" t="str">
        <f>"无"</f>
        <v>无</v>
      </c>
      <c r="I226" s="1" t="str">
        <f>"重庆工商大学派斯学院"</f>
        <v>重庆工商大学派斯学院</v>
      </c>
      <c r="J226" s="1" t="str">
        <f>"会计"</f>
        <v>会计</v>
      </c>
      <c r="K226" s="7"/>
    </row>
    <row r="227" spans="1:11" ht="36" customHeight="1">
      <c r="A227" s="7">
        <v>225</v>
      </c>
      <c r="B227" s="1" t="s">
        <v>14</v>
      </c>
      <c r="C227" s="1" t="s">
        <v>13</v>
      </c>
      <c r="D227" s="2" t="str">
        <f t="shared" si="26"/>
        <v>z2024302</v>
      </c>
      <c r="E227" s="2" t="str">
        <f>"甘娜"</f>
        <v>甘娜</v>
      </c>
      <c r="F227" s="2" t="str">
        <f>"女"</f>
        <v>女</v>
      </c>
      <c r="G227" s="1" t="str">
        <f>"本科"</f>
        <v>本科</v>
      </c>
      <c r="H227" s="1" t="str">
        <f>"学士"</f>
        <v>学士</v>
      </c>
      <c r="I227" s="1" t="str">
        <f>"武汉生物工程学院"</f>
        <v>武汉生物工程学院</v>
      </c>
      <c r="J227" s="1" t="str">
        <f>"财务管理"</f>
        <v>财务管理</v>
      </c>
      <c r="K227" s="7"/>
    </row>
    <row r="228" spans="1:11" ht="36" customHeight="1">
      <c r="A228" s="7">
        <v>226</v>
      </c>
      <c r="B228" s="1" t="s">
        <v>14</v>
      </c>
      <c r="C228" s="1" t="s">
        <v>13</v>
      </c>
      <c r="D228" s="2" t="str">
        <f t="shared" si="26"/>
        <v>z2024302</v>
      </c>
      <c r="E228" s="2" t="str">
        <f>"熊碧莲"</f>
        <v>熊碧莲</v>
      </c>
      <c r="F228" s="2" t="str">
        <f>"女"</f>
        <v>女</v>
      </c>
      <c r="G228" s="1" t="str">
        <f>"大专"</f>
        <v>大专</v>
      </c>
      <c r="H228" s="1" t="str">
        <f>"无"</f>
        <v>无</v>
      </c>
      <c r="I228" s="1" t="str">
        <f>"武汉船舶职业技术学院"</f>
        <v>武汉船舶职业技术学院</v>
      </c>
      <c r="J228" s="1" t="str">
        <f>"会计"</f>
        <v>会计</v>
      </c>
      <c r="K228" s="7"/>
    </row>
    <row r="229" spans="1:11" ht="36" customHeight="1">
      <c r="A229" s="7">
        <v>227</v>
      </c>
      <c r="B229" s="1" t="s">
        <v>14</v>
      </c>
      <c r="C229" s="1" t="s">
        <v>13</v>
      </c>
      <c r="D229" s="2" t="str">
        <f t="shared" si="26"/>
        <v>z2024302</v>
      </c>
      <c r="E229" s="2" t="str">
        <f>"董倩"</f>
        <v>董倩</v>
      </c>
      <c r="F229" s="2" t="str">
        <f>"女"</f>
        <v>女</v>
      </c>
      <c r="G229" s="1" t="str">
        <f>"大专"</f>
        <v>大专</v>
      </c>
      <c r="H229" s="1" t="str">
        <f>"无"</f>
        <v>无</v>
      </c>
      <c r="I229" s="1" t="str">
        <f>"长江职业学院"</f>
        <v>长江职业学院</v>
      </c>
      <c r="J229" s="1" t="str">
        <f>"会计"</f>
        <v>会计</v>
      </c>
      <c r="K229" s="7"/>
    </row>
    <row r="230" spans="1:11" ht="36" customHeight="1">
      <c r="A230" s="7">
        <v>228</v>
      </c>
      <c r="B230" s="1" t="s">
        <v>14</v>
      </c>
      <c r="C230" s="1" t="s">
        <v>13</v>
      </c>
      <c r="D230" s="2" t="str">
        <f t="shared" si="26"/>
        <v>z2024302</v>
      </c>
      <c r="E230" s="2" t="str">
        <f>"杨祎"</f>
        <v>杨祎</v>
      </c>
      <c r="F230" s="2" t="str">
        <f>"女"</f>
        <v>女</v>
      </c>
      <c r="G230" s="1" t="str">
        <f>"本科"</f>
        <v>本科</v>
      </c>
      <c r="H230" s="1" t="str">
        <f>"学士"</f>
        <v>学士</v>
      </c>
      <c r="I230" s="1" t="str">
        <f>"湖北大学知行学院"</f>
        <v>湖北大学知行学院</v>
      </c>
      <c r="J230" s="1" t="str">
        <f>"财务管理"</f>
        <v>财务管理</v>
      </c>
      <c r="K230" s="7"/>
    </row>
    <row r="231" spans="1:11" ht="36" customHeight="1">
      <c r="A231" s="7">
        <v>229</v>
      </c>
      <c r="B231" s="1" t="s">
        <v>14</v>
      </c>
      <c r="C231" s="1" t="s">
        <v>13</v>
      </c>
      <c r="D231" s="2" t="str">
        <f t="shared" si="26"/>
        <v>z2024302</v>
      </c>
      <c r="E231" s="2" t="str">
        <f>"张静"</f>
        <v>张静</v>
      </c>
      <c r="F231" s="2" t="str">
        <f>"女"</f>
        <v>女</v>
      </c>
      <c r="G231" s="1" t="str">
        <f>"本科"</f>
        <v>本科</v>
      </c>
      <c r="H231" s="1" t="str">
        <f>"学士"</f>
        <v>学士</v>
      </c>
      <c r="I231" s="1" t="str">
        <f>"湖北民族大学科技学院"</f>
        <v>湖北民族大学科技学院</v>
      </c>
      <c r="J231" s="1" t="str">
        <f>"会计学"</f>
        <v>会计学</v>
      </c>
      <c r="K231" s="7"/>
    </row>
    <row r="232" spans="1:11" ht="36" customHeight="1">
      <c r="A232" s="7">
        <v>230</v>
      </c>
      <c r="B232" s="1" t="s">
        <v>14</v>
      </c>
      <c r="C232" s="1" t="s">
        <v>13</v>
      </c>
      <c r="D232" s="2" t="str">
        <f t="shared" si="26"/>
        <v>z2024302</v>
      </c>
      <c r="E232" s="2" t="str">
        <f>"熊亚菲"</f>
        <v>熊亚菲</v>
      </c>
      <c r="F232" s="2" t="str">
        <f>"男"</f>
        <v>男</v>
      </c>
      <c r="G232" s="1" t="str">
        <f>"本科"</f>
        <v>本科</v>
      </c>
      <c r="H232" s="1" t="str">
        <f>"学士"</f>
        <v>学士</v>
      </c>
      <c r="I232" s="1" t="str">
        <f>"湖北工程学院新技术学院"</f>
        <v>湖北工程学院新技术学院</v>
      </c>
      <c r="J232" s="1" t="str">
        <f>"财务管理"</f>
        <v>财务管理</v>
      </c>
      <c r="K232" s="7"/>
    </row>
    <row r="233" spans="1:11" ht="36" customHeight="1">
      <c r="A233" s="7">
        <v>231</v>
      </c>
      <c r="B233" s="1" t="s">
        <v>14</v>
      </c>
      <c r="C233" s="1" t="s">
        <v>13</v>
      </c>
      <c r="D233" s="2" t="str">
        <f t="shared" si="26"/>
        <v>z2024302</v>
      </c>
      <c r="E233" s="2" t="str">
        <f>"周慧"</f>
        <v>周慧</v>
      </c>
      <c r="F233" s="2" t="str">
        <f t="shared" ref="F233:F241" si="32">"女"</f>
        <v>女</v>
      </c>
      <c r="G233" s="1" t="str">
        <f>"本科"</f>
        <v>本科</v>
      </c>
      <c r="H233" s="1" t="str">
        <f>"学士"</f>
        <v>学士</v>
      </c>
      <c r="I233" s="1" t="str">
        <f>"汉江师范学院"</f>
        <v>汉江师范学院</v>
      </c>
      <c r="J233" s="1" t="str">
        <f>"审计学"</f>
        <v>审计学</v>
      </c>
      <c r="K233" s="7"/>
    </row>
    <row r="234" spans="1:11" ht="36" customHeight="1">
      <c r="A234" s="7">
        <v>232</v>
      </c>
      <c r="B234" s="1" t="s">
        <v>14</v>
      </c>
      <c r="C234" s="1" t="s">
        <v>13</v>
      </c>
      <c r="D234" s="2" t="str">
        <f t="shared" si="26"/>
        <v>z2024302</v>
      </c>
      <c r="E234" s="2" t="str">
        <f>"朱晓倩"</f>
        <v>朱晓倩</v>
      </c>
      <c r="F234" s="2" t="str">
        <f t="shared" si="32"/>
        <v>女</v>
      </c>
      <c r="G234" s="1" t="str">
        <f>"大专"</f>
        <v>大专</v>
      </c>
      <c r="H234" s="1" t="str">
        <f>"无"</f>
        <v>无</v>
      </c>
      <c r="I234" s="1" t="str">
        <f>"湖北师范大学"</f>
        <v>湖北师范大学</v>
      </c>
      <c r="J234" s="1" t="str">
        <f>"会计"</f>
        <v>会计</v>
      </c>
      <c r="K234" s="7"/>
    </row>
    <row r="235" spans="1:11" ht="36" customHeight="1">
      <c r="A235" s="7">
        <v>233</v>
      </c>
      <c r="B235" s="1" t="s">
        <v>14</v>
      </c>
      <c r="C235" s="1" t="s">
        <v>13</v>
      </c>
      <c r="D235" s="2" t="str">
        <f t="shared" si="26"/>
        <v>z2024302</v>
      </c>
      <c r="E235" s="2" t="str">
        <f>"金柚均"</f>
        <v>金柚均</v>
      </c>
      <c r="F235" s="2" t="str">
        <f t="shared" si="32"/>
        <v>女</v>
      </c>
      <c r="G235" s="1" t="str">
        <f>"本科"</f>
        <v>本科</v>
      </c>
      <c r="H235" s="1" t="str">
        <f>"学士"</f>
        <v>学士</v>
      </c>
      <c r="I235" s="1" t="str">
        <f>"山东女子学院"</f>
        <v>山东女子学院</v>
      </c>
      <c r="J235" s="1" t="str">
        <f>"财务管理"</f>
        <v>财务管理</v>
      </c>
      <c r="K235" s="7"/>
    </row>
    <row r="236" spans="1:11" ht="36" customHeight="1">
      <c r="A236" s="7">
        <v>234</v>
      </c>
      <c r="B236" s="1" t="s">
        <v>14</v>
      </c>
      <c r="C236" s="1" t="s">
        <v>13</v>
      </c>
      <c r="D236" s="2" t="str">
        <f t="shared" si="26"/>
        <v>z2024302</v>
      </c>
      <c r="E236" s="2" t="str">
        <f>"付燊堰"</f>
        <v>付燊堰</v>
      </c>
      <c r="F236" s="2" t="str">
        <f t="shared" si="32"/>
        <v>女</v>
      </c>
      <c r="G236" s="1" t="str">
        <f>"本科"</f>
        <v>本科</v>
      </c>
      <c r="H236" s="1" t="str">
        <f>"学士"</f>
        <v>学士</v>
      </c>
      <c r="I236" s="1" t="str">
        <f>"湖北理工学院"</f>
        <v>湖北理工学院</v>
      </c>
      <c r="J236" s="1" t="str">
        <f>"财务管理"</f>
        <v>财务管理</v>
      </c>
      <c r="K236" s="7"/>
    </row>
    <row r="237" spans="1:11" ht="36" customHeight="1">
      <c r="A237" s="7">
        <v>235</v>
      </c>
      <c r="B237" s="1" t="s">
        <v>14</v>
      </c>
      <c r="C237" s="1" t="s">
        <v>13</v>
      </c>
      <c r="D237" s="2" t="str">
        <f t="shared" si="26"/>
        <v>z2024302</v>
      </c>
      <c r="E237" s="2" t="str">
        <f>"李建华"</f>
        <v>李建华</v>
      </c>
      <c r="F237" s="2" t="str">
        <f t="shared" si="32"/>
        <v>女</v>
      </c>
      <c r="G237" s="1" t="str">
        <f>"大专"</f>
        <v>大专</v>
      </c>
      <c r="H237" s="1" t="str">
        <f>"无"</f>
        <v>无</v>
      </c>
      <c r="I237" s="1" t="str">
        <f>"咸宁职业技术学院"</f>
        <v>咸宁职业技术学院</v>
      </c>
      <c r="J237" s="1" t="str">
        <f>"会计"</f>
        <v>会计</v>
      </c>
      <c r="K237" s="7"/>
    </row>
    <row r="238" spans="1:11" ht="36" customHeight="1">
      <c r="A238" s="7">
        <v>236</v>
      </c>
      <c r="B238" s="1" t="s">
        <v>14</v>
      </c>
      <c r="C238" s="1" t="s">
        <v>13</v>
      </c>
      <c r="D238" s="2" t="str">
        <f t="shared" si="26"/>
        <v>z2024302</v>
      </c>
      <c r="E238" s="2" t="str">
        <f>"张亚林"</f>
        <v>张亚林</v>
      </c>
      <c r="F238" s="2" t="str">
        <f t="shared" si="32"/>
        <v>女</v>
      </c>
      <c r="G238" s="1" t="str">
        <f>"大专"</f>
        <v>大专</v>
      </c>
      <c r="H238" s="1" t="str">
        <f>"无"</f>
        <v>无</v>
      </c>
      <c r="I238" s="1" t="str">
        <f>"南开大学"</f>
        <v>南开大学</v>
      </c>
      <c r="J238" s="1" t="str">
        <f>"会计"</f>
        <v>会计</v>
      </c>
      <c r="K238" s="7"/>
    </row>
    <row r="239" spans="1:11" ht="36" customHeight="1">
      <c r="A239" s="7">
        <v>237</v>
      </c>
      <c r="B239" s="1" t="s">
        <v>14</v>
      </c>
      <c r="C239" s="1" t="s">
        <v>13</v>
      </c>
      <c r="D239" s="2" t="str">
        <f t="shared" si="26"/>
        <v>z2024302</v>
      </c>
      <c r="E239" s="2" t="str">
        <f>"杨丽娜"</f>
        <v>杨丽娜</v>
      </c>
      <c r="F239" s="2" t="str">
        <f t="shared" si="32"/>
        <v>女</v>
      </c>
      <c r="G239" s="1" t="str">
        <f>"大专"</f>
        <v>大专</v>
      </c>
      <c r="H239" s="1" t="str">
        <f>"无"</f>
        <v>无</v>
      </c>
      <c r="I239" s="1" t="str">
        <f>"湖北恩施学院"</f>
        <v>湖北恩施学院</v>
      </c>
      <c r="J239" s="1" t="str">
        <f>"财务管理"</f>
        <v>财务管理</v>
      </c>
      <c r="K239" s="7"/>
    </row>
    <row r="240" spans="1:11" ht="36" customHeight="1">
      <c r="A240" s="7">
        <v>238</v>
      </c>
      <c r="B240" s="1" t="s">
        <v>14</v>
      </c>
      <c r="C240" s="1" t="s">
        <v>13</v>
      </c>
      <c r="D240" s="2" t="str">
        <f t="shared" si="26"/>
        <v>z2024302</v>
      </c>
      <c r="E240" s="2" t="str">
        <f>"向阳"</f>
        <v>向阳</v>
      </c>
      <c r="F240" s="2" t="str">
        <f t="shared" si="32"/>
        <v>女</v>
      </c>
      <c r="G240" s="1" t="str">
        <f>"大专"</f>
        <v>大专</v>
      </c>
      <c r="H240" s="1" t="str">
        <f>"无"</f>
        <v>无</v>
      </c>
      <c r="I240" s="1" t="str">
        <f>"荆州职业技术学院"</f>
        <v>荆州职业技术学院</v>
      </c>
      <c r="J240" s="1" t="str">
        <f>"会计"</f>
        <v>会计</v>
      </c>
      <c r="K240" s="7"/>
    </row>
    <row r="241" spans="1:11" ht="36" customHeight="1">
      <c r="A241" s="7">
        <v>239</v>
      </c>
      <c r="B241" s="1" t="s">
        <v>14</v>
      </c>
      <c r="C241" s="1" t="s">
        <v>13</v>
      </c>
      <c r="D241" s="2" t="str">
        <f t="shared" si="26"/>
        <v>z2024302</v>
      </c>
      <c r="E241" s="2" t="str">
        <f>"高秀军"</f>
        <v>高秀军</v>
      </c>
      <c r="F241" s="2" t="str">
        <f t="shared" si="32"/>
        <v>女</v>
      </c>
      <c r="G241" s="1" t="str">
        <f>"本科"</f>
        <v>本科</v>
      </c>
      <c r="H241" s="1" t="str">
        <f>"学士"</f>
        <v>学士</v>
      </c>
      <c r="I241" s="1" t="str">
        <f>"忻州师范学院"</f>
        <v>忻州师范学院</v>
      </c>
      <c r="J241" s="1" t="str">
        <f>"审计学"</f>
        <v>审计学</v>
      </c>
      <c r="K241" s="7"/>
    </row>
    <row r="242" spans="1:11" ht="36" customHeight="1">
      <c r="A242" s="7">
        <v>240</v>
      </c>
      <c r="B242" s="1" t="s">
        <v>14</v>
      </c>
      <c r="C242" s="1" t="s">
        <v>13</v>
      </c>
      <c r="D242" s="2" t="str">
        <f t="shared" si="26"/>
        <v>z2024302</v>
      </c>
      <c r="E242" s="2" t="str">
        <f>"张立夫"</f>
        <v>张立夫</v>
      </c>
      <c r="F242" s="2" t="str">
        <f>"男"</f>
        <v>男</v>
      </c>
      <c r="G242" s="1" t="str">
        <f>"本科"</f>
        <v>本科</v>
      </c>
      <c r="H242" s="1" t="str">
        <f>"学士"</f>
        <v>学士</v>
      </c>
      <c r="I242" s="1" t="str">
        <f>"湖北民族大学"</f>
        <v>湖北民族大学</v>
      </c>
      <c r="J242" s="1" t="str">
        <f>"会计学"</f>
        <v>会计学</v>
      </c>
      <c r="K242" s="7"/>
    </row>
    <row r="243" spans="1:11" ht="36" customHeight="1">
      <c r="A243" s="7">
        <v>241</v>
      </c>
      <c r="B243" s="1" t="s">
        <v>14</v>
      </c>
      <c r="C243" s="1" t="s">
        <v>13</v>
      </c>
      <c r="D243" s="2" t="str">
        <f t="shared" si="26"/>
        <v>z2024302</v>
      </c>
      <c r="E243" s="2" t="str">
        <f>"詹明星"</f>
        <v>詹明星</v>
      </c>
      <c r="F243" s="2" t="str">
        <f>"女"</f>
        <v>女</v>
      </c>
      <c r="G243" s="1" t="str">
        <f>"大专"</f>
        <v>大专</v>
      </c>
      <c r="H243" s="1" t="str">
        <f>"无"</f>
        <v>无</v>
      </c>
      <c r="I243" s="1" t="str">
        <f>"湖北水利水电职业技术学院"</f>
        <v>湖北水利水电职业技术学院</v>
      </c>
      <c r="J243" s="1" t="str">
        <f>"会计电算化"</f>
        <v>会计电算化</v>
      </c>
      <c r="K243" s="7"/>
    </row>
    <row r="244" spans="1:11" ht="36" customHeight="1">
      <c r="A244" s="7">
        <v>242</v>
      </c>
      <c r="B244" s="1" t="s">
        <v>14</v>
      </c>
      <c r="C244" s="1" t="s">
        <v>13</v>
      </c>
      <c r="D244" s="2" t="str">
        <f t="shared" si="26"/>
        <v>z2024302</v>
      </c>
      <c r="E244" s="2" t="str">
        <f>"汤芳"</f>
        <v>汤芳</v>
      </c>
      <c r="F244" s="2" t="str">
        <f>"女"</f>
        <v>女</v>
      </c>
      <c r="G244" s="1" t="str">
        <f>"本科"</f>
        <v>本科</v>
      </c>
      <c r="H244" s="1" t="str">
        <f>"学士"</f>
        <v>学士</v>
      </c>
      <c r="I244" s="1" t="str">
        <f>"湖北恩施学院"</f>
        <v>湖北恩施学院</v>
      </c>
      <c r="J244" s="1" t="str">
        <f>"财务管理"</f>
        <v>财务管理</v>
      </c>
      <c r="K244" s="7"/>
    </row>
    <row r="245" spans="1:11" ht="36" customHeight="1">
      <c r="A245" s="7">
        <v>243</v>
      </c>
      <c r="B245" s="1" t="s">
        <v>14</v>
      </c>
      <c r="C245" s="1" t="s">
        <v>13</v>
      </c>
      <c r="D245" s="2" t="str">
        <f t="shared" si="26"/>
        <v>z2024302</v>
      </c>
      <c r="E245" s="2" t="str">
        <f>"刘思琪"</f>
        <v>刘思琪</v>
      </c>
      <c r="F245" s="2" t="str">
        <f>"女"</f>
        <v>女</v>
      </c>
      <c r="G245" s="1" t="str">
        <f>"本科"</f>
        <v>本科</v>
      </c>
      <c r="H245" s="1" t="str">
        <f>"学士"</f>
        <v>学士</v>
      </c>
      <c r="I245" s="1" t="str">
        <f>"武汉工商学院"</f>
        <v>武汉工商学院</v>
      </c>
      <c r="J245" s="1" t="str">
        <f>"会计学"</f>
        <v>会计学</v>
      </c>
      <c r="K245" s="7"/>
    </row>
    <row r="246" spans="1:11" ht="36" customHeight="1">
      <c r="A246" s="7">
        <v>244</v>
      </c>
      <c r="B246" s="1" t="s">
        <v>14</v>
      </c>
      <c r="C246" s="1" t="s">
        <v>13</v>
      </c>
      <c r="D246" s="2" t="str">
        <f t="shared" ref="D246:D309" si="33">"z2024302"</f>
        <v>z2024302</v>
      </c>
      <c r="E246" s="2" t="str">
        <f>"姚玲"</f>
        <v>姚玲</v>
      </c>
      <c r="F246" s="2" t="str">
        <f>"女"</f>
        <v>女</v>
      </c>
      <c r="G246" s="1" t="str">
        <f>"本科"</f>
        <v>本科</v>
      </c>
      <c r="H246" s="1" t="str">
        <f>"学士"</f>
        <v>学士</v>
      </c>
      <c r="I246" s="1" t="str">
        <f>"新余学院"</f>
        <v>新余学院</v>
      </c>
      <c r="J246" s="1" t="str">
        <f>"财务管理"</f>
        <v>财务管理</v>
      </c>
      <c r="K246" s="7"/>
    </row>
    <row r="247" spans="1:11" ht="36" customHeight="1">
      <c r="A247" s="7">
        <v>245</v>
      </c>
      <c r="B247" s="1" t="s">
        <v>14</v>
      </c>
      <c r="C247" s="1" t="s">
        <v>13</v>
      </c>
      <c r="D247" s="2" t="str">
        <f t="shared" si="33"/>
        <v>z2024302</v>
      </c>
      <c r="E247" s="2" t="str">
        <f>"秦子钧"</f>
        <v>秦子钧</v>
      </c>
      <c r="F247" s="2" t="str">
        <f>"女"</f>
        <v>女</v>
      </c>
      <c r="G247" s="1" t="str">
        <f>"本科"</f>
        <v>本科</v>
      </c>
      <c r="H247" s="1" t="str">
        <f>"学士"</f>
        <v>学士</v>
      </c>
      <c r="I247" s="1" t="str">
        <f>"三峡大学科技学院"</f>
        <v>三峡大学科技学院</v>
      </c>
      <c r="J247" s="1" t="str">
        <f>"财务管理"</f>
        <v>财务管理</v>
      </c>
      <c r="K247" s="7"/>
    </row>
    <row r="248" spans="1:11" ht="36" customHeight="1">
      <c r="A248" s="7">
        <v>246</v>
      </c>
      <c r="B248" s="1" t="s">
        <v>14</v>
      </c>
      <c r="C248" s="1" t="s">
        <v>13</v>
      </c>
      <c r="D248" s="2" t="str">
        <f t="shared" si="33"/>
        <v>z2024302</v>
      </c>
      <c r="E248" s="2" t="str">
        <f>"黄家勋"</f>
        <v>黄家勋</v>
      </c>
      <c r="F248" s="2" t="str">
        <f>"男"</f>
        <v>男</v>
      </c>
      <c r="G248" s="1" t="str">
        <f>"本科"</f>
        <v>本科</v>
      </c>
      <c r="H248" s="1" t="str">
        <f>"学士"</f>
        <v>学士</v>
      </c>
      <c r="I248" s="1" t="str">
        <f>"南京大学金陵学院"</f>
        <v>南京大学金陵学院</v>
      </c>
      <c r="J248" s="1" t="str">
        <f>"会计学"</f>
        <v>会计学</v>
      </c>
      <c r="K248" s="7"/>
    </row>
    <row r="249" spans="1:11" ht="36" customHeight="1">
      <c r="A249" s="7">
        <v>247</v>
      </c>
      <c r="B249" s="1" t="s">
        <v>14</v>
      </c>
      <c r="C249" s="1" t="s">
        <v>13</v>
      </c>
      <c r="D249" s="2" t="str">
        <f t="shared" si="33"/>
        <v>z2024302</v>
      </c>
      <c r="E249" s="2" t="str">
        <f>"田东"</f>
        <v>田东</v>
      </c>
      <c r="F249" s="2" t="str">
        <f>"女"</f>
        <v>女</v>
      </c>
      <c r="G249" s="1" t="str">
        <f>"大专"</f>
        <v>大专</v>
      </c>
      <c r="H249" s="1" t="str">
        <f>"无"</f>
        <v>无</v>
      </c>
      <c r="I249" s="1" t="str">
        <f>"湖北生物科技职业学院"</f>
        <v>湖北生物科技职业学院</v>
      </c>
      <c r="J249" s="1" t="str">
        <f>"会计"</f>
        <v>会计</v>
      </c>
      <c r="K249" s="7"/>
    </row>
    <row r="250" spans="1:11" ht="36" customHeight="1">
      <c r="A250" s="7">
        <v>248</v>
      </c>
      <c r="B250" s="1" t="s">
        <v>14</v>
      </c>
      <c r="C250" s="1" t="s">
        <v>13</v>
      </c>
      <c r="D250" s="2" t="str">
        <f t="shared" si="33"/>
        <v>z2024302</v>
      </c>
      <c r="E250" s="2" t="str">
        <f>"涂敏"</f>
        <v>涂敏</v>
      </c>
      <c r="F250" s="2" t="str">
        <f>"女"</f>
        <v>女</v>
      </c>
      <c r="G250" s="1" t="str">
        <f>"本科"</f>
        <v>本科</v>
      </c>
      <c r="H250" s="1" t="str">
        <f>"学士"</f>
        <v>学士</v>
      </c>
      <c r="I250" s="1" t="str">
        <f>"长江师范学院"</f>
        <v>长江师范学院</v>
      </c>
      <c r="J250" s="1" t="str">
        <f>"财务管理"</f>
        <v>财务管理</v>
      </c>
      <c r="K250" s="7"/>
    </row>
    <row r="251" spans="1:11" ht="36" customHeight="1">
      <c r="A251" s="7">
        <v>249</v>
      </c>
      <c r="B251" s="1" t="s">
        <v>14</v>
      </c>
      <c r="C251" s="1" t="s">
        <v>13</v>
      </c>
      <c r="D251" s="2" t="str">
        <f t="shared" si="33"/>
        <v>z2024302</v>
      </c>
      <c r="E251" s="2" t="str">
        <f>"胡娟"</f>
        <v>胡娟</v>
      </c>
      <c r="F251" s="2" t="str">
        <f>"女"</f>
        <v>女</v>
      </c>
      <c r="G251" s="1" t="str">
        <f>"大专"</f>
        <v>大专</v>
      </c>
      <c r="H251" s="1" t="str">
        <f>"无"</f>
        <v>无</v>
      </c>
      <c r="I251" s="1" t="str">
        <f>"恩施职业技术学院"</f>
        <v>恩施职业技术学院</v>
      </c>
      <c r="J251" s="1" t="str">
        <f>"大数据与会计"</f>
        <v>大数据与会计</v>
      </c>
      <c r="K251" s="7"/>
    </row>
    <row r="252" spans="1:11" ht="36" customHeight="1">
      <c r="A252" s="7">
        <v>250</v>
      </c>
      <c r="B252" s="1" t="s">
        <v>14</v>
      </c>
      <c r="C252" s="1" t="s">
        <v>13</v>
      </c>
      <c r="D252" s="2" t="str">
        <f t="shared" si="33"/>
        <v>z2024302</v>
      </c>
      <c r="E252" s="2" t="str">
        <f>"刘应"</f>
        <v>刘应</v>
      </c>
      <c r="F252" s="2" t="str">
        <f>"女"</f>
        <v>女</v>
      </c>
      <c r="G252" s="1" t="str">
        <f>"本科"</f>
        <v>本科</v>
      </c>
      <c r="H252" s="1" t="str">
        <f>"学士"</f>
        <v>学士</v>
      </c>
      <c r="I252" s="1" t="str">
        <f>"湖北民族大学科技学院"</f>
        <v>湖北民族大学科技学院</v>
      </c>
      <c r="J252" s="1" t="str">
        <f>"财务管理"</f>
        <v>财务管理</v>
      </c>
      <c r="K252" s="7"/>
    </row>
    <row r="253" spans="1:11" ht="36" customHeight="1">
      <c r="A253" s="7">
        <v>251</v>
      </c>
      <c r="B253" s="1" t="s">
        <v>14</v>
      </c>
      <c r="C253" s="1" t="s">
        <v>13</v>
      </c>
      <c r="D253" s="2" t="str">
        <f t="shared" si="33"/>
        <v>z2024302</v>
      </c>
      <c r="E253" s="2" t="str">
        <f>"颜欢"</f>
        <v>颜欢</v>
      </c>
      <c r="F253" s="2" t="str">
        <f>"女"</f>
        <v>女</v>
      </c>
      <c r="G253" s="1" t="str">
        <f>"大专"</f>
        <v>大专</v>
      </c>
      <c r="H253" s="1" t="str">
        <f>"无"</f>
        <v>无</v>
      </c>
      <c r="I253" s="1" t="str">
        <f>"重庆财经职业学院"</f>
        <v>重庆财经职业学院</v>
      </c>
      <c r="J253" s="1" t="str">
        <f>"会计"</f>
        <v>会计</v>
      </c>
      <c r="K253" s="7"/>
    </row>
    <row r="254" spans="1:11" ht="36" customHeight="1">
      <c r="A254" s="7">
        <v>252</v>
      </c>
      <c r="B254" s="1" t="s">
        <v>14</v>
      </c>
      <c r="C254" s="1" t="s">
        <v>13</v>
      </c>
      <c r="D254" s="2" t="str">
        <f t="shared" si="33"/>
        <v>z2024302</v>
      </c>
      <c r="E254" s="2" t="str">
        <f>"钱国麟"</f>
        <v>钱国麟</v>
      </c>
      <c r="F254" s="2" t="str">
        <f>"男"</f>
        <v>男</v>
      </c>
      <c r="G254" s="1" t="str">
        <f>"本科"</f>
        <v>本科</v>
      </c>
      <c r="H254" s="1" t="str">
        <f>"学士"</f>
        <v>学士</v>
      </c>
      <c r="I254" s="1" t="str">
        <f>"湖北民族大学科技学院"</f>
        <v>湖北民族大学科技学院</v>
      </c>
      <c r="J254" s="1" t="str">
        <f>"财务管理"</f>
        <v>财务管理</v>
      </c>
      <c r="K254" s="7"/>
    </row>
    <row r="255" spans="1:11" ht="36" customHeight="1">
      <c r="A255" s="7">
        <v>253</v>
      </c>
      <c r="B255" s="1" t="s">
        <v>14</v>
      </c>
      <c r="C255" s="1" t="s">
        <v>13</v>
      </c>
      <c r="D255" s="2" t="str">
        <f t="shared" si="33"/>
        <v>z2024302</v>
      </c>
      <c r="E255" s="2" t="str">
        <f>"向延"</f>
        <v>向延</v>
      </c>
      <c r="F255" s="2" t="str">
        <f>"男"</f>
        <v>男</v>
      </c>
      <c r="G255" s="1" t="str">
        <f>"大专"</f>
        <v>大专</v>
      </c>
      <c r="H255" s="1" t="str">
        <f>"无"</f>
        <v>无</v>
      </c>
      <c r="I255" s="1" t="str">
        <f>"武汉信息传播职业技术学院"</f>
        <v>武汉信息传播职业技术学院</v>
      </c>
      <c r="J255" s="1" t="str">
        <f>"会计"</f>
        <v>会计</v>
      </c>
      <c r="K255" s="7"/>
    </row>
    <row r="256" spans="1:11" ht="36" customHeight="1">
      <c r="A256" s="7">
        <v>254</v>
      </c>
      <c r="B256" s="1" t="s">
        <v>14</v>
      </c>
      <c r="C256" s="1" t="s">
        <v>13</v>
      </c>
      <c r="D256" s="2" t="str">
        <f t="shared" si="33"/>
        <v>z2024302</v>
      </c>
      <c r="E256" s="2" t="str">
        <f>"张聘烯"</f>
        <v>张聘烯</v>
      </c>
      <c r="F256" s="2" t="str">
        <f>"女"</f>
        <v>女</v>
      </c>
      <c r="G256" s="1" t="str">
        <f>"本科"</f>
        <v>本科</v>
      </c>
      <c r="H256" s="1" t="str">
        <f>"学士"</f>
        <v>学士</v>
      </c>
      <c r="I256" s="1" t="str">
        <f>"湖北民族大学"</f>
        <v>湖北民族大学</v>
      </c>
      <c r="J256" s="1" t="str">
        <f>"财务管理"</f>
        <v>财务管理</v>
      </c>
      <c r="K256" s="7"/>
    </row>
    <row r="257" spans="1:11" ht="36" customHeight="1">
      <c r="A257" s="7">
        <v>255</v>
      </c>
      <c r="B257" s="1" t="s">
        <v>14</v>
      </c>
      <c r="C257" s="1" t="s">
        <v>13</v>
      </c>
      <c r="D257" s="2" t="str">
        <f t="shared" si="33"/>
        <v>z2024302</v>
      </c>
      <c r="E257" s="2" t="str">
        <f>"黄雨欣"</f>
        <v>黄雨欣</v>
      </c>
      <c r="F257" s="2" t="str">
        <f>"女"</f>
        <v>女</v>
      </c>
      <c r="G257" s="1" t="str">
        <f>"本科"</f>
        <v>本科</v>
      </c>
      <c r="H257" s="1" t="str">
        <f>"学士"</f>
        <v>学士</v>
      </c>
      <c r="I257" s="1" t="str">
        <f>"武汉晴川学院"</f>
        <v>武汉晴川学院</v>
      </c>
      <c r="J257" s="1" t="str">
        <f>"财务管理"</f>
        <v>财务管理</v>
      </c>
      <c r="K257" s="7"/>
    </row>
    <row r="258" spans="1:11" ht="36" customHeight="1">
      <c r="A258" s="7">
        <v>256</v>
      </c>
      <c r="B258" s="1" t="s">
        <v>14</v>
      </c>
      <c r="C258" s="1" t="s">
        <v>13</v>
      </c>
      <c r="D258" s="2" t="str">
        <f t="shared" si="33"/>
        <v>z2024302</v>
      </c>
      <c r="E258" s="2" t="str">
        <f>"董继宏"</f>
        <v>董继宏</v>
      </c>
      <c r="F258" s="2" t="str">
        <f>"女"</f>
        <v>女</v>
      </c>
      <c r="G258" s="1" t="str">
        <f>"大专"</f>
        <v>大专</v>
      </c>
      <c r="H258" s="1" t="str">
        <f>"无"</f>
        <v>无</v>
      </c>
      <c r="I258" s="1" t="str">
        <f>"湖北工业职业技术学院"</f>
        <v>湖北工业职业技术学院</v>
      </c>
      <c r="J258" s="1" t="str">
        <f>"财务管理"</f>
        <v>财务管理</v>
      </c>
      <c r="K258" s="7"/>
    </row>
    <row r="259" spans="1:11" ht="36" customHeight="1">
      <c r="A259" s="7">
        <v>257</v>
      </c>
      <c r="B259" s="1" t="s">
        <v>14</v>
      </c>
      <c r="C259" s="1" t="s">
        <v>13</v>
      </c>
      <c r="D259" s="2" t="str">
        <f t="shared" si="33"/>
        <v>z2024302</v>
      </c>
      <c r="E259" s="2" t="str">
        <f>"郑荣"</f>
        <v>郑荣</v>
      </c>
      <c r="F259" s="2" t="str">
        <f>"女"</f>
        <v>女</v>
      </c>
      <c r="G259" s="1" t="str">
        <f>"本科"</f>
        <v>本科</v>
      </c>
      <c r="H259" s="1" t="str">
        <f>"学士"</f>
        <v>学士</v>
      </c>
      <c r="I259" s="1" t="str">
        <f>"武汉工商学院"</f>
        <v>武汉工商学院</v>
      </c>
      <c r="J259" s="1" t="str">
        <f>"会计学"</f>
        <v>会计学</v>
      </c>
      <c r="K259" s="7"/>
    </row>
    <row r="260" spans="1:11" ht="36" customHeight="1">
      <c r="A260" s="7">
        <v>258</v>
      </c>
      <c r="B260" s="1" t="s">
        <v>14</v>
      </c>
      <c r="C260" s="1" t="s">
        <v>13</v>
      </c>
      <c r="D260" s="2" t="str">
        <f t="shared" si="33"/>
        <v>z2024302</v>
      </c>
      <c r="E260" s="2" t="str">
        <f>"黄一东"</f>
        <v>黄一东</v>
      </c>
      <c r="F260" s="2" t="str">
        <f>"男"</f>
        <v>男</v>
      </c>
      <c r="G260" s="1" t="str">
        <f>"本科"</f>
        <v>本科</v>
      </c>
      <c r="H260" s="1" t="str">
        <f>"学士"</f>
        <v>学士</v>
      </c>
      <c r="I260" s="1" t="str">
        <f>"湖北民族大学"</f>
        <v>湖北民族大学</v>
      </c>
      <c r="J260" s="1" t="str">
        <f>"会计学"</f>
        <v>会计学</v>
      </c>
      <c r="K260" s="7"/>
    </row>
    <row r="261" spans="1:11" ht="36" customHeight="1">
      <c r="A261" s="7">
        <v>259</v>
      </c>
      <c r="B261" s="1" t="s">
        <v>14</v>
      </c>
      <c r="C261" s="1" t="s">
        <v>13</v>
      </c>
      <c r="D261" s="2" t="str">
        <f t="shared" si="33"/>
        <v>z2024302</v>
      </c>
      <c r="E261" s="2" t="str">
        <f>"廖寒"</f>
        <v>廖寒</v>
      </c>
      <c r="F261" s="2" t="str">
        <f>"男"</f>
        <v>男</v>
      </c>
      <c r="G261" s="1" t="str">
        <f>"本科"</f>
        <v>本科</v>
      </c>
      <c r="H261" s="1" t="str">
        <f>"学士"</f>
        <v>学士</v>
      </c>
      <c r="I261" s="1" t="str">
        <f>"湖北民族大学科技学院"</f>
        <v>湖北民族大学科技学院</v>
      </c>
      <c r="J261" s="1" t="str">
        <f>"会计学"</f>
        <v>会计学</v>
      </c>
      <c r="K261" s="7"/>
    </row>
    <row r="262" spans="1:11" ht="36" customHeight="1">
      <c r="A262" s="7">
        <v>260</v>
      </c>
      <c r="B262" s="1" t="s">
        <v>14</v>
      </c>
      <c r="C262" s="1" t="s">
        <v>13</v>
      </c>
      <c r="D262" s="2" t="str">
        <f t="shared" si="33"/>
        <v>z2024302</v>
      </c>
      <c r="E262" s="2" t="str">
        <f>"雷晓庆"</f>
        <v>雷晓庆</v>
      </c>
      <c r="F262" s="2" t="str">
        <f>"女"</f>
        <v>女</v>
      </c>
      <c r="G262" s="1" t="str">
        <f>"大专"</f>
        <v>大专</v>
      </c>
      <c r="H262" s="1" t="str">
        <f>"无"</f>
        <v>无</v>
      </c>
      <c r="I262" s="1" t="str">
        <f>"湖北职业技术学院"</f>
        <v>湖北职业技术学院</v>
      </c>
      <c r="J262" s="1" t="str">
        <f>"会计"</f>
        <v>会计</v>
      </c>
      <c r="K262" s="7"/>
    </row>
    <row r="263" spans="1:11" ht="36" customHeight="1">
      <c r="A263" s="7">
        <v>261</v>
      </c>
      <c r="B263" s="1" t="s">
        <v>14</v>
      </c>
      <c r="C263" s="1" t="s">
        <v>13</v>
      </c>
      <c r="D263" s="2" t="str">
        <f t="shared" si="33"/>
        <v>z2024302</v>
      </c>
      <c r="E263" s="2" t="str">
        <f>"郭瑶"</f>
        <v>郭瑶</v>
      </c>
      <c r="F263" s="2" t="str">
        <f>"女"</f>
        <v>女</v>
      </c>
      <c r="G263" s="1" t="str">
        <f>"本科"</f>
        <v>本科</v>
      </c>
      <c r="H263" s="1" t="str">
        <f>"学士"</f>
        <v>学士</v>
      </c>
      <c r="I263" s="1" t="str">
        <f>"湖北民族学院科技学院"</f>
        <v>湖北民族学院科技学院</v>
      </c>
      <c r="J263" s="1" t="str">
        <f>"财务管理"</f>
        <v>财务管理</v>
      </c>
      <c r="K263" s="7"/>
    </row>
    <row r="264" spans="1:11" ht="36" customHeight="1">
      <c r="A264" s="7">
        <v>262</v>
      </c>
      <c r="B264" s="1" t="s">
        <v>14</v>
      </c>
      <c r="C264" s="1" t="s">
        <v>13</v>
      </c>
      <c r="D264" s="2" t="str">
        <f t="shared" si="33"/>
        <v>z2024302</v>
      </c>
      <c r="E264" s="2" t="str">
        <f>"李席"</f>
        <v>李席</v>
      </c>
      <c r="F264" s="2" t="str">
        <f>"女"</f>
        <v>女</v>
      </c>
      <c r="G264" s="1" t="str">
        <f>"大专"</f>
        <v>大专</v>
      </c>
      <c r="H264" s="1" t="str">
        <f>"无"</f>
        <v>无</v>
      </c>
      <c r="I264" s="1" t="str">
        <f>"咸宁职业技术学院"</f>
        <v>咸宁职业技术学院</v>
      </c>
      <c r="J264" s="1" t="str">
        <f>"会计"</f>
        <v>会计</v>
      </c>
      <c r="K264" s="7"/>
    </row>
    <row r="265" spans="1:11" ht="36" customHeight="1">
      <c r="A265" s="7">
        <v>263</v>
      </c>
      <c r="B265" s="1" t="s">
        <v>14</v>
      </c>
      <c r="C265" s="1" t="s">
        <v>13</v>
      </c>
      <c r="D265" s="2" t="str">
        <f t="shared" si="33"/>
        <v>z2024302</v>
      </c>
      <c r="E265" s="2" t="str">
        <f>"周婷婷"</f>
        <v>周婷婷</v>
      </c>
      <c r="F265" s="2" t="str">
        <f>"女"</f>
        <v>女</v>
      </c>
      <c r="G265" s="1" t="str">
        <f>"大专"</f>
        <v>大专</v>
      </c>
      <c r="H265" s="1" t="str">
        <f>"无"</f>
        <v>无</v>
      </c>
      <c r="I265" s="1" t="str">
        <f>"湖北三峡职业技术学院"</f>
        <v>湖北三峡职业技术学院</v>
      </c>
      <c r="J265" s="1" t="str">
        <f>"会计"</f>
        <v>会计</v>
      </c>
      <c r="K265" s="7"/>
    </row>
    <row r="266" spans="1:11" ht="36" customHeight="1">
      <c r="A266" s="7">
        <v>264</v>
      </c>
      <c r="B266" s="1" t="s">
        <v>14</v>
      </c>
      <c r="C266" s="1" t="s">
        <v>13</v>
      </c>
      <c r="D266" s="2" t="str">
        <f t="shared" si="33"/>
        <v>z2024302</v>
      </c>
      <c r="E266" s="2" t="str">
        <f>"胡艳敏"</f>
        <v>胡艳敏</v>
      </c>
      <c r="F266" s="2" t="str">
        <f>"女"</f>
        <v>女</v>
      </c>
      <c r="G266" s="1" t="str">
        <f>"本科"</f>
        <v>本科</v>
      </c>
      <c r="H266" s="1" t="str">
        <f>"学士"</f>
        <v>学士</v>
      </c>
      <c r="I266" s="1" t="str">
        <f>"山西财经大学"</f>
        <v>山西财经大学</v>
      </c>
      <c r="J266" s="1" t="str">
        <f>"审计学"</f>
        <v>审计学</v>
      </c>
      <c r="K266" s="7"/>
    </row>
    <row r="267" spans="1:11" ht="36" customHeight="1">
      <c r="A267" s="7">
        <v>265</v>
      </c>
      <c r="B267" s="1" t="s">
        <v>14</v>
      </c>
      <c r="C267" s="1" t="s">
        <v>13</v>
      </c>
      <c r="D267" s="2" t="str">
        <f t="shared" si="33"/>
        <v>z2024302</v>
      </c>
      <c r="E267" s="2" t="str">
        <f>"周卓然"</f>
        <v>周卓然</v>
      </c>
      <c r="F267" s="2" t="str">
        <f>"男"</f>
        <v>男</v>
      </c>
      <c r="G267" s="1" t="str">
        <f>"本科"</f>
        <v>本科</v>
      </c>
      <c r="H267" s="1" t="str">
        <f>"学士"</f>
        <v>学士</v>
      </c>
      <c r="I267" s="1" t="str">
        <f>"湖北文理学院"</f>
        <v>湖北文理学院</v>
      </c>
      <c r="J267" s="1" t="str">
        <f>"财务管理"</f>
        <v>财务管理</v>
      </c>
      <c r="K267" s="7"/>
    </row>
    <row r="268" spans="1:11" ht="36" customHeight="1">
      <c r="A268" s="7">
        <v>266</v>
      </c>
      <c r="B268" s="1" t="s">
        <v>14</v>
      </c>
      <c r="C268" s="1" t="s">
        <v>13</v>
      </c>
      <c r="D268" s="2" t="str">
        <f t="shared" si="33"/>
        <v>z2024302</v>
      </c>
      <c r="E268" s="2" t="str">
        <f>"张和伟"</f>
        <v>张和伟</v>
      </c>
      <c r="F268" s="2" t="str">
        <f>"女"</f>
        <v>女</v>
      </c>
      <c r="G268" s="1" t="str">
        <f>"本科"</f>
        <v>本科</v>
      </c>
      <c r="H268" s="1" t="str">
        <f>"无"</f>
        <v>无</v>
      </c>
      <c r="I268" s="1" t="str">
        <f>"湖北民族大学"</f>
        <v>湖北民族大学</v>
      </c>
      <c r="J268" s="1" t="str">
        <f>"财务管理"</f>
        <v>财务管理</v>
      </c>
      <c r="K268" s="7"/>
    </row>
    <row r="269" spans="1:11" ht="36" customHeight="1">
      <c r="A269" s="7">
        <v>267</v>
      </c>
      <c r="B269" s="1" t="s">
        <v>14</v>
      </c>
      <c r="C269" s="1" t="s">
        <v>13</v>
      </c>
      <c r="D269" s="2" t="str">
        <f t="shared" si="33"/>
        <v>z2024302</v>
      </c>
      <c r="E269" s="2" t="str">
        <f>"杨正贤"</f>
        <v>杨正贤</v>
      </c>
      <c r="F269" s="2" t="str">
        <f>"男"</f>
        <v>男</v>
      </c>
      <c r="G269" s="1" t="str">
        <f>"本科"</f>
        <v>本科</v>
      </c>
      <c r="H269" s="1" t="str">
        <f>"学士"</f>
        <v>学士</v>
      </c>
      <c r="I269" s="1" t="str">
        <f>"湖北恩施学院"</f>
        <v>湖北恩施学院</v>
      </c>
      <c r="J269" s="1" t="str">
        <f>"财务管理"</f>
        <v>财务管理</v>
      </c>
      <c r="K269" s="7"/>
    </row>
    <row r="270" spans="1:11" ht="36" customHeight="1">
      <c r="A270" s="7">
        <v>268</v>
      </c>
      <c r="B270" s="1" t="s">
        <v>14</v>
      </c>
      <c r="C270" s="1" t="s">
        <v>13</v>
      </c>
      <c r="D270" s="2" t="str">
        <f t="shared" si="33"/>
        <v>z2024302</v>
      </c>
      <c r="E270" s="2" t="str">
        <f>"周盼"</f>
        <v>周盼</v>
      </c>
      <c r="F270" s="2" t="str">
        <f>"女"</f>
        <v>女</v>
      </c>
      <c r="G270" s="1" t="str">
        <f>"大专"</f>
        <v>大专</v>
      </c>
      <c r="H270" s="1" t="str">
        <f>"无"</f>
        <v>无</v>
      </c>
      <c r="I270" s="1" t="str">
        <f>"汉江师范学院"</f>
        <v>汉江师范学院</v>
      </c>
      <c r="J270" s="1" t="str">
        <f>"会计"</f>
        <v>会计</v>
      </c>
      <c r="K270" s="7"/>
    </row>
    <row r="271" spans="1:11" ht="36" customHeight="1">
      <c r="A271" s="7">
        <v>269</v>
      </c>
      <c r="B271" s="1" t="s">
        <v>14</v>
      </c>
      <c r="C271" s="1" t="s">
        <v>13</v>
      </c>
      <c r="D271" s="2" t="str">
        <f t="shared" si="33"/>
        <v>z2024302</v>
      </c>
      <c r="E271" s="2" t="str">
        <f>"冉立"</f>
        <v>冉立</v>
      </c>
      <c r="F271" s="2" t="str">
        <f>"男"</f>
        <v>男</v>
      </c>
      <c r="G271" s="1" t="str">
        <f>"本科"</f>
        <v>本科</v>
      </c>
      <c r="H271" s="1" t="str">
        <f>"无"</f>
        <v>无</v>
      </c>
      <c r="I271" s="1" t="str">
        <f>"江西师范大学"</f>
        <v>江西师范大学</v>
      </c>
      <c r="J271" s="1" t="str">
        <f>"会计"</f>
        <v>会计</v>
      </c>
      <c r="K271" s="7"/>
    </row>
    <row r="272" spans="1:11" ht="36" customHeight="1">
      <c r="A272" s="7">
        <v>270</v>
      </c>
      <c r="B272" s="1" t="s">
        <v>14</v>
      </c>
      <c r="C272" s="1" t="s">
        <v>13</v>
      </c>
      <c r="D272" s="2" t="str">
        <f t="shared" si="33"/>
        <v>z2024302</v>
      </c>
      <c r="E272" s="2" t="str">
        <f>"陈慧娟"</f>
        <v>陈慧娟</v>
      </c>
      <c r="F272" s="2" t="str">
        <f>"女"</f>
        <v>女</v>
      </c>
      <c r="G272" s="1" t="str">
        <f>"本科"</f>
        <v>本科</v>
      </c>
      <c r="H272" s="1" t="str">
        <f>"无"</f>
        <v>无</v>
      </c>
      <c r="I272" s="1" t="str">
        <f>"湖北民族大学"</f>
        <v>湖北民族大学</v>
      </c>
      <c r="J272" s="1" t="str">
        <f>"财务管理"</f>
        <v>财务管理</v>
      </c>
      <c r="K272" s="7"/>
    </row>
    <row r="273" spans="1:11" ht="36" customHeight="1">
      <c r="A273" s="7">
        <v>271</v>
      </c>
      <c r="B273" s="1" t="s">
        <v>14</v>
      </c>
      <c r="C273" s="1" t="s">
        <v>13</v>
      </c>
      <c r="D273" s="2" t="str">
        <f t="shared" si="33"/>
        <v>z2024302</v>
      </c>
      <c r="E273" s="2" t="str">
        <f>"胡淼"</f>
        <v>胡淼</v>
      </c>
      <c r="F273" s="2" t="str">
        <f>"男"</f>
        <v>男</v>
      </c>
      <c r="G273" s="1" t="str">
        <f>"大专"</f>
        <v>大专</v>
      </c>
      <c r="H273" s="1" t="str">
        <f>"无"</f>
        <v>无</v>
      </c>
      <c r="I273" s="1" t="str">
        <f>"长江职业学院"</f>
        <v>长江职业学院</v>
      </c>
      <c r="J273" s="1" t="str">
        <f>"会计"</f>
        <v>会计</v>
      </c>
      <c r="K273" s="7"/>
    </row>
    <row r="274" spans="1:11" ht="36" customHeight="1">
      <c r="A274" s="7">
        <v>272</v>
      </c>
      <c r="B274" s="1" t="s">
        <v>14</v>
      </c>
      <c r="C274" s="1" t="s">
        <v>13</v>
      </c>
      <c r="D274" s="2" t="str">
        <f t="shared" si="33"/>
        <v>z2024302</v>
      </c>
      <c r="E274" s="2" t="str">
        <f>"汪珊"</f>
        <v>汪珊</v>
      </c>
      <c r="F274" s="2" t="str">
        <f>"女"</f>
        <v>女</v>
      </c>
      <c r="G274" s="1" t="str">
        <f>"本科"</f>
        <v>本科</v>
      </c>
      <c r="H274" s="1" t="str">
        <f>"无"</f>
        <v>无</v>
      </c>
      <c r="I274" s="1" t="str">
        <f>"湖北工业大学"</f>
        <v>湖北工业大学</v>
      </c>
      <c r="J274" s="1" t="str">
        <f>"会计学"</f>
        <v>会计学</v>
      </c>
      <c r="K274" s="7"/>
    </row>
    <row r="275" spans="1:11" ht="36" customHeight="1">
      <c r="A275" s="7">
        <v>273</v>
      </c>
      <c r="B275" s="1" t="s">
        <v>14</v>
      </c>
      <c r="C275" s="1" t="s">
        <v>13</v>
      </c>
      <c r="D275" s="2" t="str">
        <f t="shared" si="33"/>
        <v>z2024302</v>
      </c>
      <c r="E275" s="2" t="str">
        <f>"吴牮良"</f>
        <v>吴牮良</v>
      </c>
      <c r="F275" s="2" t="str">
        <f>"男"</f>
        <v>男</v>
      </c>
      <c r="G275" s="1" t="str">
        <f>"本科"</f>
        <v>本科</v>
      </c>
      <c r="H275" s="1" t="str">
        <f>"学士"</f>
        <v>学士</v>
      </c>
      <c r="I275" s="1" t="str">
        <f>"湖北民族大学科技学院"</f>
        <v>湖北民族大学科技学院</v>
      </c>
      <c r="J275" s="1" t="str">
        <f>"财务管理"</f>
        <v>财务管理</v>
      </c>
      <c r="K275" s="7"/>
    </row>
    <row r="276" spans="1:11" ht="36" customHeight="1">
      <c r="A276" s="7">
        <v>274</v>
      </c>
      <c r="B276" s="1" t="s">
        <v>14</v>
      </c>
      <c r="C276" s="1" t="s">
        <v>13</v>
      </c>
      <c r="D276" s="2" t="str">
        <f t="shared" si="33"/>
        <v>z2024302</v>
      </c>
      <c r="E276" s="2" t="str">
        <f>"邹堃"</f>
        <v>邹堃</v>
      </c>
      <c r="F276" s="2" t="str">
        <f>"女"</f>
        <v>女</v>
      </c>
      <c r="G276" s="1" t="str">
        <f>"大专"</f>
        <v>大专</v>
      </c>
      <c r="H276" s="1" t="str">
        <f>"无"</f>
        <v>无</v>
      </c>
      <c r="I276" s="1" t="str">
        <f>"湖北科技职业学院"</f>
        <v>湖北科技职业学院</v>
      </c>
      <c r="J276" s="1" t="str">
        <f>"会计"</f>
        <v>会计</v>
      </c>
      <c r="K276" s="7"/>
    </row>
    <row r="277" spans="1:11" ht="36" customHeight="1">
      <c r="A277" s="7">
        <v>275</v>
      </c>
      <c r="B277" s="1" t="s">
        <v>14</v>
      </c>
      <c r="C277" s="1" t="s">
        <v>13</v>
      </c>
      <c r="D277" s="2" t="str">
        <f t="shared" si="33"/>
        <v>z2024302</v>
      </c>
      <c r="E277" s="2" t="str">
        <f>"杨洋"</f>
        <v>杨洋</v>
      </c>
      <c r="F277" s="2" t="str">
        <f>"女"</f>
        <v>女</v>
      </c>
      <c r="G277" s="1" t="str">
        <f>"大专"</f>
        <v>大专</v>
      </c>
      <c r="H277" s="1" t="str">
        <f>"无"</f>
        <v>无</v>
      </c>
      <c r="I277" s="1" t="str">
        <f>"恩施职业技术学院"</f>
        <v>恩施职业技术学院</v>
      </c>
      <c r="J277" s="1" t="str">
        <f>"会计"</f>
        <v>会计</v>
      </c>
      <c r="K277" s="7"/>
    </row>
    <row r="278" spans="1:11" ht="36" customHeight="1">
      <c r="A278" s="7">
        <v>276</v>
      </c>
      <c r="B278" s="1" t="s">
        <v>14</v>
      </c>
      <c r="C278" s="1" t="s">
        <v>13</v>
      </c>
      <c r="D278" s="2" t="str">
        <f t="shared" si="33"/>
        <v>z2024302</v>
      </c>
      <c r="E278" s="2" t="str">
        <f>"雷雁冰"</f>
        <v>雷雁冰</v>
      </c>
      <c r="F278" s="2" t="str">
        <f>"男"</f>
        <v>男</v>
      </c>
      <c r="G278" s="1" t="str">
        <f>"本科"</f>
        <v>本科</v>
      </c>
      <c r="H278" s="1" t="str">
        <f>"学士"</f>
        <v>学士</v>
      </c>
      <c r="I278" s="1" t="str">
        <f>"湖北经济学院"</f>
        <v>湖北经济学院</v>
      </c>
      <c r="J278" s="1" t="str">
        <f>"审计学"</f>
        <v>审计学</v>
      </c>
      <c r="K278" s="7"/>
    </row>
    <row r="279" spans="1:11" ht="36" customHeight="1">
      <c r="A279" s="7">
        <v>277</v>
      </c>
      <c r="B279" s="1" t="s">
        <v>14</v>
      </c>
      <c r="C279" s="1" t="s">
        <v>13</v>
      </c>
      <c r="D279" s="2" t="str">
        <f t="shared" si="33"/>
        <v>z2024302</v>
      </c>
      <c r="E279" s="2" t="str">
        <f>"李焕丞"</f>
        <v>李焕丞</v>
      </c>
      <c r="F279" s="2" t="str">
        <f>"男"</f>
        <v>男</v>
      </c>
      <c r="G279" s="1" t="str">
        <f>"大专"</f>
        <v>大专</v>
      </c>
      <c r="H279" s="1" t="str">
        <f>"无"</f>
        <v>无</v>
      </c>
      <c r="I279" s="1" t="str">
        <f>"恩施职业技术学院"</f>
        <v>恩施职业技术学院</v>
      </c>
      <c r="J279" s="1" t="str">
        <f>"会计"</f>
        <v>会计</v>
      </c>
      <c r="K279" s="7"/>
    </row>
    <row r="280" spans="1:11" ht="36" customHeight="1">
      <c r="A280" s="7">
        <v>278</v>
      </c>
      <c r="B280" s="1" t="s">
        <v>14</v>
      </c>
      <c r="C280" s="1" t="s">
        <v>13</v>
      </c>
      <c r="D280" s="2" t="str">
        <f t="shared" si="33"/>
        <v>z2024302</v>
      </c>
      <c r="E280" s="2" t="str">
        <f>"谭明"</f>
        <v>谭明</v>
      </c>
      <c r="F280" s="2" t="str">
        <f t="shared" ref="F280:F293" si="34">"女"</f>
        <v>女</v>
      </c>
      <c r="G280" s="1" t="str">
        <f>"大专"</f>
        <v>大专</v>
      </c>
      <c r="H280" s="1" t="str">
        <f>"无"</f>
        <v>无</v>
      </c>
      <c r="I280" s="1" t="str">
        <f>"长江职业学院"</f>
        <v>长江职业学院</v>
      </c>
      <c r="J280" s="1" t="str">
        <f>"会计"</f>
        <v>会计</v>
      </c>
      <c r="K280" s="7"/>
    </row>
    <row r="281" spans="1:11" ht="36" customHeight="1">
      <c r="A281" s="7">
        <v>279</v>
      </c>
      <c r="B281" s="1" t="s">
        <v>14</v>
      </c>
      <c r="C281" s="1" t="s">
        <v>13</v>
      </c>
      <c r="D281" s="2" t="str">
        <f t="shared" si="33"/>
        <v>z2024302</v>
      </c>
      <c r="E281" s="2" t="str">
        <f>"张莉"</f>
        <v>张莉</v>
      </c>
      <c r="F281" s="2" t="str">
        <f t="shared" si="34"/>
        <v>女</v>
      </c>
      <c r="G281" s="1" t="str">
        <f>"大专"</f>
        <v>大专</v>
      </c>
      <c r="H281" s="1" t="str">
        <f>"无"</f>
        <v>无</v>
      </c>
      <c r="I281" s="1" t="str">
        <f>"武汉生物工程学院"</f>
        <v>武汉生物工程学院</v>
      </c>
      <c r="J281" s="1" t="str">
        <f>"财务管理"</f>
        <v>财务管理</v>
      </c>
      <c r="K281" s="7"/>
    </row>
    <row r="282" spans="1:11" ht="36" customHeight="1">
      <c r="A282" s="7">
        <v>280</v>
      </c>
      <c r="B282" s="1" t="s">
        <v>14</v>
      </c>
      <c r="C282" s="1" t="s">
        <v>13</v>
      </c>
      <c r="D282" s="2" t="str">
        <f t="shared" si="33"/>
        <v>z2024302</v>
      </c>
      <c r="E282" s="2" t="str">
        <f>"周恩敬"</f>
        <v>周恩敬</v>
      </c>
      <c r="F282" s="2" t="str">
        <f t="shared" si="34"/>
        <v>女</v>
      </c>
      <c r="G282" s="1" t="str">
        <f>"大专"</f>
        <v>大专</v>
      </c>
      <c r="H282" s="1" t="str">
        <f>"无"</f>
        <v>无</v>
      </c>
      <c r="I282" s="1" t="str">
        <f>"湖北大学"</f>
        <v>湖北大学</v>
      </c>
      <c r="J282" s="1" t="str">
        <f>"会计"</f>
        <v>会计</v>
      </c>
      <c r="K282" s="7"/>
    </row>
    <row r="283" spans="1:11" ht="36" customHeight="1">
      <c r="A283" s="7">
        <v>281</v>
      </c>
      <c r="B283" s="1" t="s">
        <v>14</v>
      </c>
      <c r="C283" s="1" t="s">
        <v>13</v>
      </c>
      <c r="D283" s="2" t="str">
        <f t="shared" si="33"/>
        <v>z2024302</v>
      </c>
      <c r="E283" s="2" t="str">
        <f>"覃红"</f>
        <v>覃红</v>
      </c>
      <c r="F283" s="2" t="str">
        <f t="shared" si="34"/>
        <v>女</v>
      </c>
      <c r="G283" s="1" t="str">
        <f>"本科"</f>
        <v>本科</v>
      </c>
      <c r="H283" s="1" t="str">
        <f>"学士"</f>
        <v>学士</v>
      </c>
      <c r="I283" s="1" t="str">
        <f>"武汉科技大学城市学院"</f>
        <v>武汉科技大学城市学院</v>
      </c>
      <c r="J283" s="1" t="str">
        <f>"财务管理"</f>
        <v>财务管理</v>
      </c>
      <c r="K283" s="7"/>
    </row>
    <row r="284" spans="1:11" ht="36" customHeight="1">
      <c r="A284" s="7">
        <v>282</v>
      </c>
      <c r="B284" s="1" t="s">
        <v>14</v>
      </c>
      <c r="C284" s="1" t="s">
        <v>13</v>
      </c>
      <c r="D284" s="2" t="str">
        <f t="shared" si="33"/>
        <v>z2024302</v>
      </c>
      <c r="E284" s="2" t="str">
        <f>"李春红"</f>
        <v>李春红</v>
      </c>
      <c r="F284" s="2" t="str">
        <f t="shared" si="34"/>
        <v>女</v>
      </c>
      <c r="G284" s="1" t="str">
        <f>"大专"</f>
        <v>大专</v>
      </c>
      <c r="H284" s="1" t="str">
        <f>"无"</f>
        <v>无</v>
      </c>
      <c r="I284" s="1" t="str">
        <f>"仙桃职业学院"</f>
        <v>仙桃职业学院</v>
      </c>
      <c r="J284" s="1" t="str">
        <f>"会计"</f>
        <v>会计</v>
      </c>
      <c r="K284" s="7"/>
    </row>
    <row r="285" spans="1:11" ht="36" customHeight="1">
      <c r="A285" s="7">
        <v>283</v>
      </c>
      <c r="B285" s="1" t="s">
        <v>14</v>
      </c>
      <c r="C285" s="1" t="s">
        <v>13</v>
      </c>
      <c r="D285" s="2" t="str">
        <f t="shared" si="33"/>
        <v>z2024302</v>
      </c>
      <c r="E285" s="2" t="str">
        <f>"覃慧"</f>
        <v>覃慧</v>
      </c>
      <c r="F285" s="2" t="str">
        <f t="shared" si="34"/>
        <v>女</v>
      </c>
      <c r="G285" s="1" t="str">
        <f>"本科"</f>
        <v>本科</v>
      </c>
      <c r="H285" s="1" t="str">
        <f>"无"</f>
        <v>无</v>
      </c>
      <c r="I285" s="1" t="str">
        <f>"武汉理工大学"</f>
        <v>武汉理工大学</v>
      </c>
      <c r="J285" s="1" t="str">
        <f>"会计"</f>
        <v>会计</v>
      </c>
      <c r="K285" s="7"/>
    </row>
    <row r="286" spans="1:11" ht="36" customHeight="1">
      <c r="A286" s="7">
        <v>284</v>
      </c>
      <c r="B286" s="1" t="s">
        <v>14</v>
      </c>
      <c r="C286" s="1" t="s">
        <v>13</v>
      </c>
      <c r="D286" s="2" t="str">
        <f t="shared" si="33"/>
        <v>z2024302</v>
      </c>
      <c r="E286" s="2" t="str">
        <f>"邓洁"</f>
        <v>邓洁</v>
      </c>
      <c r="F286" s="2" t="str">
        <f t="shared" si="34"/>
        <v>女</v>
      </c>
      <c r="G286" s="1" t="str">
        <f>"本科"</f>
        <v>本科</v>
      </c>
      <c r="H286" s="1" t="str">
        <f>"无"</f>
        <v>无</v>
      </c>
      <c r="I286" s="1" t="str">
        <f>"中南财经政法大学"</f>
        <v>中南财经政法大学</v>
      </c>
      <c r="J286" s="1" t="str">
        <f>"会计"</f>
        <v>会计</v>
      </c>
      <c r="K286" s="7"/>
    </row>
    <row r="287" spans="1:11" ht="36" customHeight="1">
      <c r="A287" s="7">
        <v>285</v>
      </c>
      <c r="B287" s="1" t="s">
        <v>14</v>
      </c>
      <c r="C287" s="1" t="s">
        <v>13</v>
      </c>
      <c r="D287" s="2" t="str">
        <f t="shared" si="33"/>
        <v>z2024302</v>
      </c>
      <c r="E287" s="2" t="str">
        <f>"彭琰"</f>
        <v>彭琰</v>
      </c>
      <c r="F287" s="2" t="str">
        <f t="shared" si="34"/>
        <v>女</v>
      </c>
      <c r="G287" s="1" t="str">
        <f>"大专"</f>
        <v>大专</v>
      </c>
      <c r="H287" s="1" t="str">
        <f>"无"</f>
        <v>无</v>
      </c>
      <c r="I287" s="1" t="str">
        <f>"武汉船舶职业技术学院"</f>
        <v>武汉船舶职业技术学院</v>
      </c>
      <c r="J287" s="1" t="str">
        <f>"会计"</f>
        <v>会计</v>
      </c>
      <c r="K287" s="7"/>
    </row>
    <row r="288" spans="1:11" ht="36" customHeight="1">
      <c r="A288" s="7">
        <v>286</v>
      </c>
      <c r="B288" s="1" t="s">
        <v>14</v>
      </c>
      <c r="C288" s="1" t="s">
        <v>13</v>
      </c>
      <c r="D288" s="2" t="str">
        <f t="shared" si="33"/>
        <v>z2024302</v>
      </c>
      <c r="E288" s="2" t="str">
        <f>"覃瑶"</f>
        <v>覃瑶</v>
      </c>
      <c r="F288" s="2" t="str">
        <f t="shared" si="34"/>
        <v>女</v>
      </c>
      <c r="G288" s="1" t="str">
        <f>"大专"</f>
        <v>大专</v>
      </c>
      <c r="H288" s="1" t="str">
        <f>"无"</f>
        <v>无</v>
      </c>
      <c r="I288" s="1" t="str">
        <f>"咸宁职业技术学院"</f>
        <v>咸宁职业技术学院</v>
      </c>
      <c r="J288" s="1" t="str">
        <f>"会计"</f>
        <v>会计</v>
      </c>
      <c r="K288" s="7"/>
    </row>
    <row r="289" spans="1:11" ht="36" customHeight="1">
      <c r="A289" s="7">
        <v>287</v>
      </c>
      <c r="B289" s="1" t="s">
        <v>14</v>
      </c>
      <c r="C289" s="1" t="s">
        <v>13</v>
      </c>
      <c r="D289" s="2" t="str">
        <f t="shared" si="33"/>
        <v>z2024302</v>
      </c>
      <c r="E289" s="2" t="str">
        <f>"喻清"</f>
        <v>喻清</v>
      </c>
      <c r="F289" s="2" t="str">
        <f t="shared" si="34"/>
        <v>女</v>
      </c>
      <c r="G289" s="1" t="str">
        <f t="shared" ref="G289:G296" si="35">"本科"</f>
        <v>本科</v>
      </c>
      <c r="H289" s="1" t="str">
        <f>"学士"</f>
        <v>学士</v>
      </c>
      <c r="I289" s="1" t="str">
        <f>"湖北民族学院"</f>
        <v>湖北民族学院</v>
      </c>
      <c r="J289" s="1" t="str">
        <f>"财务管理"</f>
        <v>财务管理</v>
      </c>
      <c r="K289" s="7"/>
    </row>
    <row r="290" spans="1:11" ht="36" customHeight="1">
      <c r="A290" s="7">
        <v>288</v>
      </c>
      <c r="B290" s="1" t="s">
        <v>14</v>
      </c>
      <c r="C290" s="1" t="s">
        <v>13</v>
      </c>
      <c r="D290" s="2" t="str">
        <f t="shared" si="33"/>
        <v>z2024302</v>
      </c>
      <c r="E290" s="2" t="str">
        <f>"李淑滨"</f>
        <v>李淑滨</v>
      </c>
      <c r="F290" s="2" t="str">
        <f t="shared" si="34"/>
        <v>女</v>
      </c>
      <c r="G290" s="1" t="str">
        <f t="shared" si="35"/>
        <v>本科</v>
      </c>
      <c r="H290" s="1" t="str">
        <f>"无"</f>
        <v>无</v>
      </c>
      <c r="I290" s="1" t="str">
        <f>"中南财经政法大学"</f>
        <v>中南财经政法大学</v>
      </c>
      <c r="J290" s="1" t="str">
        <f>"会计学"</f>
        <v>会计学</v>
      </c>
      <c r="K290" s="7"/>
    </row>
    <row r="291" spans="1:11" ht="36" customHeight="1">
      <c r="A291" s="7">
        <v>289</v>
      </c>
      <c r="B291" s="1" t="s">
        <v>14</v>
      </c>
      <c r="C291" s="1" t="s">
        <v>13</v>
      </c>
      <c r="D291" s="2" t="str">
        <f t="shared" si="33"/>
        <v>z2024302</v>
      </c>
      <c r="E291" s="2" t="str">
        <f>"滕艳洪"</f>
        <v>滕艳洪</v>
      </c>
      <c r="F291" s="2" t="str">
        <f t="shared" si="34"/>
        <v>女</v>
      </c>
      <c r="G291" s="1" t="str">
        <f t="shared" si="35"/>
        <v>本科</v>
      </c>
      <c r="H291" s="1" t="str">
        <f>"博士"</f>
        <v>博士</v>
      </c>
      <c r="I291" s="1" t="str">
        <f>"湖北民族学院科技学院"</f>
        <v>湖北民族学院科技学院</v>
      </c>
      <c r="J291" s="1" t="str">
        <f>"财务管理"</f>
        <v>财务管理</v>
      </c>
      <c r="K291" s="7"/>
    </row>
    <row r="292" spans="1:11" ht="36" customHeight="1">
      <c r="A292" s="7">
        <v>290</v>
      </c>
      <c r="B292" s="1" t="s">
        <v>14</v>
      </c>
      <c r="C292" s="1" t="s">
        <v>13</v>
      </c>
      <c r="D292" s="2" t="str">
        <f t="shared" si="33"/>
        <v>z2024302</v>
      </c>
      <c r="E292" s="2" t="str">
        <f>"宋锦"</f>
        <v>宋锦</v>
      </c>
      <c r="F292" s="2" t="str">
        <f t="shared" si="34"/>
        <v>女</v>
      </c>
      <c r="G292" s="1" t="str">
        <f t="shared" si="35"/>
        <v>本科</v>
      </c>
      <c r="H292" s="1" t="str">
        <f>"无"</f>
        <v>无</v>
      </c>
      <c r="I292" s="1" t="str">
        <f>"三峡大学"</f>
        <v>三峡大学</v>
      </c>
      <c r="J292" s="1" t="str">
        <f>"财务管理"</f>
        <v>财务管理</v>
      </c>
      <c r="K292" s="7"/>
    </row>
    <row r="293" spans="1:11" ht="36" customHeight="1">
      <c r="A293" s="7">
        <v>291</v>
      </c>
      <c r="B293" s="1" t="s">
        <v>14</v>
      </c>
      <c r="C293" s="1" t="s">
        <v>13</v>
      </c>
      <c r="D293" s="2" t="str">
        <f t="shared" si="33"/>
        <v>z2024302</v>
      </c>
      <c r="E293" s="2" t="str">
        <f>"何影"</f>
        <v>何影</v>
      </c>
      <c r="F293" s="2" t="str">
        <f t="shared" si="34"/>
        <v>女</v>
      </c>
      <c r="G293" s="1" t="str">
        <f t="shared" si="35"/>
        <v>本科</v>
      </c>
      <c r="H293" s="1" t="str">
        <f>"学士"</f>
        <v>学士</v>
      </c>
      <c r="I293" s="1" t="str">
        <f>"上海立信会计金融学院"</f>
        <v>上海立信会计金融学院</v>
      </c>
      <c r="J293" s="1" t="str">
        <f>"财务管理"</f>
        <v>财务管理</v>
      </c>
      <c r="K293" s="7"/>
    </row>
    <row r="294" spans="1:11" ht="36" customHeight="1">
      <c r="A294" s="7">
        <v>292</v>
      </c>
      <c r="B294" s="1" t="s">
        <v>14</v>
      </c>
      <c r="C294" s="1" t="s">
        <v>13</v>
      </c>
      <c r="D294" s="2" t="str">
        <f t="shared" si="33"/>
        <v>z2024302</v>
      </c>
      <c r="E294" s="2" t="str">
        <f>"彭光茂"</f>
        <v>彭光茂</v>
      </c>
      <c r="F294" s="2" t="str">
        <f>"男"</f>
        <v>男</v>
      </c>
      <c r="G294" s="1" t="str">
        <f t="shared" si="35"/>
        <v>本科</v>
      </c>
      <c r="H294" s="1" t="str">
        <f>"学士"</f>
        <v>学士</v>
      </c>
      <c r="I294" s="1" t="str">
        <f>"江西财经大学现代经济管理学院"</f>
        <v>江西财经大学现代经济管理学院</v>
      </c>
      <c r="J294" s="1" t="str">
        <f>"会计学"</f>
        <v>会计学</v>
      </c>
      <c r="K294" s="7"/>
    </row>
    <row r="295" spans="1:11" ht="36" customHeight="1">
      <c r="A295" s="7">
        <v>293</v>
      </c>
      <c r="B295" s="1" t="s">
        <v>14</v>
      </c>
      <c r="C295" s="1" t="s">
        <v>13</v>
      </c>
      <c r="D295" s="2" t="str">
        <f t="shared" si="33"/>
        <v>z2024302</v>
      </c>
      <c r="E295" s="2" t="str">
        <f>"任梁菠"</f>
        <v>任梁菠</v>
      </c>
      <c r="F295" s="2" t="str">
        <f>"男"</f>
        <v>男</v>
      </c>
      <c r="G295" s="1" t="str">
        <f t="shared" si="35"/>
        <v>本科</v>
      </c>
      <c r="H295" s="1" t="str">
        <f>"学士"</f>
        <v>学士</v>
      </c>
      <c r="I295" s="1" t="str">
        <f>"湖北恩施学院"</f>
        <v>湖北恩施学院</v>
      </c>
      <c r="J295" s="1" t="str">
        <f>"财务管理"</f>
        <v>财务管理</v>
      </c>
      <c r="K295" s="7"/>
    </row>
    <row r="296" spans="1:11" ht="36" customHeight="1">
      <c r="A296" s="7">
        <v>294</v>
      </c>
      <c r="B296" s="1" t="s">
        <v>14</v>
      </c>
      <c r="C296" s="1" t="s">
        <v>13</v>
      </c>
      <c r="D296" s="2" t="str">
        <f t="shared" si="33"/>
        <v>z2024302</v>
      </c>
      <c r="E296" s="2" t="str">
        <f>"孙一鸣"</f>
        <v>孙一鸣</v>
      </c>
      <c r="F296" s="2" t="str">
        <f>"男"</f>
        <v>男</v>
      </c>
      <c r="G296" s="1" t="str">
        <f t="shared" si="35"/>
        <v>本科</v>
      </c>
      <c r="H296" s="1" t="str">
        <f>"无"</f>
        <v>无</v>
      </c>
      <c r="I296" s="1" t="str">
        <f>"中国地质大学"</f>
        <v>中国地质大学</v>
      </c>
      <c r="J296" s="1" t="str">
        <f>"会计学"</f>
        <v>会计学</v>
      </c>
      <c r="K296" s="7"/>
    </row>
    <row r="297" spans="1:11" ht="36" customHeight="1">
      <c r="A297" s="7">
        <v>295</v>
      </c>
      <c r="B297" s="1" t="s">
        <v>14</v>
      </c>
      <c r="C297" s="1" t="s">
        <v>13</v>
      </c>
      <c r="D297" s="2" t="str">
        <f t="shared" si="33"/>
        <v>z2024302</v>
      </c>
      <c r="E297" s="2" t="str">
        <f>"覃冰清"</f>
        <v>覃冰清</v>
      </c>
      <c r="F297" s="2" t="str">
        <f>"女"</f>
        <v>女</v>
      </c>
      <c r="G297" s="1" t="str">
        <f>"大专"</f>
        <v>大专</v>
      </c>
      <c r="H297" s="1" t="str">
        <f>"无"</f>
        <v>无</v>
      </c>
      <c r="I297" s="1" t="str">
        <f>"恩施职业技术学院"</f>
        <v>恩施职业技术学院</v>
      </c>
      <c r="J297" s="1" t="str">
        <f>"财务管理"</f>
        <v>财务管理</v>
      </c>
      <c r="K297" s="7"/>
    </row>
    <row r="298" spans="1:11" ht="36" customHeight="1">
      <c r="A298" s="7">
        <v>296</v>
      </c>
      <c r="B298" s="1" t="s">
        <v>14</v>
      </c>
      <c r="C298" s="1" t="s">
        <v>13</v>
      </c>
      <c r="D298" s="2" t="str">
        <f t="shared" si="33"/>
        <v>z2024302</v>
      </c>
      <c r="E298" s="2" t="str">
        <f>"王倩"</f>
        <v>王倩</v>
      </c>
      <c r="F298" s="2" t="str">
        <f>"女"</f>
        <v>女</v>
      </c>
      <c r="G298" s="1" t="str">
        <f>"硕士研究生"</f>
        <v>硕士研究生</v>
      </c>
      <c r="H298" s="1" t="str">
        <f>"硕士"</f>
        <v>硕士</v>
      </c>
      <c r="I298" s="1" t="str">
        <f>"湖北民族大学"</f>
        <v>湖北民族大学</v>
      </c>
      <c r="J298" s="1" t="str">
        <f>"会计"</f>
        <v>会计</v>
      </c>
      <c r="K298" s="7"/>
    </row>
    <row r="299" spans="1:11" ht="36" customHeight="1">
      <c r="A299" s="7">
        <v>297</v>
      </c>
      <c r="B299" s="1" t="s">
        <v>14</v>
      </c>
      <c r="C299" s="1" t="s">
        <v>13</v>
      </c>
      <c r="D299" s="2" t="str">
        <f t="shared" si="33"/>
        <v>z2024302</v>
      </c>
      <c r="E299" s="2" t="str">
        <f>"雷温馨"</f>
        <v>雷温馨</v>
      </c>
      <c r="F299" s="2" t="str">
        <f>"女"</f>
        <v>女</v>
      </c>
      <c r="G299" s="1" t="str">
        <f>"本科"</f>
        <v>本科</v>
      </c>
      <c r="H299" s="1" t="str">
        <f>"学士"</f>
        <v>学士</v>
      </c>
      <c r="I299" s="1" t="str">
        <f>"北京科技大学天津学院"</f>
        <v>北京科技大学天津学院</v>
      </c>
      <c r="J299" s="1" t="str">
        <f>"财务管理"</f>
        <v>财务管理</v>
      </c>
      <c r="K299" s="7"/>
    </row>
    <row r="300" spans="1:11" ht="36" customHeight="1">
      <c r="A300" s="7">
        <v>298</v>
      </c>
      <c r="B300" s="1" t="s">
        <v>14</v>
      </c>
      <c r="C300" s="1" t="s">
        <v>13</v>
      </c>
      <c r="D300" s="2" t="str">
        <f t="shared" si="33"/>
        <v>z2024302</v>
      </c>
      <c r="E300" s="2" t="str">
        <f>"孙立东"</f>
        <v>孙立东</v>
      </c>
      <c r="F300" s="2" t="str">
        <f>"男"</f>
        <v>男</v>
      </c>
      <c r="G300" s="1" t="str">
        <f>"本科"</f>
        <v>本科</v>
      </c>
      <c r="H300" s="1" t="str">
        <f>"学士"</f>
        <v>学士</v>
      </c>
      <c r="I300" s="1" t="str">
        <f>"烟台大学文经学院"</f>
        <v>烟台大学文经学院</v>
      </c>
      <c r="J300" s="1" t="str">
        <f>"会计学"</f>
        <v>会计学</v>
      </c>
      <c r="K300" s="7"/>
    </row>
    <row r="301" spans="1:11" ht="36" customHeight="1">
      <c r="A301" s="7">
        <v>299</v>
      </c>
      <c r="B301" s="1" t="s">
        <v>14</v>
      </c>
      <c r="C301" s="1" t="s">
        <v>13</v>
      </c>
      <c r="D301" s="2" t="str">
        <f t="shared" si="33"/>
        <v>z2024302</v>
      </c>
      <c r="E301" s="2" t="str">
        <f>"张智强"</f>
        <v>张智强</v>
      </c>
      <c r="F301" s="2" t="str">
        <f>"男"</f>
        <v>男</v>
      </c>
      <c r="G301" s="1" t="str">
        <f>"大专"</f>
        <v>大专</v>
      </c>
      <c r="H301" s="1" t="str">
        <f>"无"</f>
        <v>无</v>
      </c>
      <c r="I301" s="1" t="str">
        <f>"湖北民族学院科技学院"</f>
        <v>湖北民族学院科技学院</v>
      </c>
      <c r="J301" s="1" t="str">
        <f>"财务管理"</f>
        <v>财务管理</v>
      </c>
      <c r="K301" s="7"/>
    </row>
    <row r="302" spans="1:11" ht="36" customHeight="1">
      <c r="A302" s="7">
        <v>300</v>
      </c>
      <c r="B302" s="1" t="s">
        <v>14</v>
      </c>
      <c r="C302" s="1" t="s">
        <v>13</v>
      </c>
      <c r="D302" s="2" t="str">
        <f t="shared" si="33"/>
        <v>z2024302</v>
      </c>
      <c r="E302" s="2" t="str">
        <f>"王蓉"</f>
        <v>王蓉</v>
      </c>
      <c r="F302" s="2" t="str">
        <f>"女"</f>
        <v>女</v>
      </c>
      <c r="G302" s="1" t="str">
        <f t="shared" ref="G302:G313" si="36">"本科"</f>
        <v>本科</v>
      </c>
      <c r="H302" s="1" t="str">
        <f>"无"</f>
        <v>无</v>
      </c>
      <c r="I302" s="1" t="str">
        <f>"湖北民族学院"</f>
        <v>湖北民族学院</v>
      </c>
      <c r="J302" s="1" t="str">
        <f>"财务管理"</f>
        <v>财务管理</v>
      </c>
      <c r="K302" s="7"/>
    </row>
    <row r="303" spans="1:11" ht="36" customHeight="1">
      <c r="A303" s="7">
        <v>301</v>
      </c>
      <c r="B303" s="1" t="s">
        <v>14</v>
      </c>
      <c r="C303" s="1" t="s">
        <v>13</v>
      </c>
      <c r="D303" s="2" t="str">
        <f t="shared" si="33"/>
        <v>z2024302</v>
      </c>
      <c r="E303" s="2" t="str">
        <f>"杨婷婷"</f>
        <v>杨婷婷</v>
      </c>
      <c r="F303" s="2" t="str">
        <f>"女"</f>
        <v>女</v>
      </c>
      <c r="G303" s="1" t="str">
        <f t="shared" si="36"/>
        <v>本科</v>
      </c>
      <c r="H303" s="1" t="str">
        <f>"无"</f>
        <v>无</v>
      </c>
      <c r="I303" s="1" t="str">
        <f>"武汉工商学院"</f>
        <v>武汉工商学院</v>
      </c>
      <c r="J303" s="1" t="str">
        <f>"会计学"</f>
        <v>会计学</v>
      </c>
      <c r="K303" s="7"/>
    </row>
    <row r="304" spans="1:11" ht="36" customHeight="1">
      <c r="A304" s="7">
        <v>302</v>
      </c>
      <c r="B304" s="1" t="s">
        <v>14</v>
      </c>
      <c r="C304" s="1" t="s">
        <v>13</v>
      </c>
      <c r="D304" s="2" t="str">
        <f t="shared" si="33"/>
        <v>z2024302</v>
      </c>
      <c r="E304" s="2" t="str">
        <f>"沈芹"</f>
        <v>沈芹</v>
      </c>
      <c r="F304" s="2" t="str">
        <f>"女"</f>
        <v>女</v>
      </c>
      <c r="G304" s="1" t="str">
        <f t="shared" si="36"/>
        <v>本科</v>
      </c>
      <c r="H304" s="1" t="str">
        <f>"学士"</f>
        <v>学士</v>
      </c>
      <c r="I304" s="1" t="str">
        <f>"湖南工商大学北津学院"</f>
        <v>湖南工商大学北津学院</v>
      </c>
      <c r="J304" s="1" t="str">
        <f>"会计学"</f>
        <v>会计学</v>
      </c>
      <c r="K304" s="7"/>
    </row>
    <row r="305" spans="1:11" ht="36" customHeight="1">
      <c r="A305" s="7">
        <v>303</v>
      </c>
      <c r="B305" s="1" t="s">
        <v>14</v>
      </c>
      <c r="C305" s="1" t="s">
        <v>13</v>
      </c>
      <c r="D305" s="2" t="str">
        <f t="shared" si="33"/>
        <v>z2024302</v>
      </c>
      <c r="E305" s="2" t="str">
        <f>"李睿竹"</f>
        <v>李睿竹</v>
      </c>
      <c r="F305" s="2" t="str">
        <f>"男"</f>
        <v>男</v>
      </c>
      <c r="G305" s="1" t="str">
        <f t="shared" si="36"/>
        <v>本科</v>
      </c>
      <c r="H305" s="1" t="str">
        <f>"学士"</f>
        <v>学士</v>
      </c>
      <c r="I305" s="1" t="str">
        <f>"内蒙古财经大学"</f>
        <v>内蒙古财经大学</v>
      </c>
      <c r="J305" s="1" t="str">
        <f>"投资学、会计学"</f>
        <v>投资学、会计学</v>
      </c>
      <c r="K305" s="7"/>
    </row>
    <row r="306" spans="1:11" ht="36" customHeight="1">
      <c r="A306" s="7">
        <v>304</v>
      </c>
      <c r="B306" s="1" t="s">
        <v>14</v>
      </c>
      <c r="C306" s="1" t="s">
        <v>13</v>
      </c>
      <c r="D306" s="2" t="str">
        <f t="shared" si="33"/>
        <v>z2024302</v>
      </c>
      <c r="E306" s="2" t="str">
        <f>"冉光秋"</f>
        <v>冉光秋</v>
      </c>
      <c r="F306" s="2" t="str">
        <f>"女"</f>
        <v>女</v>
      </c>
      <c r="G306" s="1" t="str">
        <f t="shared" si="36"/>
        <v>本科</v>
      </c>
      <c r="H306" s="1" t="str">
        <f>"无"</f>
        <v>无</v>
      </c>
      <c r="I306" s="1" t="str">
        <f>"武汉工程大学"</f>
        <v>武汉工程大学</v>
      </c>
      <c r="J306" s="1" t="str">
        <f>"会计（注册会计师方向）"</f>
        <v>会计（注册会计师方向）</v>
      </c>
      <c r="K306" s="7"/>
    </row>
    <row r="307" spans="1:11" ht="36" customHeight="1">
      <c r="A307" s="7">
        <v>305</v>
      </c>
      <c r="B307" s="1" t="s">
        <v>14</v>
      </c>
      <c r="C307" s="1" t="s">
        <v>13</v>
      </c>
      <c r="D307" s="2" t="str">
        <f t="shared" si="33"/>
        <v>z2024302</v>
      </c>
      <c r="E307" s="2" t="str">
        <f>"谢志家"</f>
        <v>谢志家</v>
      </c>
      <c r="F307" s="2" t="str">
        <f>"男"</f>
        <v>男</v>
      </c>
      <c r="G307" s="1" t="str">
        <f t="shared" si="36"/>
        <v>本科</v>
      </c>
      <c r="H307" s="1" t="str">
        <f>"学士"</f>
        <v>学士</v>
      </c>
      <c r="I307" s="1" t="str">
        <f>"武汉工程大学邮电与信息工程学院"</f>
        <v>武汉工程大学邮电与信息工程学院</v>
      </c>
      <c r="J307" s="1" t="str">
        <f>"会计学"</f>
        <v>会计学</v>
      </c>
      <c r="K307" s="7"/>
    </row>
    <row r="308" spans="1:11" ht="36" customHeight="1">
      <c r="A308" s="7">
        <v>306</v>
      </c>
      <c r="B308" s="1" t="s">
        <v>14</v>
      </c>
      <c r="C308" s="1" t="s">
        <v>13</v>
      </c>
      <c r="D308" s="2" t="str">
        <f t="shared" si="33"/>
        <v>z2024302</v>
      </c>
      <c r="E308" s="2" t="str">
        <f>"贺金涵"</f>
        <v>贺金涵</v>
      </c>
      <c r="F308" s="2" t="str">
        <f>"女"</f>
        <v>女</v>
      </c>
      <c r="G308" s="1" t="str">
        <f t="shared" si="36"/>
        <v>本科</v>
      </c>
      <c r="H308" s="1" t="str">
        <f>"学士"</f>
        <v>学士</v>
      </c>
      <c r="I308" s="1" t="str">
        <f>"湖北民族大学"</f>
        <v>湖北民族大学</v>
      </c>
      <c r="J308" s="1" t="str">
        <f>"会计学"</f>
        <v>会计学</v>
      </c>
      <c r="K308" s="7"/>
    </row>
    <row r="309" spans="1:11" ht="36" customHeight="1">
      <c r="A309" s="7">
        <v>307</v>
      </c>
      <c r="B309" s="1" t="s">
        <v>14</v>
      </c>
      <c r="C309" s="1" t="s">
        <v>13</v>
      </c>
      <c r="D309" s="2" t="str">
        <f t="shared" si="33"/>
        <v>z2024302</v>
      </c>
      <c r="E309" s="2" t="str">
        <f>"黄睿"</f>
        <v>黄睿</v>
      </c>
      <c r="F309" s="2" t="str">
        <f>"男"</f>
        <v>男</v>
      </c>
      <c r="G309" s="1" t="str">
        <f t="shared" si="36"/>
        <v>本科</v>
      </c>
      <c r="H309" s="1" t="str">
        <f>"学士"</f>
        <v>学士</v>
      </c>
      <c r="I309" s="1" t="str">
        <f>"国家开放大学"</f>
        <v>国家开放大学</v>
      </c>
      <c r="J309" s="1" t="str">
        <f>"会计学"</f>
        <v>会计学</v>
      </c>
      <c r="K309" s="7"/>
    </row>
    <row r="310" spans="1:11" ht="36" customHeight="1">
      <c r="A310" s="7">
        <v>308</v>
      </c>
      <c r="B310" s="1" t="s">
        <v>14</v>
      </c>
      <c r="C310" s="1" t="s">
        <v>13</v>
      </c>
      <c r="D310" s="2" t="str">
        <f t="shared" ref="D310:D373" si="37">"z2024302"</f>
        <v>z2024302</v>
      </c>
      <c r="E310" s="2" t="str">
        <f>"徐率袁"</f>
        <v>徐率袁</v>
      </c>
      <c r="F310" s="2" t="str">
        <f>"男"</f>
        <v>男</v>
      </c>
      <c r="G310" s="1" t="str">
        <f t="shared" si="36"/>
        <v>本科</v>
      </c>
      <c r="H310" s="1" t="str">
        <f>"学士"</f>
        <v>学士</v>
      </c>
      <c r="I310" s="1" t="str">
        <f>"湖北民族大学科技学院"</f>
        <v>湖北民族大学科技学院</v>
      </c>
      <c r="J310" s="1" t="str">
        <f>"财务管理"</f>
        <v>财务管理</v>
      </c>
      <c r="K310" s="7"/>
    </row>
    <row r="311" spans="1:11" ht="36" customHeight="1">
      <c r="A311" s="7">
        <v>309</v>
      </c>
      <c r="B311" s="1" t="s">
        <v>14</v>
      </c>
      <c r="C311" s="1" t="s">
        <v>13</v>
      </c>
      <c r="D311" s="2" t="str">
        <f t="shared" si="37"/>
        <v>z2024302</v>
      </c>
      <c r="E311" s="2" t="str">
        <f>"杨佳鹭"</f>
        <v>杨佳鹭</v>
      </c>
      <c r="F311" s="2" t="str">
        <f>"女"</f>
        <v>女</v>
      </c>
      <c r="G311" s="1" t="str">
        <f t="shared" si="36"/>
        <v>本科</v>
      </c>
      <c r="H311" s="1" t="str">
        <f>"无"</f>
        <v>无</v>
      </c>
      <c r="I311" s="1" t="str">
        <f>"湖北科技学院"</f>
        <v>湖北科技学院</v>
      </c>
      <c r="J311" s="1" t="str">
        <f>"财务管理"</f>
        <v>财务管理</v>
      </c>
      <c r="K311" s="7"/>
    </row>
    <row r="312" spans="1:11" ht="36" customHeight="1">
      <c r="A312" s="7">
        <v>310</v>
      </c>
      <c r="B312" s="1" t="s">
        <v>14</v>
      </c>
      <c r="C312" s="1" t="s">
        <v>13</v>
      </c>
      <c r="D312" s="2" t="str">
        <f t="shared" si="37"/>
        <v>z2024302</v>
      </c>
      <c r="E312" s="2" t="str">
        <f>"牟彦华"</f>
        <v>牟彦华</v>
      </c>
      <c r="F312" s="2" t="str">
        <f>"女"</f>
        <v>女</v>
      </c>
      <c r="G312" s="1" t="str">
        <f t="shared" si="36"/>
        <v>本科</v>
      </c>
      <c r="H312" s="1" t="str">
        <f>"学士"</f>
        <v>学士</v>
      </c>
      <c r="I312" s="1" t="str">
        <f>"湖北民族大学科技学院"</f>
        <v>湖北民族大学科技学院</v>
      </c>
      <c r="J312" s="1" t="str">
        <f>"财务管理"</f>
        <v>财务管理</v>
      </c>
      <c r="K312" s="7"/>
    </row>
    <row r="313" spans="1:11" ht="36" customHeight="1">
      <c r="A313" s="7">
        <v>311</v>
      </c>
      <c r="B313" s="1" t="s">
        <v>14</v>
      </c>
      <c r="C313" s="1" t="s">
        <v>13</v>
      </c>
      <c r="D313" s="2" t="str">
        <f t="shared" si="37"/>
        <v>z2024302</v>
      </c>
      <c r="E313" s="2" t="str">
        <f>"冉启玲"</f>
        <v>冉启玲</v>
      </c>
      <c r="F313" s="2" t="str">
        <f>"女"</f>
        <v>女</v>
      </c>
      <c r="G313" s="1" t="str">
        <f t="shared" si="36"/>
        <v>本科</v>
      </c>
      <c r="H313" s="1" t="str">
        <f>"学士"</f>
        <v>学士</v>
      </c>
      <c r="I313" s="1" t="str">
        <f>"武汉工程大学"</f>
        <v>武汉工程大学</v>
      </c>
      <c r="J313" s="1" t="str">
        <f>"会计学"</f>
        <v>会计学</v>
      </c>
      <c r="K313" s="7"/>
    </row>
    <row r="314" spans="1:11" ht="36" customHeight="1">
      <c r="A314" s="7">
        <v>312</v>
      </c>
      <c r="B314" s="1" t="s">
        <v>14</v>
      </c>
      <c r="C314" s="1" t="s">
        <v>13</v>
      </c>
      <c r="D314" s="2" t="str">
        <f t="shared" si="37"/>
        <v>z2024302</v>
      </c>
      <c r="E314" s="2" t="str">
        <f>"吴阳"</f>
        <v>吴阳</v>
      </c>
      <c r="F314" s="2" t="str">
        <f>"男"</f>
        <v>男</v>
      </c>
      <c r="G314" s="1" t="str">
        <f>"大专"</f>
        <v>大专</v>
      </c>
      <c r="H314" s="1" t="str">
        <f>"无"</f>
        <v>无</v>
      </c>
      <c r="I314" s="1" t="str">
        <f>"恩施职业技术学院"</f>
        <v>恩施职业技术学院</v>
      </c>
      <c r="J314" s="1" t="str">
        <f>"会计"</f>
        <v>会计</v>
      </c>
      <c r="K314" s="7"/>
    </row>
    <row r="315" spans="1:11" ht="36" customHeight="1">
      <c r="A315" s="7">
        <v>313</v>
      </c>
      <c r="B315" s="1" t="s">
        <v>14</v>
      </c>
      <c r="C315" s="1" t="s">
        <v>13</v>
      </c>
      <c r="D315" s="2" t="str">
        <f t="shared" si="37"/>
        <v>z2024302</v>
      </c>
      <c r="E315" s="2" t="str">
        <f>"彭瑞"</f>
        <v>彭瑞</v>
      </c>
      <c r="F315" s="2" t="str">
        <f>"女"</f>
        <v>女</v>
      </c>
      <c r="G315" s="1" t="str">
        <f>"本科"</f>
        <v>本科</v>
      </c>
      <c r="H315" s="1" t="str">
        <f>"无"</f>
        <v>无</v>
      </c>
      <c r="I315" s="1" t="str">
        <f>"湖南大学"</f>
        <v>湖南大学</v>
      </c>
      <c r="J315" s="1" t="str">
        <f>"会计学"</f>
        <v>会计学</v>
      </c>
      <c r="K315" s="7"/>
    </row>
    <row r="316" spans="1:11" ht="36" customHeight="1">
      <c r="A316" s="7">
        <v>314</v>
      </c>
      <c r="B316" s="1" t="s">
        <v>14</v>
      </c>
      <c r="C316" s="1" t="s">
        <v>13</v>
      </c>
      <c r="D316" s="2" t="str">
        <f t="shared" si="37"/>
        <v>z2024302</v>
      </c>
      <c r="E316" s="2" t="str">
        <f>"吴永琪"</f>
        <v>吴永琪</v>
      </c>
      <c r="F316" s="2" t="str">
        <f>"女"</f>
        <v>女</v>
      </c>
      <c r="G316" s="1" t="str">
        <f>"本科"</f>
        <v>本科</v>
      </c>
      <c r="H316" s="1" t="str">
        <f>"学士"</f>
        <v>学士</v>
      </c>
      <c r="I316" s="1" t="str">
        <f>"湖北恩施学院"</f>
        <v>湖北恩施学院</v>
      </c>
      <c r="J316" s="1" t="str">
        <f>"会计学"</f>
        <v>会计学</v>
      </c>
      <c r="K316" s="7"/>
    </row>
    <row r="317" spans="1:11" ht="36" customHeight="1">
      <c r="A317" s="7">
        <v>315</v>
      </c>
      <c r="B317" s="1" t="s">
        <v>14</v>
      </c>
      <c r="C317" s="1" t="s">
        <v>13</v>
      </c>
      <c r="D317" s="2" t="str">
        <f t="shared" si="37"/>
        <v>z2024302</v>
      </c>
      <c r="E317" s="2" t="str">
        <f>"覃尧"</f>
        <v>覃尧</v>
      </c>
      <c r="F317" s="2" t="str">
        <f>"女"</f>
        <v>女</v>
      </c>
      <c r="G317" s="1" t="str">
        <f>"大专"</f>
        <v>大专</v>
      </c>
      <c r="H317" s="1" t="str">
        <f>"无"</f>
        <v>无</v>
      </c>
      <c r="I317" s="1" t="str">
        <f>"桂林旅游学院"</f>
        <v>桂林旅游学院</v>
      </c>
      <c r="J317" s="1" t="str">
        <f>"会计学"</f>
        <v>会计学</v>
      </c>
      <c r="K317" s="7"/>
    </row>
    <row r="318" spans="1:11" ht="36" customHeight="1">
      <c r="A318" s="7">
        <v>316</v>
      </c>
      <c r="B318" s="1" t="s">
        <v>14</v>
      </c>
      <c r="C318" s="1" t="s">
        <v>13</v>
      </c>
      <c r="D318" s="2" t="str">
        <f t="shared" si="37"/>
        <v>z2024302</v>
      </c>
      <c r="E318" s="2" t="str">
        <f>"陈黠慧"</f>
        <v>陈黠慧</v>
      </c>
      <c r="F318" s="2" t="str">
        <f>"女"</f>
        <v>女</v>
      </c>
      <c r="G318" s="1" t="str">
        <f>"本科"</f>
        <v>本科</v>
      </c>
      <c r="H318" s="1" t="str">
        <f>"学士"</f>
        <v>学士</v>
      </c>
      <c r="I318" s="1" t="str">
        <f>"汉口学院"</f>
        <v>汉口学院</v>
      </c>
      <c r="J318" s="1" t="str">
        <f>"经济与金融"</f>
        <v>经济与金融</v>
      </c>
      <c r="K318" s="7"/>
    </row>
    <row r="319" spans="1:11" ht="36" customHeight="1">
      <c r="A319" s="7">
        <v>317</v>
      </c>
      <c r="B319" s="1" t="s">
        <v>14</v>
      </c>
      <c r="C319" s="1" t="s">
        <v>13</v>
      </c>
      <c r="D319" s="2" t="str">
        <f t="shared" si="37"/>
        <v>z2024302</v>
      </c>
      <c r="E319" s="2" t="str">
        <f>"李成浩"</f>
        <v>李成浩</v>
      </c>
      <c r="F319" s="2" t="str">
        <f>"男"</f>
        <v>男</v>
      </c>
      <c r="G319" s="1" t="str">
        <f>"本科"</f>
        <v>本科</v>
      </c>
      <c r="H319" s="1" t="str">
        <f>"学士"</f>
        <v>学士</v>
      </c>
      <c r="I319" s="1" t="str">
        <f>"武汉工程科技学院"</f>
        <v>武汉工程科技学院</v>
      </c>
      <c r="J319" s="1" t="str">
        <f>"财务管理"</f>
        <v>财务管理</v>
      </c>
      <c r="K319" s="7"/>
    </row>
    <row r="320" spans="1:11" ht="36" customHeight="1">
      <c r="A320" s="7">
        <v>318</v>
      </c>
      <c r="B320" s="1" t="s">
        <v>14</v>
      </c>
      <c r="C320" s="1" t="s">
        <v>13</v>
      </c>
      <c r="D320" s="2" t="str">
        <f t="shared" si="37"/>
        <v>z2024302</v>
      </c>
      <c r="E320" s="2" t="str">
        <f>"陈艳香"</f>
        <v>陈艳香</v>
      </c>
      <c r="F320" s="2" t="str">
        <f t="shared" ref="F320:F328" si="38">"女"</f>
        <v>女</v>
      </c>
      <c r="G320" s="1" t="str">
        <f>"本科"</f>
        <v>本科</v>
      </c>
      <c r="H320" s="1" t="str">
        <f>"学士"</f>
        <v>学士</v>
      </c>
      <c r="I320" s="1" t="str">
        <f>"湖北恩施学院科技学院"</f>
        <v>湖北恩施学院科技学院</v>
      </c>
      <c r="J320" s="1" t="str">
        <f>"财务管理"</f>
        <v>财务管理</v>
      </c>
      <c r="K320" s="7"/>
    </row>
    <row r="321" spans="1:11" ht="36" customHeight="1">
      <c r="A321" s="7">
        <v>319</v>
      </c>
      <c r="B321" s="1" t="s">
        <v>14</v>
      </c>
      <c r="C321" s="1" t="s">
        <v>13</v>
      </c>
      <c r="D321" s="2" t="str">
        <f t="shared" si="37"/>
        <v>z2024302</v>
      </c>
      <c r="E321" s="2" t="str">
        <f>"赵潇"</f>
        <v>赵潇</v>
      </c>
      <c r="F321" s="2" t="str">
        <f t="shared" si="38"/>
        <v>女</v>
      </c>
      <c r="G321" s="1" t="str">
        <f>"本科"</f>
        <v>本科</v>
      </c>
      <c r="H321" s="1" t="str">
        <f>"学士"</f>
        <v>学士</v>
      </c>
      <c r="I321" s="1" t="str">
        <f>"湖北民族学院科技学院"</f>
        <v>湖北民族学院科技学院</v>
      </c>
      <c r="J321" s="1" t="str">
        <f>"财务管理"</f>
        <v>财务管理</v>
      </c>
      <c r="K321" s="7"/>
    </row>
    <row r="322" spans="1:11" ht="36" customHeight="1">
      <c r="A322" s="7">
        <v>320</v>
      </c>
      <c r="B322" s="1" t="s">
        <v>14</v>
      </c>
      <c r="C322" s="1" t="s">
        <v>13</v>
      </c>
      <c r="D322" s="2" t="str">
        <f t="shared" si="37"/>
        <v>z2024302</v>
      </c>
      <c r="E322" s="2" t="str">
        <f>"王昕"</f>
        <v>王昕</v>
      </c>
      <c r="F322" s="2" t="str">
        <f t="shared" si="38"/>
        <v>女</v>
      </c>
      <c r="G322" s="1" t="str">
        <f>"大专"</f>
        <v>大专</v>
      </c>
      <c r="H322" s="1" t="str">
        <f>"无"</f>
        <v>无</v>
      </c>
      <c r="I322" s="1" t="str">
        <f>"湖北生物科技职业学院"</f>
        <v>湖北生物科技职业学院</v>
      </c>
      <c r="J322" s="1" t="str">
        <f>"会计"</f>
        <v>会计</v>
      </c>
      <c r="K322" s="7"/>
    </row>
    <row r="323" spans="1:11" ht="36" customHeight="1">
      <c r="A323" s="7">
        <v>321</v>
      </c>
      <c r="B323" s="1" t="s">
        <v>14</v>
      </c>
      <c r="C323" s="1" t="s">
        <v>13</v>
      </c>
      <c r="D323" s="2" t="str">
        <f t="shared" si="37"/>
        <v>z2024302</v>
      </c>
      <c r="E323" s="2" t="str">
        <f>"周敏"</f>
        <v>周敏</v>
      </c>
      <c r="F323" s="2" t="str">
        <f t="shared" si="38"/>
        <v>女</v>
      </c>
      <c r="G323" s="1" t="str">
        <f>"大专"</f>
        <v>大专</v>
      </c>
      <c r="H323" s="1" t="str">
        <f>"无"</f>
        <v>无</v>
      </c>
      <c r="I323" s="1" t="str">
        <f>"中央广播电视大学"</f>
        <v>中央广播电视大学</v>
      </c>
      <c r="J323" s="1" t="str">
        <f>"会计学（财会方向）"</f>
        <v>会计学（财会方向）</v>
      </c>
      <c r="K323" s="7"/>
    </row>
    <row r="324" spans="1:11" ht="36" customHeight="1">
      <c r="A324" s="7">
        <v>322</v>
      </c>
      <c r="B324" s="1" t="s">
        <v>14</v>
      </c>
      <c r="C324" s="1" t="s">
        <v>13</v>
      </c>
      <c r="D324" s="2" t="str">
        <f t="shared" si="37"/>
        <v>z2024302</v>
      </c>
      <c r="E324" s="2" t="str">
        <f>"王秋兰"</f>
        <v>王秋兰</v>
      </c>
      <c r="F324" s="2" t="str">
        <f t="shared" si="38"/>
        <v>女</v>
      </c>
      <c r="G324" s="1" t="str">
        <f>"本科"</f>
        <v>本科</v>
      </c>
      <c r="H324" s="1" t="str">
        <f>"学士"</f>
        <v>学士</v>
      </c>
      <c r="I324" s="1" t="str">
        <f>"湖北大学知行学院"</f>
        <v>湖北大学知行学院</v>
      </c>
      <c r="J324" s="1" t="str">
        <f>"会计学"</f>
        <v>会计学</v>
      </c>
      <c r="K324" s="7"/>
    </row>
    <row r="325" spans="1:11" ht="36" customHeight="1">
      <c r="A325" s="7">
        <v>323</v>
      </c>
      <c r="B325" s="1" t="s">
        <v>14</v>
      </c>
      <c r="C325" s="1" t="s">
        <v>13</v>
      </c>
      <c r="D325" s="2" t="str">
        <f t="shared" si="37"/>
        <v>z2024302</v>
      </c>
      <c r="E325" s="2" t="str">
        <f>"文绪"</f>
        <v>文绪</v>
      </c>
      <c r="F325" s="2" t="str">
        <f t="shared" si="38"/>
        <v>女</v>
      </c>
      <c r="G325" s="1" t="str">
        <f>"大专"</f>
        <v>大专</v>
      </c>
      <c r="H325" s="1" t="str">
        <f>"无"</f>
        <v>无</v>
      </c>
      <c r="I325" s="1" t="str">
        <f>"武汉铁路职业技术学院"</f>
        <v>武汉铁路职业技术学院</v>
      </c>
      <c r="J325" s="1" t="str">
        <f>"会计"</f>
        <v>会计</v>
      </c>
      <c r="K325" s="7"/>
    </row>
    <row r="326" spans="1:11" ht="36" customHeight="1">
      <c r="A326" s="7">
        <v>324</v>
      </c>
      <c r="B326" s="1" t="s">
        <v>14</v>
      </c>
      <c r="C326" s="1" t="s">
        <v>13</v>
      </c>
      <c r="D326" s="2" t="str">
        <f t="shared" si="37"/>
        <v>z2024302</v>
      </c>
      <c r="E326" s="2" t="str">
        <f>"李旋芳"</f>
        <v>李旋芳</v>
      </c>
      <c r="F326" s="2" t="str">
        <f t="shared" si="38"/>
        <v>女</v>
      </c>
      <c r="G326" s="1" t="str">
        <f>"本科"</f>
        <v>本科</v>
      </c>
      <c r="H326" s="1" t="str">
        <f>"学士"</f>
        <v>学士</v>
      </c>
      <c r="I326" s="1" t="str">
        <f>"哈尔滨远东理工学院"</f>
        <v>哈尔滨远东理工学院</v>
      </c>
      <c r="J326" s="1" t="str">
        <f>"会计学"</f>
        <v>会计学</v>
      </c>
      <c r="K326" s="7"/>
    </row>
    <row r="327" spans="1:11" ht="36" customHeight="1">
      <c r="A327" s="7">
        <v>325</v>
      </c>
      <c r="B327" s="1" t="s">
        <v>14</v>
      </c>
      <c r="C327" s="1" t="s">
        <v>13</v>
      </c>
      <c r="D327" s="2" t="str">
        <f t="shared" si="37"/>
        <v>z2024302</v>
      </c>
      <c r="E327" s="2" t="str">
        <f>"唐春"</f>
        <v>唐春</v>
      </c>
      <c r="F327" s="2" t="str">
        <f t="shared" si="38"/>
        <v>女</v>
      </c>
      <c r="G327" s="1" t="str">
        <f>"本科"</f>
        <v>本科</v>
      </c>
      <c r="H327" s="1" t="str">
        <f>"无"</f>
        <v>无</v>
      </c>
      <c r="I327" s="1" t="str">
        <f>"华中科技大学"</f>
        <v>华中科技大学</v>
      </c>
      <c r="J327" s="1" t="str">
        <f>"会计学"</f>
        <v>会计学</v>
      </c>
      <c r="K327" s="7"/>
    </row>
    <row r="328" spans="1:11" ht="36" customHeight="1">
      <c r="A328" s="7">
        <v>326</v>
      </c>
      <c r="B328" s="1" t="s">
        <v>14</v>
      </c>
      <c r="C328" s="1" t="s">
        <v>13</v>
      </c>
      <c r="D328" s="2" t="str">
        <f t="shared" si="37"/>
        <v>z2024302</v>
      </c>
      <c r="E328" s="2" t="str">
        <f>"周毓"</f>
        <v>周毓</v>
      </c>
      <c r="F328" s="2" t="str">
        <f t="shared" si="38"/>
        <v>女</v>
      </c>
      <c r="G328" s="1" t="str">
        <f>"本科"</f>
        <v>本科</v>
      </c>
      <c r="H328" s="1" t="str">
        <f>"学士"</f>
        <v>学士</v>
      </c>
      <c r="I328" s="1" t="str">
        <f>"兰州财经大学长青学院"</f>
        <v>兰州财经大学长青学院</v>
      </c>
      <c r="J328" s="1" t="str">
        <f>"会计学"</f>
        <v>会计学</v>
      </c>
      <c r="K328" s="7"/>
    </row>
    <row r="329" spans="1:11" ht="36" customHeight="1">
      <c r="A329" s="7">
        <v>327</v>
      </c>
      <c r="B329" s="1" t="s">
        <v>14</v>
      </c>
      <c r="C329" s="1" t="s">
        <v>13</v>
      </c>
      <c r="D329" s="2" t="str">
        <f t="shared" si="37"/>
        <v>z2024302</v>
      </c>
      <c r="E329" s="2" t="str">
        <f>"姚麒"</f>
        <v>姚麒</v>
      </c>
      <c r="F329" s="2" t="str">
        <f>"男"</f>
        <v>男</v>
      </c>
      <c r="G329" s="1" t="str">
        <f>"本科"</f>
        <v>本科</v>
      </c>
      <c r="H329" s="1" t="str">
        <f>"学士"</f>
        <v>学士</v>
      </c>
      <c r="I329" s="1" t="str">
        <f>"湖北民族大学科技学院"</f>
        <v>湖北民族大学科技学院</v>
      </c>
      <c r="J329" s="1" t="str">
        <f>"财务管理"</f>
        <v>财务管理</v>
      </c>
      <c r="K329" s="7"/>
    </row>
    <row r="330" spans="1:11" ht="36" customHeight="1">
      <c r="A330" s="7">
        <v>328</v>
      </c>
      <c r="B330" s="1" t="s">
        <v>14</v>
      </c>
      <c r="C330" s="1" t="s">
        <v>13</v>
      </c>
      <c r="D330" s="2" t="str">
        <f t="shared" si="37"/>
        <v>z2024302</v>
      </c>
      <c r="E330" s="2" t="str">
        <f>"李文娟"</f>
        <v>李文娟</v>
      </c>
      <c r="F330" s="2" t="str">
        <f>"女"</f>
        <v>女</v>
      </c>
      <c r="G330" s="1" t="str">
        <f>"大专"</f>
        <v>大专</v>
      </c>
      <c r="H330" s="1" t="str">
        <f>"无"</f>
        <v>无</v>
      </c>
      <c r="I330" s="1" t="str">
        <f>"黄冈师范学院"</f>
        <v>黄冈师范学院</v>
      </c>
      <c r="J330" s="1" t="str">
        <f>"会计（专升本）"</f>
        <v>会计（专升本）</v>
      </c>
      <c r="K330" s="7"/>
    </row>
    <row r="331" spans="1:11" ht="36" customHeight="1">
      <c r="A331" s="7">
        <v>329</v>
      </c>
      <c r="B331" s="1" t="s">
        <v>14</v>
      </c>
      <c r="C331" s="1" t="s">
        <v>13</v>
      </c>
      <c r="D331" s="2" t="str">
        <f t="shared" si="37"/>
        <v>z2024302</v>
      </c>
      <c r="E331" s="2" t="str">
        <f>"杜芳裕"</f>
        <v>杜芳裕</v>
      </c>
      <c r="F331" s="2" t="str">
        <f>"女"</f>
        <v>女</v>
      </c>
      <c r="G331" s="1" t="str">
        <f>"大专"</f>
        <v>大专</v>
      </c>
      <c r="H331" s="1" t="str">
        <f>"无"</f>
        <v>无</v>
      </c>
      <c r="I331" s="1" t="str">
        <f>"湖北生物科技职业学院"</f>
        <v>湖北生物科技职业学院</v>
      </c>
      <c r="J331" s="1" t="str">
        <f>"会计与审计（注册会计师方向）"</f>
        <v>会计与审计（注册会计师方向）</v>
      </c>
      <c r="K331" s="7"/>
    </row>
    <row r="332" spans="1:11" ht="36" customHeight="1">
      <c r="A332" s="7">
        <v>330</v>
      </c>
      <c r="B332" s="1" t="s">
        <v>14</v>
      </c>
      <c r="C332" s="1" t="s">
        <v>13</v>
      </c>
      <c r="D332" s="2" t="str">
        <f t="shared" si="37"/>
        <v>z2024302</v>
      </c>
      <c r="E332" s="2" t="str">
        <f>"杨钦帏"</f>
        <v>杨钦帏</v>
      </c>
      <c r="F332" s="2" t="str">
        <f>"男"</f>
        <v>男</v>
      </c>
      <c r="G332" s="1" t="str">
        <f>"本科"</f>
        <v>本科</v>
      </c>
      <c r="H332" s="1" t="str">
        <f>"学士"</f>
        <v>学士</v>
      </c>
      <c r="I332" s="1" t="str">
        <f>"上海师范大学"</f>
        <v>上海师范大学</v>
      </c>
      <c r="J332" s="1" t="str">
        <f>"财务管理"</f>
        <v>财务管理</v>
      </c>
      <c r="K332" s="7"/>
    </row>
    <row r="333" spans="1:11" ht="36" customHeight="1">
      <c r="A333" s="7">
        <v>331</v>
      </c>
      <c r="B333" s="1" t="s">
        <v>14</v>
      </c>
      <c r="C333" s="1" t="s">
        <v>13</v>
      </c>
      <c r="D333" s="2" t="str">
        <f t="shared" si="37"/>
        <v>z2024302</v>
      </c>
      <c r="E333" s="2" t="str">
        <f>"朱瑶"</f>
        <v>朱瑶</v>
      </c>
      <c r="F333" s="2" t="str">
        <f t="shared" ref="F333:F342" si="39">"女"</f>
        <v>女</v>
      </c>
      <c r="G333" s="1" t="str">
        <f>"大专"</f>
        <v>大专</v>
      </c>
      <c r="H333" s="1" t="str">
        <f>"无"</f>
        <v>无</v>
      </c>
      <c r="I333" s="1" t="str">
        <f>"湖南文理学院"</f>
        <v>湖南文理学院</v>
      </c>
      <c r="J333" s="1" t="str">
        <f>"会计"</f>
        <v>会计</v>
      </c>
      <c r="K333" s="7"/>
    </row>
    <row r="334" spans="1:11" ht="36" customHeight="1">
      <c r="A334" s="7">
        <v>332</v>
      </c>
      <c r="B334" s="1" t="s">
        <v>14</v>
      </c>
      <c r="C334" s="1" t="s">
        <v>13</v>
      </c>
      <c r="D334" s="2" t="str">
        <f t="shared" si="37"/>
        <v>z2024302</v>
      </c>
      <c r="E334" s="2" t="str">
        <f>"田惠文"</f>
        <v>田惠文</v>
      </c>
      <c r="F334" s="2" t="str">
        <f t="shared" si="39"/>
        <v>女</v>
      </c>
      <c r="G334" s="1" t="str">
        <f>"本科"</f>
        <v>本科</v>
      </c>
      <c r="H334" s="1" t="str">
        <f>"学士"</f>
        <v>学士</v>
      </c>
      <c r="I334" s="1" t="str">
        <f>"文华学院"</f>
        <v>文华学院</v>
      </c>
      <c r="J334" s="1" t="str">
        <f>"财务管理"</f>
        <v>财务管理</v>
      </c>
      <c r="K334" s="7"/>
    </row>
    <row r="335" spans="1:11" ht="36" customHeight="1">
      <c r="A335" s="7">
        <v>333</v>
      </c>
      <c r="B335" s="1" t="s">
        <v>14</v>
      </c>
      <c r="C335" s="1" t="s">
        <v>13</v>
      </c>
      <c r="D335" s="2" t="str">
        <f t="shared" si="37"/>
        <v>z2024302</v>
      </c>
      <c r="E335" s="2" t="str">
        <f>"何利萍"</f>
        <v>何利萍</v>
      </c>
      <c r="F335" s="2" t="str">
        <f t="shared" si="39"/>
        <v>女</v>
      </c>
      <c r="G335" s="1" t="str">
        <f>"本科"</f>
        <v>本科</v>
      </c>
      <c r="H335" s="1" t="str">
        <f>"学士"</f>
        <v>学士</v>
      </c>
      <c r="I335" s="1" t="str">
        <f>"湖北恩施学院"</f>
        <v>湖北恩施学院</v>
      </c>
      <c r="J335" s="1" t="str">
        <f>"会计学"</f>
        <v>会计学</v>
      </c>
      <c r="K335" s="7"/>
    </row>
    <row r="336" spans="1:11" ht="36" customHeight="1">
      <c r="A336" s="7">
        <v>334</v>
      </c>
      <c r="B336" s="1" t="s">
        <v>14</v>
      </c>
      <c r="C336" s="1" t="s">
        <v>13</v>
      </c>
      <c r="D336" s="2" t="str">
        <f t="shared" si="37"/>
        <v>z2024302</v>
      </c>
      <c r="E336" s="2" t="str">
        <f>"何艳琴"</f>
        <v>何艳琴</v>
      </c>
      <c r="F336" s="2" t="str">
        <f t="shared" si="39"/>
        <v>女</v>
      </c>
      <c r="G336" s="1" t="str">
        <f>"大专"</f>
        <v>大专</v>
      </c>
      <c r="H336" s="1" t="str">
        <f>"无"</f>
        <v>无</v>
      </c>
      <c r="I336" s="1" t="str">
        <f>"重庆财经职业学院"</f>
        <v>重庆财经职业学院</v>
      </c>
      <c r="J336" s="1" t="str">
        <f>"会计"</f>
        <v>会计</v>
      </c>
      <c r="K336" s="7"/>
    </row>
    <row r="337" spans="1:11" ht="36" customHeight="1">
      <c r="A337" s="7">
        <v>335</v>
      </c>
      <c r="B337" s="1" t="s">
        <v>14</v>
      </c>
      <c r="C337" s="1" t="s">
        <v>13</v>
      </c>
      <c r="D337" s="2" t="str">
        <f t="shared" si="37"/>
        <v>z2024302</v>
      </c>
      <c r="E337" s="2" t="str">
        <f>"胡思慧"</f>
        <v>胡思慧</v>
      </c>
      <c r="F337" s="2" t="str">
        <f t="shared" si="39"/>
        <v>女</v>
      </c>
      <c r="G337" s="1" t="str">
        <f t="shared" ref="G337:G347" si="40">"本科"</f>
        <v>本科</v>
      </c>
      <c r="H337" s="1" t="str">
        <f>"学士"</f>
        <v>学士</v>
      </c>
      <c r="I337" s="1" t="str">
        <f>"华中农业大学"</f>
        <v>华中农业大学</v>
      </c>
      <c r="J337" s="1" t="str">
        <f>"财务管理"</f>
        <v>财务管理</v>
      </c>
      <c r="K337" s="7"/>
    </row>
    <row r="338" spans="1:11" ht="36" customHeight="1">
      <c r="A338" s="7">
        <v>336</v>
      </c>
      <c r="B338" s="1" t="s">
        <v>14</v>
      </c>
      <c r="C338" s="1" t="s">
        <v>13</v>
      </c>
      <c r="D338" s="2" t="str">
        <f t="shared" si="37"/>
        <v>z2024302</v>
      </c>
      <c r="E338" s="2" t="str">
        <f>"奚庆"</f>
        <v>奚庆</v>
      </c>
      <c r="F338" s="2" t="str">
        <f t="shared" si="39"/>
        <v>女</v>
      </c>
      <c r="G338" s="1" t="str">
        <f t="shared" si="40"/>
        <v>本科</v>
      </c>
      <c r="H338" s="1" t="str">
        <f>"学士"</f>
        <v>学士</v>
      </c>
      <c r="I338" s="1" t="str">
        <f>"武汉工商学院"</f>
        <v>武汉工商学院</v>
      </c>
      <c r="J338" s="1" t="str">
        <f>"会计学"</f>
        <v>会计学</v>
      </c>
      <c r="K338" s="7"/>
    </row>
    <row r="339" spans="1:11" ht="36" customHeight="1">
      <c r="A339" s="7">
        <v>337</v>
      </c>
      <c r="B339" s="1" t="s">
        <v>14</v>
      </c>
      <c r="C339" s="1" t="s">
        <v>13</v>
      </c>
      <c r="D339" s="2" t="str">
        <f t="shared" si="37"/>
        <v>z2024302</v>
      </c>
      <c r="E339" s="2" t="str">
        <f>"胡煜"</f>
        <v>胡煜</v>
      </c>
      <c r="F339" s="2" t="str">
        <f t="shared" si="39"/>
        <v>女</v>
      </c>
      <c r="G339" s="1" t="str">
        <f t="shared" si="40"/>
        <v>本科</v>
      </c>
      <c r="H339" s="1" t="str">
        <f>"无"</f>
        <v>无</v>
      </c>
      <c r="I339" s="1" t="str">
        <f>"湖北民族学院"</f>
        <v>湖北民族学院</v>
      </c>
      <c r="J339" s="1" t="str">
        <f>"会计学"</f>
        <v>会计学</v>
      </c>
      <c r="K339" s="7"/>
    </row>
    <row r="340" spans="1:11" ht="36" customHeight="1">
      <c r="A340" s="7">
        <v>338</v>
      </c>
      <c r="B340" s="1" t="s">
        <v>14</v>
      </c>
      <c r="C340" s="1" t="s">
        <v>13</v>
      </c>
      <c r="D340" s="2" t="str">
        <f t="shared" si="37"/>
        <v>z2024302</v>
      </c>
      <c r="E340" s="2" t="str">
        <f>"高曼"</f>
        <v>高曼</v>
      </c>
      <c r="F340" s="2" t="str">
        <f t="shared" si="39"/>
        <v>女</v>
      </c>
      <c r="G340" s="1" t="str">
        <f t="shared" si="40"/>
        <v>本科</v>
      </c>
      <c r="H340" s="1" t="str">
        <f t="shared" ref="H340:H345" si="41">"学士"</f>
        <v>学士</v>
      </c>
      <c r="I340" s="1" t="str">
        <f>"安徽财经大学"</f>
        <v>安徽财经大学</v>
      </c>
      <c r="J340" s="1" t="str">
        <f>"财务管理"</f>
        <v>财务管理</v>
      </c>
      <c r="K340" s="7"/>
    </row>
    <row r="341" spans="1:11" ht="36" customHeight="1">
      <c r="A341" s="7">
        <v>339</v>
      </c>
      <c r="B341" s="1" t="s">
        <v>14</v>
      </c>
      <c r="C341" s="1" t="s">
        <v>13</v>
      </c>
      <c r="D341" s="2" t="str">
        <f t="shared" si="37"/>
        <v>z2024302</v>
      </c>
      <c r="E341" s="2" t="str">
        <f>"李浪"</f>
        <v>李浪</v>
      </c>
      <c r="F341" s="2" t="str">
        <f t="shared" si="39"/>
        <v>女</v>
      </c>
      <c r="G341" s="1" t="str">
        <f t="shared" si="40"/>
        <v>本科</v>
      </c>
      <c r="H341" s="1" t="str">
        <f t="shared" si="41"/>
        <v>学士</v>
      </c>
      <c r="I341" s="1" t="str">
        <f>"武汉晴川学院"</f>
        <v>武汉晴川学院</v>
      </c>
      <c r="J341" s="1" t="str">
        <f>"会计学"</f>
        <v>会计学</v>
      </c>
      <c r="K341" s="7"/>
    </row>
    <row r="342" spans="1:11" ht="36" customHeight="1">
      <c r="A342" s="7">
        <v>340</v>
      </c>
      <c r="B342" s="1" t="s">
        <v>14</v>
      </c>
      <c r="C342" s="1" t="s">
        <v>13</v>
      </c>
      <c r="D342" s="2" t="str">
        <f t="shared" si="37"/>
        <v>z2024302</v>
      </c>
      <c r="E342" s="2" t="str">
        <f>"陈慧玲"</f>
        <v>陈慧玲</v>
      </c>
      <c r="F342" s="2" t="str">
        <f t="shared" si="39"/>
        <v>女</v>
      </c>
      <c r="G342" s="1" t="str">
        <f t="shared" si="40"/>
        <v>本科</v>
      </c>
      <c r="H342" s="1" t="str">
        <f t="shared" si="41"/>
        <v>学士</v>
      </c>
      <c r="I342" s="1" t="str">
        <f>"湖北恩施学院"</f>
        <v>湖北恩施学院</v>
      </c>
      <c r="J342" s="1" t="str">
        <f>"财务管理"</f>
        <v>财务管理</v>
      </c>
      <c r="K342" s="7"/>
    </row>
    <row r="343" spans="1:11" ht="36" customHeight="1">
      <c r="A343" s="7">
        <v>341</v>
      </c>
      <c r="B343" s="1" t="s">
        <v>14</v>
      </c>
      <c r="C343" s="1" t="s">
        <v>13</v>
      </c>
      <c r="D343" s="2" t="str">
        <f t="shared" si="37"/>
        <v>z2024302</v>
      </c>
      <c r="E343" s="2" t="str">
        <f>"严淼"</f>
        <v>严淼</v>
      </c>
      <c r="F343" s="2" t="str">
        <f>"男"</f>
        <v>男</v>
      </c>
      <c r="G343" s="1" t="str">
        <f t="shared" si="40"/>
        <v>本科</v>
      </c>
      <c r="H343" s="1" t="str">
        <f t="shared" si="41"/>
        <v>学士</v>
      </c>
      <c r="I343" s="1" t="str">
        <f>"武汉晴川学院"</f>
        <v>武汉晴川学院</v>
      </c>
      <c r="J343" s="1" t="str">
        <f>"会计学"</f>
        <v>会计学</v>
      </c>
      <c r="K343" s="7"/>
    </row>
    <row r="344" spans="1:11" ht="36" customHeight="1">
      <c r="A344" s="7">
        <v>342</v>
      </c>
      <c r="B344" s="1" t="s">
        <v>14</v>
      </c>
      <c r="C344" s="1" t="s">
        <v>13</v>
      </c>
      <c r="D344" s="2" t="str">
        <f t="shared" si="37"/>
        <v>z2024302</v>
      </c>
      <c r="E344" s="2" t="str">
        <f>"蔺家兴"</f>
        <v>蔺家兴</v>
      </c>
      <c r="F344" s="2" t="str">
        <f>"男"</f>
        <v>男</v>
      </c>
      <c r="G344" s="1" t="str">
        <f t="shared" si="40"/>
        <v>本科</v>
      </c>
      <c r="H344" s="1" t="str">
        <f t="shared" si="41"/>
        <v>学士</v>
      </c>
      <c r="I344" s="1" t="str">
        <f>"武汉学院"</f>
        <v>武汉学院</v>
      </c>
      <c r="J344" s="1" t="str">
        <f>"会计学"</f>
        <v>会计学</v>
      </c>
      <c r="K344" s="7"/>
    </row>
    <row r="345" spans="1:11" ht="36" customHeight="1">
      <c r="A345" s="7">
        <v>343</v>
      </c>
      <c r="B345" s="1" t="s">
        <v>14</v>
      </c>
      <c r="C345" s="1" t="s">
        <v>13</v>
      </c>
      <c r="D345" s="2" t="str">
        <f t="shared" si="37"/>
        <v>z2024302</v>
      </c>
      <c r="E345" s="2" t="str">
        <f>"谭蓓"</f>
        <v>谭蓓</v>
      </c>
      <c r="F345" s="2" t="str">
        <f>"女"</f>
        <v>女</v>
      </c>
      <c r="G345" s="1" t="str">
        <f t="shared" si="40"/>
        <v>本科</v>
      </c>
      <c r="H345" s="1" t="str">
        <f t="shared" si="41"/>
        <v>学士</v>
      </c>
      <c r="I345" s="1" t="str">
        <f>"湖北民族大学科技学院"</f>
        <v>湖北民族大学科技学院</v>
      </c>
      <c r="J345" s="1" t="str">
        <f>"会计学"</f>
        <v>会计学</v>
      </c>
      <c r="K345" s="7"/>
    </row>
    <row r="346" spans="1:11" ht="36" customHeight="1">
      <c r="A346" s="7">
        <v>344</v>
      </c>
      <c r="B346" s="1" t="s">
        <v>14</v>
      </c>
      <c r="C346" s="1" t="s">
        <v>13</v>
      </c>
      <c r="D346" s="2" t="str">
        <f t="shared" si="37"/>
        <v>z2024302</v>
      </c>
      <c r="E346" s="2" t="str">
        <f>"白恩侨"</f>
        <v>白恩侨</v>
      </c>
      <c r="F346" s="2" t="str">
        <f>"男"</f>
        <v>男</v>
      </c>
      <c r="G346" s="1" t="str">
        <f t="shared" si="40"/>
        <v>本科</v>
      </c>
      <c r="H346" s="1" t="str">
        <f>"无"</f>
        <v>无</v>
      </c>
      <c r="I346" s="1" t="str">
        <f>"华北水利水电大学"</f>
        <v>华北水利水电大学</v>
      </c>
      <c r="J346" s="1" t="str">
        <f>"会计学"</f>
        <v>会计学</v>
      </c>
      <c r="K346" s="7"/>
    </row>
    <row r="347" spans="1:11" ht="36" customHeight="1">
      <c r="A347" s="7">
        <v>345</v>
      </c>
      <c r="B347" s="1" t="s">
        <v>14</v>
      </c>
      <c r="C347" s="1" t="s">
        <v>13</v>
      </c>
      <c r="D347" s="2" t="str">
        <f t="shared" si="37"/>
        <v>z2024302</v>
      </c>
      <c r="E347" s="2" t="str">
        <f>"刘琼"</f>
        <v>刘琼</v>
      </c>
      <c r="F347" s="2" t="str">
        <f>"女"</f>
        <v>女</v>
      </c>
      <c r="G347" s="1" t="str">
        <f t="shared" si="40"/>
        <v>本科</v>
      </c>
      <c r="H347" s="1" t="str">
        <f>"学士"</f>
        <v>学士</v>
      </c>
      <c r="I347" s="1" t="str">
        <f>"湖北恩施学院"</f>
        <v>湖北恩施学院</v>
      </c>
      <c r="J347" s="1" t="str">
        <f>"会计学"</f>
        <v>会计学</v>
      </c>
      <c r="K347" s="7"/>
    </row>
    <row r="348" spans="1:11" ht="36" customHeight="1">
      <c r="A348" s="7">
        <v>346</v>
      </c>
      <c r="B348" s="1" t="s">
        <v>14</v>
      </c>
      <c r="C348" s="1" t="s">
        <v>13</v>
      </c>
      <c r="D348" s="2" t="str">
        <f t="shared" si="37"/>
        <v>z2024302</v>
      </c>
      <c r="E348" s="2" t="str">
        <f>"向盼"</f>
        <v>向盼</v>
      </c>
      <c r="F348" s="2" t="str">
        <f>"男"</f>
        <v>男</v>
      </c>
      <c r="G348" s="1" t="str">
        <f>"大专"</f>
        <v>大专</v>
      </c>
      <c r="H348" s="1" t="str">
        <f>"无"</f>
        <v>无</v>
      </c>
      <c r="I348" s="1" t="str">
        <f>"湖北师范大学"</f>
        <v>湖北师范大学</v>
      </c>
      <c r="J348" s="1" t="str">
        <f>"会计"</f>
        <v>会计</v>
      </c>
      <c r="K348" s="7"/>
    </row>
    <row r="349" spans="1:11" ht="36" customHeight="1">
      <c r="A349" s="7">
        <v>347</v>
      </c>
      <c r="B349" s="1" t="s">
        <v>14</v>
      </c>
      <c r="C349" s="1" t="s">
        <v>13</v>
      </c>
      <c r="D349" s="2" t="str">
        <f t="shared" si="37"/>
        <v>z2024302</v>
      </c>
      <c r="E349" s="2" t="str">
        <f>"田小梅"</f>
        <v>田小梅</v>
      </c>
      <c r="F349" s="2" t="str">
        <f t="shared" ref="F349:F354" si="42">"女"</f>
        <v>女</v>
      </c>
      <c r="G349" s="1" t="str">
        <f t="shared" ref="G349:G354" si="43">"本科"</f>
        <v>本科</v>
      </c>
      <c r="H349" s="1" t="str">
        <f>"学士"</f>
        <v>学士</v>
      </c>
      <c r="I349" s="1" t="str">
        <f>"湖北民族大学科技学院"</f>
        <v>湖北民族大学科技学院</v>
      </c>
      <c r="J349" s="1" t="str">
        <f>"财务管理"</f>
        <v>财务管理</v>
      </c>
      <c r="K349" s="7"/>
    </row>
    <row r="350" spans="1:11" ht="36" customHeight="1">
      <c r="A350" s="7">
        <v>348</v>
      </c>
      <c r="B350" s="1" t="s">
        <v>14</v>
      </c>
      <c r="C350" s="1" t="s">
        <v>13</v>
      </c>
      <c r="D350" s="2" t="str">
        <f t="shared" si="37"/>
        <v>z2024302</v>
      </c>
      <c r="E350" s="2" t="str">
        <f>"姚柳"</f>
        <v>姚柳</v>
      </c>
      <c r="F350" s="2" t="str">
        <f t="shared" si="42"/>
        <v>女</v>
      </c>
      <c r="G350" s="1" t="str">
        <f t="shared" si="43"/>
        <v>本科</v>
      </c>
      <c r="H350" s="1" t="str">
        <f>"学士"</f>
        <v>学士</v>
      </c>
      <c r="I350" s="1" t="str">
        <f>"湖北民族学院科技学院"</f>
        <v>湖北民族学院科技学院</v>
      </c>
      <c r="J350" s="1" t="str">
        <f>"财务管理"</f>
        <v>财务管理</v>
      </c>
      <c r="K350" s="7"/>
    </row>
    <row r="351" spans="1:11" ht="36" customHeight="1">
      <c r="A351" s="7">
        <v>349</v>
      </c>
      <c r="B351" s="1" t="s">
        <v>14</v>
      </c>
      <c r="C351" s="1" t="s">
        <v>13</v>
      </c>
      <c r="D351" s="2" t="str">
        <f t="shared" si="37"/>
        <v>z2024302</v>
      </c>
      <c r="E351" s="2" t="str">
        <f>"徐苗"</f>
        <v>徐苗</v>
      </c>
      <c r="F351" s="2" t="str">
        <f t="shared" si="42"/>
        <v>女</v>
      </c>
      <c r="G351" s="1" t="str">
        <f t="shared" si="43"/>
        <v>本科</v>
      </c>
      <c r="H351" s="1" t="str">
        <f>"学士"</f>
        <v>学士</v>
      </c>
      <c r="I351" s="1" t="str">
        <f>"无锡太湖学院"</f>
        <v>无锡太湖学院</v>
      </c>
      <c r="J351" s="1" t="str">
        <f>"会计学"</f>
        <v>会计学</v>
      </c>
      <c r="K351" s="7"/>
    </row>
    <row r="352" spans="1:11" ht="36" customHeight="1">
      <c r="A352" s="7">
        <v>350</v>
      </c>
      <c r="B352" s="1" t="s">
        <v>14</v>
      </c>
      <c r="C352" s="1" t="s">
        <v>13</v>
      </c>
      <c r="D352" s="2" t="str">
        <f t="shared" si="37"/>
        <v>z2024302</v>
      </c>
      <c r="E352" s="2" t="str">
        <f>"孙妍"</f>
        <v>孙妍</v>
      </c>
      <c r="F352" s="2" t="str">
        <f t="shared" si="42"/>
        <v>女</v>
      </c>
      <c r="G352" s="1" t="str">
        <f t="shared" si="43"/>
        <v>本科</v>
      </c>
      <c r="H352" s="1" t="str">
        <f>"无"</f>
        <v>无</v>
      </c>
      <c r="I352" s="1" t="str">
        <f>"南京财经大学"</f>
        <v>南京财经大学</v>
      </c>
      <c r="J352" s="1" t="str">
        <f>"会计学"</f>
        <v>会计学</v>
      </c>
      <c r="K352" s="7"/>
    </row>
    <row r="353" spans="1:11" ht="36" customHeight="1">
      <c r="A353" s="7">
        <v>351</v>
      </c>
      <c r="B353" s="1" t="s">
        <v>14</v>
      </c>
      <c r="C353" s="1" t="s">
        <v>13</v>
      </c>
      <c r="D353" s="2" t="str">
        <f t="shared" si="37"/>
        <v>z2024302</v>
      </c>
      <c r="E353" s="2" t="str">
        <f>"陈含"</f>
        <v>陈含</v>
      </c>
      <c r="F353" s="2" t="str">
        <f t="shared" si="42"/>
        <v>女</v>
      </c>
      <c r="G353" s="1" t="str">
        <f t="shared" si="43"/>
        <v>本科</v>
      </c>
      <c r="H353" s="1" t="str">
        <f>"学士"</f>
        <v>学士</v>
      </c>
      <c r="I353" s="1" t="str">
        <f>"武汉工商学院"</f>
        <v>武汉工商学院</v>
      </c>
      <c r="J353" s="1" t="str">
        <f>"会计学"</f>
        <v>会计学</v>
      </c>
      <c r="K353" s="7"/>
    </row>
    <row r="354" spans="1:11" ht="36" customHeight="1">
      <c r="A354" s="7">
        <v>352</v>
      </c>
      <c r="B354" s="1" t="s">
        <v>14</v>
      </c>
      <c r="C354" s="1" t="s">
        <v>13</v>
      </c>
      <c r="D354" s="2" t="str">
        <f t="shared" si="37"/>
        <v>z2024302</v>
      </c>
      <c r="E354" s="2" t="str">
        <f>"安柯燚"</f>
        <v>安柯燚</v>
      </c>
      <c r="F354" s="2" t="str">
        <f t="shared" si="42"/>
        <v>女</v>
      </c>
      <c r="G354" s="1" t="str">
        <f t="shared" si="43"/>
        <v>本科</v>
      </c>
      <c r="H354" s="1" t="str">
        <f>"学士"</f>
        <v>学士</v>
      </c>
      <c r="I354" s="1" t="str">
        <f>"湖北民族学院科技学院"</f>
        <v>湖北民族学院科技学院</v>
      </c>
      <c r="J354" s="1" t="str">
        <f>"财务管理"</f>
        <v>财务管理</v>
      </c>
      <c r="K354" s="7"/>
    </row>
    <row r="355" spans="1:11" ht="36" customHeight="1">
      <c r="A355" s="7">
        <v>353</v>
      </c>
      <c r="B355" s="1" t="s">
        <v>14</v>
      </c>
      <c r="C355" s="1" t="s">
        <v>13</v>
      </c>
      <c r="D355" s="2" t="str">
        <f t="shared" si="37"/>
        <v>z2024302</v>
      </c>
      <c r="E355" s="2" t="str">
        <f>"彭凯"</f>
        <v>彭凯</v>
      </c>
      <c r="F355" s="2" t="str">
        <f>"男"</f>
        <v>男</v>
      </c>
      <c r="G355" s="1" t="str">
        <f>"大专"</f>
        <v>大专</v>
      </c>
      <c r="H355" s="1" t="str">
        <f>"无"</f>
        <v>无</v>
      </c>
      <c r="I355" s="1" t="str">
        <f>"湖北民族大学科技学院"</f>
        <v>湖北民族大学科技学院</v>
      </c>
      <c r="J355" s="1" t="str">
        <f>"财务管理"</f>
        <v>财务管理</v>
      </c>
      <c r="K355" s="7"/>
    </row>
    <row r="356" spans="1:11" ht="36" customHeight="1">
      <c r="A356" s="7">
        <v>354</v>
      </c>
      <c r="B356" s="1" t="s">
        <v>14</v>
      </c>
      <c r="C356" s="1" t="s">
        <v>13</v>
      </c>
      <c r="D356" s="2" t="str">
        <f t="shared" si="37"/>
        <v>z2024302</v>
      </c>
      <c r="E356" s="2" t="str">
        <f>"尹越"</f>
        <v>尹越</v>
      </c>
      <c r="F356" s="2" t="str">
        <f>"男"</f>
        <v>男</v>
      </c>
      <c r="G356" s="1" t="str">
        <f>"本科"</f>
        <v>本科</v>
      </c>
      <c r="H356" s="1" t="str">
        <f>"学士"</f>
        <v>学士</v>
      </c>
      <c r="I356" s="1" t="str">
        <f>"武汉工商学院"</f>
        <v>武汉工商学院</v>
      </c>
      <c r="J356" s="1" t="str">
        <f>"会计学"</f>
        <v>会计学</v>
      </c>
      <c r="K356" s="7"/>
    </row>
    <row r="357" spans="1:11" ht="36" customHeight="1">
      <c r="A357" s="7">
        <v>355</v>
      </c>
      <c r="B357" s="1" t="s">
        <v>14</v>
      </c>
      <c r="C357" s="1" t="s">
        <v>13</v>
      </c>
      <c r="D357" s="2" t="str">
        <f t="shared" si="37"/>
        <v>z2024302</v>
      </c>
      <c r="E357" s="2" t="str">
        <f>"胡芳秀"</f>
        <v>胡芳秀</v>
      </c>
      <c r="F357" s="2" t="str">
        <f>"女"</f>
        <v>女</v>
      </c>
      <c r="G357" s="1" t="str">
        <f>"大专"</f>
        <v>大专</v>
      </c>
      <c r="H357" s="1" t="str">
        <f>"无"</f>
        <v>无</v>
      </c>
      <c r="I357" s="1" t="str">
        <f>"湖北民族学院科技学院"</f>
        <v>湖北民族学院科技学院</v>
      </c>
      <c r="J357" s="1" t="str">
        <f>"财务管理"</f>
        <v>财务管理</v>
      </c>
      <c r="K357" s="7"/>
    </row>
    <row r="358" spans="1:11" ht="36" customHeight="1">
      <c r="A358" s="7">
        <v>356</v>
      </c>
      <c r="B358" s="1" t="s">
        <v>14</v>
      </c>
      <c r="C358" s="1" t="s">
        <v>13</v>
      </c>
      <c r="D358" s="2" t="str">
        <f t="shared" si="37"/>
        <v>z2024302</v>
      </c>
      <c r="E358" s="2" t="str">
        <f>"何政东"</f>
        <v>何政东</v>
      </c>
      <c r="F358" s="2" t="str">
        <f>"男"</f>
        <v>男</v>
      </c>
      <c r="G358" s="1" t="str">
        <f>"本科"</f>
        <v>本科</v>
      </c>
      <c r="H358" s="1" t="str">
        <f>"学士"</f>
        <v>学士</v>
      </c>
      <c r="I358" s="1" t="str">
        <f>"文华学院"</f>
        <v>文华学院</v>
      </c>
      <c r="J358" s="1" t="str">
        <f>"会计学"</f>
        <v>会计学</v>
      </c>
      <c r="K358" s="7"/>
    </row>
    <row r="359" spans="1:11" ht="36" customHeight="1">
      <c r="A359" s="7">
        <v>357</v>
      </c>
      <c r="B359" s="1" t="s">
        <v>14</v>
      </c>
      <c r="C359" s="1" t="s">
        <v>13</v>
      </c>
      <c r="D359" s="2" t="str">
        <f t="shared" si="37"/>
        <v>z2024302</v>
      </c>
      <c r="E359" s="2" t="str">
        <f>"杨光辉"</f>
        <v>杨光辉</v>
      </c>
      <c r="F359" s="2" t="str">
        <f>"男"</f>
        <v>男</v>
      </c>
      <c r="G359" s="1" t="str">
        <f>"本科"</f>
        <v>本科</v>
      </c>
      <c r="H359" s="1" t="str">
        <f>"学士"</f>
        <v>学士</v>
      </c>
      <c r="I359" s="1" t="str">
        <f>"湖北恩施学院"</f>
        <v>湖北恩施学院</v>
      </c>
      <c r="J359" s="1" t="str">
        <f>"财务管理"</f>
        <v>财务管理</v>
      </c>
      <c r="K359" s="7"/>
    </row>
    <row r="360" spans="1:11" ht="36" customHeight="1">
      <c r="A360" s="7">
        <v>358</v>
      </c>
      <c r="B360" s="1" t="s">
        <v>14</v>
      </c>
      <c r="C360" s="1" t="s">
        <v>13</v>
      </c>
      <c r="D360" s="2" t="str">
        <f t="shared" si="37"/>
        <v>z2024302</v>
      </c>
      <c r="E360" s="2" t="str">
        <f>"查素文"</f>
        <v>查素文</v>
      </c>
      <c r="F360" s="2" t="str">
        <f>"女"</f>
        <v>女</v>
      </c>
      <c r="G360" s="1" t="str">
        <f>"本科"</f>
        <v>本科</v>
      </c>
      <c r="H360" s="1" t="str">
        <f>"学士"</f>
        <v>学士</v>
      </c>
      <c r="I360" s="1" t="str">
        <f>"皖西学院"</f>
        <v>皖西学院</v>
      </c>
      <c r="J360" s="1" t="str">
        <f>"财务管理"</f>
        <v>财务管理</v>
      </c>
      <c r="K360" s="7"/>
    </row>
    <row r="361" spans="1:11" ht="36" customHeight="1">
      <c r="A361" s="7">
        <v>359</v>
      </c>
      <c r="B361" s="1" t="s">
        <v>14</v>
      </c>
      <c r="C361" s="1" t="s">
        <v>13</v>
      </c>
      <c r="D361" s="2" t="str">
        <f t="shared" si="37"/>
        <v>z2024302</v>
      </c>
      <c r="E361" s="2" t="str">
        <f>"黄波"</f>
        <v>黄波</v>
      </c>
      <c r="F361" s="2" t="str">
        <f>"男"</f>
        <v>男</v>
      </c>
      <c r="G361" s="1" t="str">
        <f>"本科"</f>
        <v>本科</v>
      </c>
      <c r="H361" s="1" t="str">
        <f>"学士"</f>
        <v>学士</v>
      </c>
      <c r="I361" s="1" t="str">
        <f>"武汉理工大学"</f>
        <v>武汉理工大学</v>
      </c>
      <c r="J361" s="1" t="str">
        <f>"会计学"</f>
        <v>会计学</v>
      </c>
      <c r="K361" s="7"/>
    </row>
    <row r="362" spans="1:11" ht="36" customHeight="1">
      <c r="A362" s="7">
        <v>360</v>
      </c>
      <c r="B362" s="1" t="s">
        <v>14</v>
      </c>
      <c r="C362" s="1" t="s">
        <v>13</v>
      </c>
      <c r="D362" s="2" t="str">
        <f t="shared" si="37"/>
        <v>z2024302</v>
      </c>
      <c r="E362" s="2" t="str">
        <f>"张恩"</f>
        <v>张恩</v>
      </c>
      <c r="F362" s="2" t="str">
        <f>"女"</f>
        <v>女</v>
      </c>
      <c r="G362" s="1" t="str">
        <f>"大专"</f>
        <v>大专</v>
      </c>
      <c r="H362" s="1" t="str">
        <f>"无"</f>
        <v>无</v>
      </c>
      <c r="I362" s="1" t="str">
        <f>"武汉东湖学院"</f>
        <v>武汉东湖学院</v>
      </c>
      <c r="J362" s="1" t="str">
        <f>"会计与审计"</f>
        <v>会计与审计</v>
      </c>
      <c r="K362" s="7"/>
    </row>
    <row r="363" spans="1:11" ht="36" customHeight="1">
      <c r="A363" s="7">
        <v>361</v>
      </c>
      <c r="B363" s="1" t="s">
        <v>14</v>
      </c>
      <c r="C363" s="1" t="s">
        <v>13</v>
      </c>
      <c r="D363" s="2" t="str">
        <f t="shared" si="37"/>
        <v>z2024302</v>
      </c>
      <c r="E363" s="2" t="str">
        <f>"刘磊"</f>
        <v>刘磊</v>
      </c>
      <c r="F363" s="2" t="str">
        <f>"男"</f>
        <v>男</v>
      </c>
      <c r="G363" s="1" t="str">
        <f>"大专"</f>
        <v>大专</v>
      </c>
      <c r="H363" s="1" t="str">
        <f>"无"</f>
        <v>无</v>
      </c>
      <c r="I363" s="1" t="str">
        <f>"湖北工业大学工程技术学院"</f>
        <v>湖北工业大学工程技术学院</v>
      </c>
      <c r="J363" s="1" t="str">
        <f>"财务管理"</f>
        <v>财务管理</v>
      </c>
      <c r="K363" s="7"/>
    </row>
    <row r="364" spans="1:11" ht="36" customHeight="1">
      <c r="A364" s="7">
        <v>362</v>
      </c>
      <c r="B364" s="1" t="s">
        <v>14</v>
      </c>
      <c r="C364" s="1" t="s">
        <v>13</v>
      </c>
      <c r="D364" s="2" t="str">
        <f t="shared" si="37"/>
        <v>z2024302</v>
      </c>
      <c r="E364" s="2" t="str">
        <f>"邵玲"</f>
        <v>邵玲</v>
      </c>
      <c r="F364" s="2" t="str">
        <f t="shared" ref="F364:F372" si="44">"女"</f>
        <v>女</v>
      </c>
      <c r="G364" s="1" t="str">
        <f>"本科"</f>
        <v>本科</v>
      </c>
      <c r="H364" s="1" t="str">
        <f>"学士"</f>
        <v>学士</v>
      </c>
      <c r="I364" s="1" t="str">
        <f>"武汉科技大学城市学院"</f>
        <v>武汉科技大学城市学院</v>
      </c>
      <c r="J364" s="1" t="str">
        <f>"会计学"</f>
        <v>会计学</v>
      </c>
      <c r="K364" s="7"/>
    </row>
    <row r="365" spans="1:11" ht="36" customHeight="1">
      <c r="A365" s="7">
        <v>363</v>
      </c>
      <c r="B365" s="1" t="s">
        <v>14</v>
      </c>
      <c r="C365" s="1" t="s">
        <v>13</v>
      </c>
      <c r="D365" s="2" t="str">
        <f t="shared" si="37"/>
        <v>z2024302</v>
      </c>
      <c r="E365" s="2" t="str">
        <f>"丁咸"</f>
        <v>丁咸</v>
      </c>
      <c r="F365" s="2" t="str">
        <f t="shared" si="44"/>
        <v>女</v>
      </c>
      <c r="G365" s="1" t="str">
        <f>"大专"</f>
        <v>大专</v>
      </c>
      <c r="H365" s="1" t="str">
        <f>"无"</f>
        <v>无</v>
      </c>
      <c r="I365" s="1" t="str">
        <f>"武汉交通职业学院"</f>
        <v>武汉交通职业学院</v>
      </c>
      <c r="J365" s="1" t="str">
        <f>"会计"</f>
        <v>会计</v>
      </c>
      <c r="K365" s="7"/>
    </row>
    <row r="366" spans="1:11" ht="36" customHeight="1">
      <c r="A366" s="7">
        <v>364</v>
      </c>
      <c r="B366" s="1" t="s">
        <v>14</v>
      </c>
      <c r="C366" s="1" t="s">
        <v>13</v>
      </c>
      <c r="D366" s="2" t="str">
        <f t="shared" si="37"/>
        <v>z2024302</v>
      </c>
      <c r="E366" s="2" t="str">
        <f>"田涵群"</f>
        <v>田涵群</v>
      </c>
      <c r="F366" s="2" t="str">
        <f t="shared" si="44"/>
        <v>女</v>
      </c>
      <c r="G366" s="1" t="str">
        <f t="shared" ref="G366:G372" si="45">"本科"</f>
        <v>本科</v>
      </c>
      <c r="H366" s="1" t="str">
        <f>"学士"</f>
        <v>学士</v>
      </c>
      <c r="I366" s="1" t="str">
        <f>"湖南工学院"</f>
        <v>湖南工学院</v>
      </c>
      <c r="J366" s="1" t="str">
        <f>"会计学"</f>
        <v>会计学</v>
      </c>
      <c r="K366" s="7"/>
    </row>
    <row r="367" spans="1:11" ht="36" customHeight="1">
      <c r="A367" s="7">
        <v>365</v>
      </c>
      <c r="B367" s="1" t="s">
        <v>14</v>
      </c>
      <c r="C367" s="1" t="s">
        <v>13</v>
      </c>
      <c r="D367" s="2" t="str">
        <f t="shared" si="37"/>
        <v>z2024302</v>
      </c>
      <c r="E367" s="2" t="str">
        <f>"向妮艳"</f>
        <v>向妮艳</v>
      </c>
      <c r="F367" s="2" t="str">
        <f t="shared" si="44"/>
        <v>女</v>
      </c>
      <c r="G367" s="1" t="str">
        <f t="shared" si="45"/>
        <v>本科</v>
      </c>
      <c r="H367" s="1" t="str">
        <f>"学士"</f>
        <v>学士</v>
      </c>
      <c r="I367" s="1" t="str">
        <f>"湖北师范大学"</f>
        <v>湖北师范大学</v>
      </c>
      <c r="J367" s="1" t="str">
        <f>"财务管理"</f>
        <v>财务管理</v>
      </c>
      <c r="K367" s="7"/>
    </row>
    <row r="368" spans="1:11" ht="36" customHeight="1">
      <c r="A368" s="7">
        <v>366</v>
      </c>
      <c r="B368" s="1" t="s">
        <v>14</v>
      </c>
      <c r="C368" s="1" t="s">
        <v>13</v>
      </c>
      <c r="D368" s="2" t="str">
        <f t="shared" si="37"/>
        <v>z2024302</v>
      </c>
      <c r="E368" s="2" t="str">
        <f>"王巍"</f>
        <v>王巍</v>
      </c>
      <c r="F368" s="2" t="str">
        <f t="shared" si="44"/>
        <v>女</v>
      </c>
      <c r="G368" s="1" t="str">
        <f t="shared" si="45"/>
        <v>本科</v>
      </c>
      <c r="H368" s="1" t="str">
        <f>"无"</f>
        <v>无</v>
      </c>
      <c r="I368" s="1" t="str">
        <f>"湖北民族大学"</f>
        <v>湖北民族大学</v>
      </c>
      <c r="J368" s="1" t="str">
        <f>"财务管理"</f>
        <v>财务管理</v>
      </c>
      <c r="K368" s="7"/>
    </row>
    <row r="369" spans="1:11" ht="36" customHeight="1">
      <c r="A369" s="7">
        <v>367</v>
      </c>
      <c r="B369" s="1" t="s">
        <v>14</v>
      </c>
      <c r="C369" s="1" t="s">
        <v>13</v>
      </c>
      <c r="D369" s="2" t="str">
        <f t="shared" si="37"/>
        <v>z2024302</v>
      </c>
      <c r="E369" s="2" t="str">
        <f>"黄周"</f>
        <v>黄周</v>
      </c>
      <c r="F369" s="2" t="str">
        <f t="shared" si="44"/>
        <v>女</v>
      </c>
      <c r="G369" s="1" t="str">
        <f t="shared" si="45"/>
        <v>本科</v>
      </c>
      <c r="H369" s="1" t="str">
        <f>"学士"</f>
        <v>学士</v>
      </c>
      <c r="I369" s="1" t="str">
        <f>"湖北民族大学科技学院"</f>
        <v>湖北民族大学科技学院</v>
      </c>
      <c r="J369" s="1" t="str">
        <f>"财务管理"</f>
        <v>财务管理</v>
      </c>
      <c r="K369" s="7"/>
    </row>
    <row r="370" spans="1:11" ht="36" customHeight="1">
      <c r="A370" s="7">
        <v>368</v>
      </c>
      <c r="B370" s="1" t="s">
        <v>14</v>
      </c>
      <c r="C370" s="1" t="s">
        <v>13</v>
      </c>
      <c r="D370" s="2" t="str">
        <f t="shared" si="37"/>
        <v>z2024302</v>
      </c>
      <c r="E370" s="2" t="str">
        <f>"陈静"</f>
        <v>陈静</v>
      </c>
      <c r="F370" s="2" t="str">
        <f t="shared" si="44"/>
        <v>女</v>
      </c>
      <c r="G370" s="1" t="str">
        <f t="shared" si="45"/>
        <v>本科</v>
      </c>
      <c r="H370" s="1" t="str">
        <f>"学士"</f>
        <v>学士</v>
      </c>
      <c r="I370" s="1" t="str">
        <f>"湖北民族大学科技学院"</f>
        <v>湖北民族大学科技学院</v>
      </c>
      <c r="J370" s="1" t="str">
        <f>"财务管理"</f>
        <v>财务管理</v>
      </c>
      <c r="K370" s="7"/>
    </row>
    <row r="371" spans="1:11" ht="36" customHeight="1">
      <c r="A371" s="7">
        <v>369</v>
      </c>
      <c r="B371" s="1" t="s">
        <v>14</v>
      </c>
      <c r="C371" s="1" t="s">
        <v>13</v>
      </c>
      <c r="D371" s="2" t="str">
        <f t="shared" si="37"/>
        <v>z2024302</v>
      </c>
      <c r="E371" s="2" t="str">
        <f>"梁小珊"</f>
        <v>梁小珊</v>
      </c>
      <c r="F371" s="2" t="str">
        <f t="shared" si="44"/>
        <v>女</v>
      </c>
      <c r="G371" s="1" t="str">
        <f t="shared" si="45"/>
        <v>本科</v>
      </c>
      <c r="H371" s="1" t="str">
        <f>"学士"</f>
        <v>学士</v>
      </c>
      <c r="I371" s="1" t="str">
        <f>"湖北民族大学"</f>
        <v>湖北民族大学</v>
      </c>
      <c r="J371" s="1" t="str">
        <f>"会计学"</f>
        <v>会计学</v>
      </c>
      <c r="K371" s="7"/>
    </row>
    <row r="372" spans="1:11" ht="36" customHeight="1">
      <c r="A372" s="7">
        <v>370</v>
      </c>
      <c r="B372" s="1" t="s">
        <v>14</v>
      </c>
      <c r="C372" s="1" t="s">
        <v>13</v>
      </c>
      <c r="D372" s="2" t="str">
        <f t="shared" si="37"/>
        <v>z2024302</v>
      </c>
      <c r="E372" s="2" t="str">
        <f>"唐玮婧"</f>
        <v>唐玮婧</v>
      </c>
      <c r="F372" s="2" t="str">
        <f t="shared" si="44"/>
        <v>女</v>
      </c>
      <c r="G372" s="1" t="str">
        <f t="shared" si="45"/>
        <v>本科</v>
      </c>
      <c r="H372" s="1" t="str">
        <f>"学士"</f>
        <v>学士</v>
      </c>
      <c r="I372" s="1" t="str">
        <f>"湖北恩施学院"</f>
        <v>湖北恩施学院</v>
      </c>
      <c r="J372" s="1" t="str">
        <f>"会计学"</f>
        <v>会计学</v>
      </c>
      <c r="K372" s="7"/>
    </row>
    <row r="373" spans="1:11" ht="36" customHeight="1">
      <c r="A373" s="7">
        <v>371</v>
      </c>
      <c r="B373" s="1" t="s">
        <v>14</v>
      </c>
      <c r="C373" s="1" t="s">
        <v>13</v>
      </c>
      <c r="D373" s="2" t="str">
        <f t="shared" si="37"/>
        <v>z2024302</v>
      </c>
      <c r="E373" s="2" t="str">
        <f>"叶永进"</f>
        <v>叶永进</v>
      </c>
      <c r="F373" s="2" t="str">
        <f>"男"</f>
        <v>男</v>
      </c>
      <c r="G373" s="1" t="str">
        <f>"大专"</f>
        <v>大专</v>
      </c>
      <c r="H373" s="1" t="str">
        <f>"无"</f>
        <v>无</v>
      </c>
      <c r="I373" s="1" t="str">
        <f>"武汉科技大学"</f>
        <v>武汉科技大学</v>
      </c>
      <c r="J373" s="1" t="str">
        <f>"会计"</f>
        <v>会计</v>
      </c>
      <c r="K373" s="7"/>
    </row>
    <row r="374" spans="1:11" ht="36" customHeight="1">
      <c r="A374" s="7">
        <v>372</v>
      </c>
      <c r="B374" s="1" t="s">
        <v>14</v>
      </c>
      <c r="C374" s="1" t="s">
        <v>13</v>
      </c>
      <c r="D374" s="2" t="str">
        <f t="shared" ref="D374:D437" si="46">"z2024302"</f>
        <v>z2024302</v>
      </c>
      <c r="E374" s="2" t="str">
        <f>"汤小燕"</f>
        <v>汤小燕</v>
      </c>
      <c r="F374" s="2" t="str">
        <f>"女"</f>
        <v>女</v>
      </c>
      <c r="G374" s="1" t="str">
        <f>"本科"</f>
        <v>本科</v>
      </c>
      <c r="H374" s="1" t="str">
        <f>"无"</f>
        <v>无</v>
      </c>
      <c r="I374" s="1" t="str">
        <f>"湖北民族学院"</f>
        <v>湖北民族学院</v>
      </c>
      <c r="J374" s="1" t="str">
        <f>"财务管理"</f>
        <v>财务管理</v>
      </c>
      <c r="K374" s="7"/>
    </row>
    <row r="375" spans="1:11" ht="36" customHeight="1">
      <c r="A375" s="7">
        <v>373</v>
      </c>
      <c r="B375" s="1" t="s">
        <v>14</v>
      </c>
      <c r="C375" s="1" t="s">
        <v>13</v>
      </c>
      <c r="D375" s="2" t="str">
        <f t="shared" si="46"/>
        <v>z2024302</v>
      </c>
      <c r="E375" s="2" t="str">
        <f>"姚秀兰"</f>
        <v>姚秀兰</v>
      </c>
      <c r="F375" s="2" t="str">
        <f>"女"</f>
        <v>女</v>
      </c>
      <c r="G375" s="1" t="str">
        <f>"本科"</f>
        <v>本科</v>
      </c>
      <c r="H375" s="1" t="str">
        <f>"学士"</f>
        <v>学士</v>
      </c>
      <c r="I375" s="1" t="str">
        <f>"武汉华夏理工学院"</f>
        <v>武汉华夏理工学院</v>
      </c>
      <c r="J375" s="1" t="str">
        <f>"会计学"</f>
        <v>会计学</v>
      </c>
      <c r="K375" s="7"/>
    </row>
    <row r="376" spans="1:11" ht="36" customHeight="1">
      <c r="A376" s="7">
        <v>374</v>
      </c>
      <c r="B376" s="1" t="s">
        <v>14</v>
      </c>
      <c r="C376" s="1" t="s">
        <v>13</v>
      </c>
      <c r="D376" s="2" t="str">
        <f t="shared" si="46"/>
        <v>z2024302</v>
      </c>
      <c r="E376" s="2" t="str">
        <f>"谭娅"</f>
        <v>谭娅</v>
      </c>
      <c r="F376" s="2" t="str">
        <f>"女"</f>
        <v>女</v>
      </c>
      <c r="G376" s="1" t="str">
        <f>"本科"</f>
        <v>本科</v>
      </c>
      <c r="H376" s="1" t="str">
        <f>"学士"</f>
        <v>学士</v>
      </c>
      <c r="I376" s="1" t="str">
        <f>"湖北民族大学"</f>
        <v>湖北民族大学</v>
      </c>
      <c r="J376" s="1" t="str">
        <f>"会计学"</f>
        <v>会计学</v>
      </c>
      <c r="K376" s="7"/>
    </row>
    <row r="377" spans="1:11" ht="36" customHeight="1">
      <c r="A377" s="7">
        <v>375</v>
      </c>
      <c r="B377" s="1" t="s">
        <v>14</v>
      </c>
      <c r="C377" s="1" t="s">
        <v>13</v>
      </c>
      <c r="D377" s="2" t="str">
        <f t="shared" si="46"/>
        <v>z2024302</v>
      </c>
      <c r="E377" s="2" t="str">
        <f>"龙城"</f>
        <v>龙城</v>
      </c>
      <c r="F377" s="2" t="str">
        <f>"男"</f>
        <v>男</v>
      </c>
      <c r="G377" s="1" t="str">
        <f>"大专"</f>
        <v>大专</v>
      </c>
      <c r="H377" s="1" t="str">
        <f>"无"</f>
        <v>无</v>
      </c>
      <c r="I377" s="1" t="str">
        <f>"湖南科技职业学院"</f>
        <v>湖南科技职业学院</v>
      </c>
      <c r="J377" s="1" t="str">
        <f>"会计"</f>
        <v>会计</v>
      </c>
      <c r="K377" s="7"/>
    </row>
    <row r="378" spans="1:11" ht="36" customHeight="1">
      <c r="A378" s="7">
        <v>376</v>
      </c>
      <c r="B378" s="1" t="s">
        <v>14</v>
      </c>
      <c r="C378" s="1" t="s">
        <v>13</v>
      </c>
      <c r="D378" s="2" t="str">
        <f t="shared" si="46"/>
        <v>z2024302</v>
      </c>
      <c r="E378" s="2" t="str">
        <f>"吴炎徽"</f>
        <v>吴炎徽</v>
      </c>
      <c r="F378" s="2" t="str">
        <f>"男"</f>
        <v>男</v>
      </c>
      <c r="G378" s="1" t="str">
        <f>"本科"</f>
        <v>本科</v>
      </c>
      <c r="H378" s="1" t="str">
        <f>"学士"</f>
        <v>学士</v>
      </c>
      <c r="I378" s="1" t="str">
        <f>"湖北恩施学院"</f>
        <v>湖北恩施学院</v>
      </c>
      <c r="J378" s="1" t="str">
        <f>"会计学"</f>
        <v>会计学</v>
      </c>
      <c r="K378" s="7"/>
    </row>
    <row r="379" spans="1:11" ht="36" customHeight="1">
      <c r="A379" s="7">
        <v>377</v>
      </c>
      <c r="B379" s="1" t="s">
        <v>14</v>
      </c>
      <c r="C379" s="1" t="s">
        <v>13</v>
      </c>
      <c r="D379" s="2" t="str">
        <f t="shared" si="46"/>
        <v>z2024302</v>
      </c>
      <c r="E379" s="2" t="str">
        <f>"黄雪"</f>
        <v>黄雪</v>
      </c>
      <c r="F379" s="2" t="str">
        <f t="shared" ref="F379:F384" si="47">"女"</f>
        <v>女</v>
      </c>
      <c r="G379" s="1" t="str">
        <f>"本科"</f>
        <v>本科</v>
      </c>
      <c r="H379" s="1" t="str">
        <f>"学士"</f>
        <v>学士</v>
      </c>
      <c r="I379" s="1" t="str">
        <f>"湖北民族学院科技学院"</f>
        <v>湖北民族学院科技学院</v>
      </c>
      <c r="J379" s="1" t="str">
        <f>"财务管理"</f>
        <v>财务管理</v>
      </c>
      <c r="K379" s="7"/>
    </row>
    <row r="380" spans="1:11" ht="36" customHeight="1">
      <c r="A380" s="7">
        <v>378</v>
      </c>
      <c r="B380" s="1" t="s">
        <v>14</v>
      </c>
      <c r="C380" s="1" t="s">
        <v>13</v>
      </c>
      <c r="D380" s="2" t="str">
        <f t="shared" si="46"/>
        <v>z2024302</v>
      </c>
      <c r="E380" s="2" t="str">
        <f>"袁芷涵"</f>
        <v>袁芷涵</v>
      </c>
      <c r="F380" s="2" t="str">
        <f t="shared" si="47"/>
        <v>女</v>
      </c>
      <c r="G380" s="1" t="str">
        <f>"本科"</f>
        <v>本科</v>
      </c>
      <c r="H380" s="1" t="str">
        <f>"无"</f>
        <v>无</v>
      </c>
      <c r="I380" s="1" t="str">
        <f>"大连财经学院"</f>
        <v>大连财经学院</v>
      </c>
      <c r="J380" s="1" t="str">
        <f>"会计学"</f>
        <v>会计学</v>
      </c>
      <c r="K380" s="7"/>
    </row>
    <row r="381" spans="1:11" ht="36" customHeight="1">
      <c r="A381" s="7">
        <v>379</v>
      </c>
      <c r="B381" s="1" t="s">
        <v>14</v>
      </c>
      <c r="C381" s="1" t="s">
        <v>13</v>
      </c>
      <c r="D381" s="2" t="str">
        <f t="shared" si="46"/>
        <v>z2024302</v>
      </c>
      <c r="E381" s="2" t="str">
        <f>"谭晓苏"</f>
        <v>谭晓苏</v>
      </c>
      <c r="F381" s="2" t="str">
        <f t="shared" si="47"/>
        <v>女</v>
      </c>
      <c r="G381" s="1" t="str">
        <f>"本科"</f>
        <v>本科</v>
      </c>
      <c r="H381" s="1" t="str">
        <f>"学士"</f>
        <v>学士</v>
      </c>
      <c r="I381" s="1" t="str">
        <f>"荆楚理工学院"</f>
        <v>荆楚理工学院</v>
      </c>
      <c r="J381" s="1" t="str">
        <f>"财务管理"</f>
        <v>财务管理</v>
      </c>
      <c r="K381" s="7"/>
    </row>
    <row r="382" spans="1:11" ht="36" customHeight="1">
      <c r="A382" s="7">
        <v>380</v>
      </c>
      <c r="B382" s="1" t="s">
        <v>14</v>
      </c>
      <c r="C382" s="1" t="s">
        <v>13</v>
      </c>
      <c r="D382" s="2" t="str">
        <f t="shared" si="46"/>
        <v>z2024302</v>
      </c>
      <c r="E382" s="2" t="str">
        <f>"秦铭"</f>
        <v>秦铭</v>
      </c>
      <c r="F382" s="2" t="str">
        <f t="shared" si="47"/>
        <v>女</v>
      </c>
      <c r="G382" s="1" t="str">
        <f>"大专"</f>
        <v>大专</v>
      </c>
      <c r="H382" s="1" t="str">
        <f>"无"</f>
        <v>无</v>
      </c>
      <c r="I382" s="1" t="str">
        <f>"南昌大学"</f>
        <v>南昌大学</v>
      </c>
      <c r="J382" s="1" t="str">
        <f>"会计电算化"</f>
        <v>会计电算化</v>
      </c>
      <c r="K382" s="7"/>
    </row>
    <row r="383" spans="1:11" ht="36" customHeight="1">
      <c r="A383" s="7">
        <v>381</v>
      </c>
      <c r="B383" s="1" t="s">
        <v>14</v>
      </c>
      <c r="C383" s="1" t="s">
        <v>13</v>
      </c>
      <c r="D383" s="2" t="str">
        <f t="shared" si="46"/>
        <v>z2024302</v>
      </c>
      <c r="E383" s="2" t="str">
        <f>"王明艳"</f>
        <v>王明艳</v>
      </c>
      <c r="F383" s="2" t="str">
        <f t="shared" si="47"/>
        <v>女</v>
      </c>
      <c r="G383" s="1" t="str">
        <f>"本科"</f>
        <v>本科</v>
      </c>
      <c r="H383" s="1" t="str">
        <f>"无"</f>
        <v>无</v>
      </c>
      <c r="I383" s="1" t="str">
        <f>"武汉科技大学"</f>
        <v>武汉科技大学</v>
      </c>
      <c r="J383" s="1" t="str">
        <f>"会计学"</f>
        <v>会计学</v>
      </c>
      <c r="K383" s="7"/>
    </row>
    <row r="384" spans="1:11" ht="36" customHeight="1">
      <c r="A384" s="7">
        <v>382</v>
      </c>
      <c r="B384" s="1" t="s">
        <v>14</v>
      </c>
      <c r="C384" s="1" t="s">
        <v>13</v>
      </c>
      <c r="D384" s="2" t="str">
        <f t="shared" si="46"/>
        <v>z2024302</v>
      </c>
      <c r="E384" s="2" t="str">
        <f>"王力"</f>
        <v>王力</v>
      </c>
      <c r="F384" s="2" t="str">
        <f t="shared" si="47"/>
        <v>女</v>
      </c>
      <c r="G384" s="1" t="str">
        <f>"大专"</f>
        <v>大专</v>
      </c>
      <c r="H384" s="1" t="str">
        <f>"无"</f>
        <v>无</v>
      </c>
      <c r="I384" s="1" t="str">
        <f>"武汉交通职业学院"</f>
        <v>武汉交通职业学院</v>
      </c>
      <c r="J384" s="1" t="str">
        <f>"会计"</f>
        <v>会计</v>
      </c>
      <c r="K384" s="7"/>
    </row>
    <row r="385" spans="1:11" ht="36" customHeight="1">
      <c r="A385" s="7">
        <v>383</v>
      </c>
      <c r="B385" s="1" t="s">
        <v>14</v>
      </c>
      <c r="C385" s="1" t="s">
        <v>13</v>
      </c>
      <c r="D385" s="2" t="str">
        <f t="shared" si="46"/>
        <v>z2024302</v>
      </c>
      <c r="E385" s="2" t="str">
        <f>"邓皓月"</f>
        <v>邓皓月</v>
      </c>
      <c r="F385" s="2" t="str">
        <f>"男"</f>
        <v>男</v>
      </c>
      <c r="G385" s="1" t="str">
        <f>"大专"</f>
        <v>大专</v>
      </c>
      <c r="H385" s="1" t="str">
        <f>"无"</f>
        <v>无</v>
      </c>
      <c r="I385" s="1" t="str">
        <f>"广西工业职业技术学院"</f>
        <v>广西工业职业技术学院</v>
      </c>
      <c r="J385" s="1" t="str">
        <f>"财务管理"</f>
        <v>财务管理</v>
      </c>
      <c r="K385" s="7"/>
    </row>
    <row r="386" spans="1:11" ht="36" customHeight="1">
      <c r="A386" s="7">
        <v>384</v>
      </c>
      <c r="B386" s="1" t="s">
        <v>14</v>
      </c>
      <c r="C386" s="1" t="s">
        <v>13</v>
      </c>
      <c r="D386" s="2" t="str">
        <f t="shared" si="46"/>
        <v>z2024302</v>
      </c>
      <c r="E386" s="2" t="str">
        <f>"石琴"</f>
        <v>石琴</v>
      </c>
      <c r="F386" s="2" t="str">
        <f t="shared" ref="F386:F392" si="48">"女"</f>
        <v>女</v>
      </c>
      <c r="G386" s="1" t="str">
        <f>"大专"</f>
        <v>大专</v>
      </c>
      <c r="H386" s="1" t="str">
        <f>"无"</f>
        <v>无</v>
      </c>
      <c r="I386" s="1" t="str">
        <f>"长江职业学院"</f>
        <v>长江职业学院</v>
      </c>
      <c r="J386" s="1" t="str">
        <f>"大数据与财务管理"</f>
        <v>大数据与财务管理</v>
      </c>
      <c r="K386" s="7"/>
    </row>
    <row r="387" spans="1:11" ht="36" customHeight="1">
      <c r="A387" s="7">
        <v>385</v>
      </c>
      <c r="B387" s="1" t="s">
        <v>14</v>
      </c>
      <c r="C387" s="1" t="s">
        <v>13</v>
      </c>
      <c r="D387" s="2" t="str">
        <f t="shared" si="46"/>
        <v>z2024302</v>
      </c>
      <c r="E387" s="2" t="str">
        <f>"肖开欣"</f>
        <v>肖开欣</v>
      </c>
      <c r="F387" s="2" t="str">
        <f t="shared" si="48"/>
        <v>女</v>
      </c>
      <c r="G387" s="1" t="str">
        <f>"硕士研究生"</f>
        <v>硕士研究生</v>
      </c>
      <c r="H387" s="1" t="str">
        <f>"硕士"</f>
        <v>硕士</v>
      </c>
      <c r="I387" s="1" t="str">
        <f>"武汉轻工大学"</f>
        <v>武汉轻工大学</v>
      </c>
      <c r="J387" s="1" t="str">
        <f>"会计"</f>
        <v>会计</v>
      </c>
      <c r="K387" s="7"/>
    </row>
    <row r="388" spans="1:11" ht="36" customHeight="1">
      <c r="A388" s="7">
        <v>386</v>
      </c>
      <c r="B388" s="1" t="s">
        <v>14</v>
      </c>
      <c r="C388" s="1" t="s">
        <v>13</v>
      </c>
      <c r="D388" s="2" t="str">
        <f t="shared" si="46"/>
        <v>z2024302</v>
      </c>
      <c r="E388" s="2" t="str">
        <f>"向修瑾"</f>
        <v>向修瑾</v>
      </c>
      <c r="F388" s="2" t="str">
        <f t="shared" si="48"/>
        <v>女</v>
      </c>
      <c r="G388" s="1" t="str">
        <f>"本科"</f>
        <v>本科</v>
      </c>
      <c r="H388" s="1" t="str">
        <f>"学士"</f>
        <v>学士</v>
      </c>
      <c r="I388" s="1" t="str">
        <f>"西南财经大学"</f>
        <v>西南财经大学</v>
      </c>
      <c r="J388" s="1" t="str">
        <f>"财务管理（双语实验班）"</f>
        <v>财务管理（双语实验班）</v>
      </c>
      <c r="K388" s="7"/>
    </row>
    <row r="389" spans="1:11" ht="36" customHeight="1">
      <c r="A389" s="7">
        <v>387</v>
      </c>
      <c r="B389" s="1" t="s">
        <v>14</v>
      </c>
      <c r="C389" s="1" t="s">
        <v>13</v>
      </c>
      <c r="D389" s="2" t="str">
        <f t="shared" si="46"/>
        <v>z2024302</v>
      </c>
      <c r="E389" s="2" t="str">
        <f>"贾娟"</f>
        <v>贾娟</v>
      </c>
      <c r="F389" s="2" t="str">
        <f t="shared" si="48"/>
        <v>女</v>
      </c>
      <c r="G389" s="1" t="str">
        <f>"本科"</f>
        <v>本科</v>
      </c>
      <c r="H389" s="1" t="str">
        <f>"学士"</f>
        <v>学士</v>
      </c>
      <c r="I389" s="1" t="str">
        <f>"湖北科技学院"</f>
        <v>湖北科技学院</v>
      </c>
      <c r="J389" s="1" t="str">
        <f>"财务管理"</f>
        <v>财务管理</v>
      </c>
      <c r="K389" s="7"/>
    </row>
    <row r="390" spans="1:11" ht="36" customHeight="1">
      <c r="A390" s="7">
        <v>388</v>
      </c>
      <c r="B390" s="1" t="s">
        <v>14</v>
      </c>
      <c r="C390" s="1" t="s">
        <v>13</v>
      </c>
      <c r="D390" s="2" t="str">
        <f t="shared" si="46"/>
        <v>z2024302</v>
      </c>
      <c r="E390" s="2" t="str">
        <f>"覃丽娅"</f>
        <v>覃丽娅</v>
      </c>
      <c r="F390" s="2" t="str">
        <f t="shared" si="48"/>
        <v>女</v>
      </c>
      <c r="G390" s="1" t="str">
        <f>"本科"</f>
        <v>本科</v>
      </c>
      <c r="H390" s="1" t="str">
        <f>"学士"</f>
        <v>学士</v>
      </c>
      <c r="I390" s="1" t="str">
        <f>"武昌工学院"</f>
        <v>武昌工学院</v>
      </c>
      <c r="J390" s="1" t="str">
        <f>"会计学（税务）"</f>
        <v>会计学（税务）</v>
      </c>
      <c r="K390" s="7"/>
    </row>
    <row r="391" spans="1:11" ht="36" customHeight="1">
      <c r="A391" s="7">
        <v>389</v>
      </c>
      <c r="B391" s="1" t="s">
        <v>14</v>
      </c>
      <c r="C391" s="1" t="s">
        <v>13</v>
      </c>
      <c r="D391" s="2" t="str">
        <f t="shared" si="46"/>
        <v>z2024302</v>
      </c>
      <c r="E391" s="2" t="str">
        <f>"熊艳丽"</f>
        <v>熊艳丽</v>
      </c>
      <c r="F391" s="2" t="str">
        <f t="shared" si="48"/>
        <v>女</v>
      </c>
      <c r="G391" s="1" t="str">
        <f>"大专"</f>
        <v>大专</v>
      </c>
      <c r="H391" s="1" t="str">
        <f>"无"</f>
        <v>无</v>
      </c>
      <c r="I391" s="1" t="str">
        <f>"湖北第二师范学院"</f>
        <v>湖北第二师范学院</v>
      </c>
      <c r="J391" s="1" t="str">
        <f>"会计"</f>
        <v>会计</v>
      </c>
      <c r="K391" s="7"/>
    </row>
    <row r="392" spans="1:11" ht="36" customHeight="1">
      <c r="A392" s="7">
        <v>390</v>
      </c>
      <c r="B392" s="1" t="s">
        <v>14</v>
      </c>
      <c r="C392" s="1" t="s">
        <v>13</v>
      </c>
      <c r="D392" s="2" t="str">
        <f t="shared" si="46"/>
        <v>z2024302</v>
      </c>
      <c r="E392" s="2" t="str">
        <f>"郭颖"</f>
        <v>郭颖</v>
      </c>
      <c r="F392" s="2" t="str">
        <f t="shared" si="48"/>
        <v>女</v>
      </c>
      <c r="G392" s="1" t="str">
        <f t="shared" ref="G392:G401" si="49">"本科"</f>
        <v>本科</v>
      </c>
      <c r="H392" s="1" t="str">
        <f t="shared" ref="H392:H401" si="50">"学士"</f>
        <v>学士</v>
      </c>
      <c r="I392" s="1" t="str">
        <f>"湖北民族大学科技学院"</f>
        <v>湖北民族大学科技学院</v>
      </c>
      <c r="J392" s="1" t="str">
        <f>"财务管理"</f>
        <v>财务管理</v>
      </c>
      <c r="K392" s="7"/>
    </row>
    <row r="393" spans="1:11" ht="36" customHeight="1">
      <c r="A393" s="7">
        <v>391</v>
      </c>
      <c r="B393" s="1" t="s">
        <v>14</v>
      </c>
      <c r="C393" s="1" t="s">
        <v>13</v>
      </c>
      <c r="D393" s="2" t="str">
        <f t="shared" si="46"/>
        <v>z2024302</v>
      </c>
      <c r="E393" s="2" t="str">
        <f>"宋江鹏"</f>
        <v>宋江鹏</v>
      </c>
      <c r="F393" s="2" t="str">
        <f>"男"</f>
        <v>男</v>
      </c>
      <c r="G393" s="1" t="str">
        <f t="shared" si="49"/>
        <v>本科</v>
      </c>
      <c r="H393" s="1" t="str">
        <f t="shared" si="50"/>
        <v>学士</v>
      </c>
      <c r="I393" s="1" t="str">
        <f>"湖北恩施学院"</f>
        <v>湖北恩施学院</v>
      </c>
      <c r="J393" s="1" t="str">
        <f>"财务管理"</f>
        <v>财务管理</v>
      </c>
      <c r="K393" s="7"/>
    </row>
    <row r="394" spans="1:11" ht="36" customHeight="1">
      <c r="A394" s="7">
        <v>392</v>
      </c>
      <c r="B394" s="1" t="s">
        <v>14</v>
      </c>
      <c r="C394" s="1" t="s">
        <v>13</v>
      </c>
      <c r="D394" s="2" t="str">
        <f t="shared" si="46"/>
        <v>z2024302</v>
      </c>
      <c r="E394" s="2" t="str">
        <f>"黄晓筱"</f>
        <v>黄晓筱</v>
      </c>
      <c r="F394" s="2" t="str">
        <f>"女"</f>
        <v>女</v>
      </c>
      <c r="G394" s="1" t="str">
        <f t="shared" si="49"/>
        <v>本科</v>
      </c>
      <c r="H394" s="1" t="str">
        <f t="shared" si="50"/>
        <v>学士</v>
      </c>
      <c r="I394" s="1" t="str">
        <f>"汉江师范学院"</f>
        <v>汉江师范学院</v>
      </c>
      <c r="J394" s="1" t="str">
        <f>"审计学"</f>
        <v>审计学</v>
      </c>
      <c r="K394" s="7"/>
    </row>
    <row r="395" spans="1:11" ht="36" customHeight="1">
      <c r="A395" s="7">
        <v>393</v>
      </c>
      <c r="B395" s="1" t="s">
        <v>14</v>
      </c>
      <c r="C395" s="1" t="s">
        <v>13</v>
      </c>
      <c r="D395" s="2" t="str">
        <f t="shared" si="46"/>
        <v>z2024302</v>
      </c>
      <c r="E395" s="2" t="str">
        <f>"罗燚"</f>
        <v>罗燚</v>
      </c>
      <c r="F395" s="2" t="str">
        <f>"男"</f>
        <v>男</v>
      </c>
      <c r="G395" s="1" t="str">
        <f t="shared" si="49"/>
        <v>本科</v>
      </c>
      <c r="H395" s="1" t="str">
        <f t="shared" si="50"/>
        <v>学士</v>
      </c>
      <c r="I395" s="1" t="str">
        <f>"北方民族大学"</f>
        <v>北方民族大学</v>
      </c>
      <c r="J395" s="1" t="str">
        <f>"财务管理"</f>
        <v>财务管理</v>
      </c>
      <c r="K395" s="7"/>
    </row>
    <row r="396" spans="1:11" ht="36" customHeight="1">
      <c r="A396" s="7">
        <v>394</v>
      </c>
      <c r="B396" s="1" t="s">
        <v>14</v>
      </c>
      <c r="C396" s="1" t="s">
        <v>13</v>
      </c>
      <c r="D396" s="2" t="str">
        <f t="shared" si="46"/>
        <v>z2024302</v>
      </c>
      <c r="E396" s="2" t="str">
        <f>"杨雪"</f>
        <v>杨雪</v>
      </c>
      <c r="F396" s="2" t="str">
        <f>"女"</f>
        <v>女</v>
      </c>
      <c r="G396" s="1" t="str">
        <f t="shared" si="49"/>
        <v>本科</v>
      </c>
      <c r="H396" s="1" t="str">
        <f t="shared" si="50"/>
        <v>学士</v>
      </c>
      <c r="I396" s="1" t="str">
        <f>"湖北第二师范学院"</f>
        <v>湖北第二师范学院</v>
      </c>
      <c r="J396" s="1" t="str">
        <f>"财务管理"</f>
        <v>财务管理</v>
      </c>
      <c r="K396" s="7"/>
    </row>
    <row r="397" spans="1:11" ht="36" customHeight="1">
      <c r="A397" s="7">
        <v>395</v>
      </c>
      <c r="B397" s="1" t="s">
        <v>14</v>
      </c>
      <c r="C397" s="1" t="s">
        <v>13</v>
      </c>
      <c r="D397" s="2" t="str">
        <f t="shared" si="46"/>
        <v>z2024302</v>
      </c>
      <c r="E397" s="2" t="str">
        <f>"孙艳"</f>
        <v>孙艳</v>
      </c>
      <c r="F397" s="2" t="str">
        <f>"女"</f>
        <v>女</v>
      </c>
      <c r="G397" s="1" t="str">
        <f t="shared" si="49"/>
        <v>本科</v>
      </c>
      <c r="H397" s="1" t="str">
        <f t="shared" si="50"/>
        <v>学士</v>
      </c>
      <c r="I397" s="1" t="str">
        <f>"江汉大学文理学院（后改名武汉文理学院）"</f>
        <v>江汉大学文理学院（后改名武汉文理学院）</v>
      </c>
      <c r="J397" s="1" t="str">
        <f>"财务管理"</f>
        <v>财务管理</v>
      </c>
      <c r="K397" s="7"/>
    </row>
    <row r="398" spans="1:11" ht="36" customHeight="1">
      <c r="A398" s="7">
        <v>396</v>
      </c>
      <c r="B398" s="1" t="s">
        <v>14</v>
      </c>
      <c r="C398" s="1" t="s">
        <v>13</v>
      </c>
      <c r="D398" s="2" t="str">
        <f t="shared" si="46"/>
        <v>z2024302</v>
      </c>
      <c r="E398" s="2" t="str">
        <f>"饶素悦"</f>
        <v>饶素悦</v>
      </c>
      <c r="F398" s="2" t="str">
        <f>"女"</f>
        <v>女</v>
      </c>
      <c r="G398" s="1" t="str">
        <f t="shared" si="49"/>
        <v>本科</v>
      </c>
      <c r="H398" s="1" t="str">
        <f t="shared" si="50"/>
        <v>学士</v>
      </c>
      <c r="I398" s="1" t="str">
        <f>"湖北民族大学"</f>
        <v>湖北民族大学</v>
      </c>
      <c r="J398" s="1" t="str">
        <f>"财务管理"</f>
        <v>财务管理</v>
      </c>
      <c r="K398" s="7"/>
    </row>
    <row r="399" spans="1:11" ht="36" customHeight="1">
      <c r="A399" s="7">
        <v>397</v>
      </c>
      <c r="B399" s="1" t="s">
        <v>14</v>
      </c>
      <c r="C399" s="1" t="s">
        <v>13</v>
      </c>
      <c r="D399" s="2" t="str">
        <f t="shared" si="46"/>
        <v>z2024302</v>
      </c>
      <c r="E399" s="2" t="str">
        <f>"杨洋"</f>
        <v>杨洋</v>
      </c>
      <c r="F399" s="2" t="str">
        <f>"女"</f>
        <v>女</v>
      </c>
      <c r="G399" s="1" t="str">
        <f t="shared" si="49"/>
        <v>本科</v>
      </c>
      <c r="H399" s="1" t="str">
        <f t="shared" si="50"/>
        <v>学士</v>
      </c>
      <c r="I399" s="1" t="str">
        <f>"武汉晴川学院"</f>
        <v>武汉晴川学院</v>
      </c>
      <c r="J399" s="1" t="str">
        <f>"财务管理"</f>
        <v>财务管理</v>
      </c>
      <c r="K399" s="7"/>
    </row>
    <row r="400" spans="1:11" ht="36" customHeight="1">
      <c r="A400" s="7">
        <v>398</v>
      </c>
      <c r="B400" s="1" t="s">
        <v>14</v>
      </c>
      <c r="C400" s="1" t="s">
        <v>13</v>
      </c>
      <c r="D400" s="2" t="str">
        <f t="shared" si="46"/>
        <v>z2024302</v>
      </c>
      <c r="E400" s="2" t="str">
        <f>"秦劲笛"</f>
        <v>秦劲笛</v>
      </c>
      <c r="F400" s="2" t="str">
        <f>"男"</f>
        <v>男</v>
      </c>
      <c r="G400" s="1" t="str">
        <f t="shared" si="49"/>
        <v>本科</v>
      </c>
      <c r="H400" s="1" t="str">
        <f t="shared" si="50"/>
        <v>学士</v>
      </c>
      <c r="I400" s="1" t="str">
        <f>"湖北民族大学"</f>
        <v>湖北民族大学</v>
      </c>
      <c r="J400" s="1" t="str">
        <f>"会计学"</f>
        <v>会计学</v>
      </c>
      <c r="K400" s="7"/>
    </row>
    <row r="401" spans="1:11" ht="36" customHeight="1">
      <c r="A401" s="7">
        <v>399</v>
      </c>
      <c r="B401" s="1" t="s">
        <v>14</v>
      </c>
      <c r="C401" s="1" t="s">
        <v>13</v>
      </c>
      <c r="D401" s="2" t="str">
        <f t="shared" si="46"/>
        <v>z2024302</v>
      </c>
      <c r="E401" s="2" t="str">
        <f>"邹金玉"</f>
        <v>邹金玉</v>
      </c>
      <c r="F401" s="2" t="str">
        <f>"女"</f>
        <v>女</v>
      </c>
      <c r="G401" s="1" t="str">
        <f t="shared" si="49"/>
        <v>本科</v>
      </c>
      <c r="H401" s="1" t="str">
        <f t="shared" si="50"/>
        <v>学士</v>
      </c>
      <c r="I401" s="1" t="str">
        <f>"荆楚理工学院"</f>
        <v>荆楚理工学院</v>
      </c>
      <c r="J401" s="1" t="str">
        <f>"财务管理"</f>
        <v>财务管理</v>
      </c>
      <c r="K401" s="7"/>
    </row>
    <row r="402" spans="1:11" ht="36" customHeight="1">
      <c r="A402" s="7">
        <v>400</v>
      </c>
      <c r="B402" s="1" t="s">
        <v>14</v>
      </c>
      <c r="C402" s="1" t="s">
        <v>13</v>
      </c>
      <c r="D402" s="2" t="str">
        <f t="shared" si="46"/>
        <v>z2024302</v>
      </c>
      <c r="E402" s="2" t="str">
        <f>"刘家宜"</f>
        <v>刘家宜</v>
      </c>
      <c r="F402" s="2" t="str">
        <f>"女"</f>
        <v>女</v>
      </c>
      <c r="G402" s="1" t="str">
        <f>"大专"</f>
        <v>大专</v>
      </c>
      <c r="H402" s="1" t="str">
        <f>"无"</f>
        <v>无</v>
      </c>
      <c r="I402" s="1" t="str">
        <f>"长沙南方职业学院"</f>
        <v>长沙南方职业学院</v>
      </c>
      <c r="J402" s="1" t="str">
        <f>"会计"</f>
        <v>会计</v>
      </c>
      <c r="K402" s="7"/>
    </row>
    <row r="403" spans="1:11" ht="36" customHeight="1">
      <c r="A403" s="7">
        <v>401</v>
      </c>
      <c r="B403" s="1" t="s">
        <v>14</v>
      </c>
      <c r="C403" s="1" t="s">
        <v>13</v>
      </c>
      <c r="D403" s="2" t="str">
        <f t="shared" si="46"/>
        <v>z2024302</v>
      </c>
      <c r="E403" s="2" t="str">
        <f>"何培曦"</f>
        <v>何培曦</v>
      </c>
      <c r="F403" s="2" t="str">
        <f>"男"</f>
        <v>男</v>
      </c>
      <c r="G403" s="1" t="str">
        <f>"大专"</f>
        <v>大专</v>
      </c>
      <c r="H403" s="1" t="str">
        <f>"无"</f>
        <v>无</v>
      </c>
      <c r="I403" s="1" t="str">
        <f>"武汉商贸职业学院"</f>
        <v>武汉商贸职业学院</v>
      </c>
      <c r="J403" s="1" t="str">
        <f>"会计"</f>
        <v>会计</v>
      </c>
      <c r="K403" s="7"/>
    </row>
    <row r="404" spans="1:11" ht="36" customHeight="1">
      <c r="A404" s="7">
        <v>402</v>
      </c>
      <c r="B404" s="1" t="s">
        <v>14</v>
      </c>
      <c r="C404" s="1" t="s">
        <v>13</v>
      </c>
      <c r="D404" s="2" t="str">
        <f t="shared" si="46"/>
        <v>z2024302</v>
      </c>
      <c r="E404" s="2" t="str">
        <f>"胡慧明"</f>
        <v>胡慧明</v>
      </c>
      <c r="F404" s="2" t="str">
        <f>"男"</f>
        <v>男</v>
      </c>
      <c r="G404" s="1" t="str">
        <f t="shared" ref="G404:G409" si="51">"本科"</f>
        <v>本科</v>
      </c>
      <c r="H404" s="1" t="str">
        <f t="shared" ref="H404:H409" si="52">"学士"</f>
        <v>学士</v>
      </c>
      <c r="I404" s="1" t="str">
        <f>"重庆文理学院"</f>
        <v>重庆文理学院</v>
      </c>
      <c r="J404" s="1" t="str">
        <f>"财务管理"</f>
        <v>财务管理</v>
      </c>
      <c r="K404" s="7"/>
    </row>
    <row r="405" spans="1:11" ht="36" customHeight="1">
      <c r="A405" s="7">
        <v>403</v>
      </c>
      <c r="B405" s="1" t="s">
        <v>14</v>
      </c>
      <c r="C405" s="1" t="s">
        <v>13</v>
      </c>
      <c r="D405" s="2" t="str">
        <f t="shared" si="46"/>
        <v>z2024302</v>
      </c>
      <c r="E405" s="2" t="str">
        <f>"解丰懋"</f>
        <v>解丰懋</v>
      </c>
      <c r="F405" s="2" t="str">
        <f>"男"</f>
        <v>男</v>
      </c>
      <c r="G405" s="1" t="str">
        <f t="shared" si="51"/>
        <v>本科</v>
      </c>
      <c r="H405" s="1" t="str">
        <f t="shared" si="52"/>
        <v>学士</v>
      </c>
      <c r="I405" s="1" t="str">
        <f>"华夏理工学院"</f>
        <v>华夏理工学院</v>
      </c>
      <c r="J405" s="1" t="str">
        <f>"会计学"</f>
        <v>会计学</v>
      </c>
      <c r="K405" s="7"/>
    </row>
    <row r="406" spans="1:11" ht="36" customHeight="1">
      <c r="A406" s="7">
        <v>404</v>
      </c>
      <c r="B406" s="1" t="s">
        <v>14</v>
      </c>
      <c r="C406" s="1" t="s">
        <v>13</v>
      </c>
      <c r="D406" s="2" t="str">
        <f t="shared" si="46"/>
        <v>z2024302</v>
      </c>
      <c r="E406" s="2" t="str">
        <f>"何淑琴"</f>
        <v>何淑琴</v>
      </c>
      <c r="F406" s="2" t="str">
        <f>"女"</f>
        <v>女</v>
      </c>
      <c r="G406" s="1" t="str">
        <f t="shared" si="51"/>
        <v>本科</v>
      </c>
      <c r="H406" s="1" t="str">
        <f t="shared" si="52"/>
        <v>学士</v>
      </c>
      <c r="I406" s="1" t="str">
        <f>"南京财经大学红山学院"</f>
        <v>南京财经大学红山学院</v>
      </c>
      <c r="J406" s="1" t="str">
        <f>"会计学"</f>
        <v>会计学</v>
      </c>
      <c r="K406" s="7"/>
    </row>
    <row r="407" spans="1:11" ht="36" customHeight="1">
      <c r="A407" s="7">
        <v>405</v>
      </c>
      <c r="B407" s="1" t="s">
        <v>14</v>
      </c>
      <c r="C407" s="1" t="s">
        <v>13</v>
      </c>
      <c r="D407" s="2" t="str">
        <f t="shared" si="46"/>
        <v>z2024302</v>
      </c>
      <c r="E407" s="2" t="str">
        <f>"刘小国"</f>
        <v>刘小国</v>
      </c>
      <c r="F407" s="2" t="str">
        <f>"男"</f>
        <v>男</v>
      </c>
      <c r="G407" s="1" t="str">
        <f t="shared" si="51"/>
        <v>本科</v>
      </c>
      <c r="H407" s="1" t="str">
        <f t="shared" si="52"/>
        <v>学士</v>
      </c>
      <c r="I407" s="1" t="str">
        <f>"三峡大学"</f>
        <v>三峡大学</v>
      </c>
      <c r="J407" s="1" t="str">
        <f>"财务管理"</f>
        <v>财务管理</v>
      </c>
      <c r="K407" s="7"/>
    </row>
    <row r="408" spans="1:11" ht="36" customHeight="1">
      <c r="A408" s="7">
        <v>406</v>
      </c>
      <c r="B408" s="1" t="s">
        <v>14</v>
      </c>
      <c r="C408" s="1" t="s">
        <v>13</v>
      </c>
      <c r="D408" s="2" t="str">
        <f t="shared" si="46"/>
        <v>z2024302</v>
      </c>
      <c r="E408" s="2" t="str">
        <f>"左安琦"</f>
        <v>左安琦</v>
      </c>
      <c r="F408" s="2" t="str">
        <f>"女"</f>
        <v>女</v>
      </c>
      <c r="G408" s="1" t="str">
        <f t="shared" si="51"/>
        <v>本科</v>
      </c>
      <c r="H408" s="1" t="str">
        <f t="shared" si="52"/>
        <v>学士</v>
      </c>
      <c r="I408" s="1" t="str">
        <f>"湖北民族大学科技学院"</f>
        <v>湖北民族大学科技学院</v>
      </c>
      <c r="J408" s="1" t="str">
        <f>"财务管理"</f>
        <v>财务管理</v>
      </c>
      <c r="K408" s="7"/>
    </row>
    <row r="409" spans="1:11" ht="36" customHeight="1">
      <c r="A409" s="7">
        <v>407</v>
      </c>
      <c r="B409" s="1" t="s">
        <v>14</v>
      </c>
      <c r="C409" s="1" t="s">
        <v>13</v>
      </c>
      <c r="D409" s="2" t="str">
        <f t="shared" si="46"/>
        <v>z2024302</v>
      </c>
      <c r="E409" s="2" t="str">
        <f>"杨璇"</f>
        <v>杨璇</v>
      </c>
      <c r="F409" s="2" t="str">
        <f>"女"</f>
        <v>女</v>
      </c>
      <c r="G409" s="1" t="str">
        <f t="shared" si="51"/>
        <v>本科</v>
      </c>
      <c r="H409" s="1" t="str">
        <f t="shared" si="52"/>
        <v>学士</v>
      </c>
      <c r="I409" s="1" t="str">
        <f>"湖北第二师范学院"</f>
        <v>湖北第二师范学院</v>
      </c>
      <c r="J409" s="1" t="str">
        <f>"财务管理"</f>
        <v>财务管理</v>
      </c>
      <c r="K409" s="7"/>
    </row>
    <row r="410" spans="1:11" ht="36" customHeight="1">
      <c r="A410" s="7">
        <v>408</v>
      </c>
      <c r="B410" s="1" t="s">
        <v>14</v>
      </c>
      <c r="C410" s="1" t="s">
        <v>13</v>
      </c>
      <c r="D410" s="2" t="str">
        <f t="shared" si="46"/>
        <v>z2024302</v>
      </c>
      <c r="E410" s="2" t="str">
        <f>"田甜"</f>
        <v>田甜</v>
      </c>
      <c r="F410" s="2" t="str">
        <f>"女"</f>
        <v>女</v>
      </c>
      <c r="G410" s="1" t="str">
        <f>"大专"</f>
        <v>大专</v>
      </c>
      <c r="H410" s="1" t="str">
        <f>"无"</f>
        <v>无</v>
      </c>
      <c r="I410" s="1" t="str">
        <f>"武汉工程职业技术学院"</f>
        <v>武汉工程职业技术学院</v>
      </c>
      <c r="J410" s="1" t="str">
        <f>"会计"</f>
        <v>会计</v>
      </c>
      <c r="K410" s="7"/>
    </row>
    <row r="411" spans="1:11" ht="36" customHeight="1">
      <c r="A411" s="7">
        <v>409</v>
      </c>
      <c r="B411" s="1" t="s">
        <v>14</v>
      </c>
      <c r="C411" s="1" t="s">
        <v>13</v>
      </c>
      <c r="D411" s="2" t="str">
        <f t="shared" si="46"/>
        <v>z2024302</v>
      </c>
      <c r="E411" s="2" t="str">
        <f>"田森林"</f>
        <v>田森林</v>
      </c>
      <c r="F411" s="2" t="str">
        <f>"男"</f>
        <v>男</v>
      </c>
      <c r="G411" s="1" t="str">
        <f t="shared" ref="G411:G416" si="53">"本科"</f>
        <v>本科</v>
      </c>
      <c r="H411" s="1" t="str">
        <f t="shared" ref="H411:H416" si="54">"学士"</f>
        <v>学士</v>
      </c>
      <c r="I411" s="1" t="str">
        <f>"湖北民族大学"</f>
        <v>湖北民族大学</v>
      </c>
      <c r="J411" s="1" t="str">
        <f>"财务管理"</f>
        <v>财务管理</v>
      </c>
      <c r="K411" s="7"/>
    </row>
    <row r="412" spans="1:11" ht="36" customHeight="1">
      <c r="A412" s="7">
        <v>410</v>
      </c>
      <c r="B412" s="1" t="s">
        <v>14</v>
      </c>
      <c r="C412" s="1" t="s">
        <v>13</v>
      </c>
      <c r="D412" s="2" t="str">
        <f t="shared" si="46"/>
        <v>z2024302</v>
      </c>
      <c r="E412" s="2" t="str">
        <f>"兰绍美"</f>
        <v>兰绍美</v>
      </c>
      <c r="F412" s="2" t="str">
        <f t="shared" ref="F412:F425" si="55">"女"</f>
        <v>女</v>
      </c>
      <c r="G412" s="1" t="str">
        <f t="shared" si="53"/>
        <v>本科</v>
      </c>
      <c r="H412" s="1" t="str">
        <f t="shared" si="54"/>
        <v>学士</v>
      </c>
      <c r="I412" s="1" t="str">
        <f>"湖北民族大学"</f>
        <v>湖北民族大学</v>
      </c>
      <c r="J412" s="1" t="str">
        <f>"财务管理"</f>
        <v>财务管理</v>
      </c>
      <c r="K412" s="7"/>
    </row>
    <row r="413" spans="1:11" ht="36" customHeight="1">
      <c r="A413" s="7">
        <v>411</v>
      </c>
      <c r="B413" s="1" t="s">
        <v>14</v>
      </c>
      <c r="C413" s="1" t="s">
        <v>13</v>
      </c>
      <c r="D413" s="2" t="str">
        <f t="shared" si="46"/>
        <v>z2024302</v>
      </c>
      <c r="E413" s="2" t="str">
        <f>"游琛"</f>
        <v>游琛</v>
      </c>
      <c r="F413" s="2" t="str">
        <f t="shared" si="55"/>
        <v>女</v>
      </c>
      <c r="G413" s="1" t="str">
        <f t="shared" si="53"/>
        <v>本科</v>
      </c>
      <c r="H413" s="1" t="str">
        <f t="shared" si="54"/>
        <v>学士</v>
      </c>
      <c r="I413" s="1" t="str">
        <f>"武汉生物工程学院"</f>
        <v>武汉生物工程学院</v>
      </c>
      <c r="J413" s="1" t="str">
        <f>"财务管理"</f>
        <v>财务管理</v>
      </c>
      <c r="K413" s="7"/>
    </row>
    <row r="414" spans="1:11" ht="36" customHeight="1">
      <c r="A414" s="7">
        <v>412</v>
      </c>
      <c r="B414" s="1" t="s">
        <v>14</v>
      </c>
      <c r="C414" s="1" t="s">
        <v>13</v>
      </c>
      <c r="D414" s="2" t="str">
        <f t="shared" si="46"/>
        <v>z2024302</v>
      </c>
      <c r="E414" s="2" t="str">
        <f>"胡心怡"</f>
        <v>胡心怡</v>
      </c>
      <c r="F414" s="2" t="str">
        <f t="shared" si="55"/>
        <v>女</v>
      </c>
      <c r="G414" s="1" t="str">
        <f t="shared" si="53"/>
        <v>本科</v>
      </c>
      <c r="H414" s="1" t="str">
        <f t="shared" si="54"/>
        <v>学士</v>
      </c>
      <c r="I414" s="1" t="str">
        <f>"武汉科技大学城市学院"</f>
        <v>武汉科技大学城市学院</v>
      </c>
      <c r="J414" s="1" t="str">
        <f>"会计学"</f>
        <v>会计学</v>
      </c>
      <c r="K414" s="7"/>
    </row>
    <row r="415" spans="1:11" ht="36" customHeight="1">
      <c r="A415" s="7">
        <v>413</v>
      </c>
      <c r="B415" s="1" t="s">
        <v>14</v>
      </c>
      <c r="C415" s="1" t="s">
        <v>13</v>
      </c>
      <c r="D415" s="2" t="str">
        <f t="shared" si="46"/>
        <v>z2024302</v>
      </c>
      <c r="E415" s="2" t="str">
        <f>"张春红"</f>
        <v>张春红</v>
      </c>
      <c r="F415" s="2" t="str">
        <f t="shared" si="55"/>
        <v>女</v>
      </c>
      <c r="G415" s="1" t="str">
        <f t="shared" si="53"/>
        <v>本科</v>
      </c>
      <c r="H415" s="1" t="str">
        <f t="shared" si="54"/>
        <v>学士</v>
      </c>
      <c r="I415" s="1" t="str">
        <f>"武汉工商学院"</f>
        <v>武汉工商学院</v>
      </c>
      <c r="J415" s="1" t="str">
        <f>"会计学"</f>
        <v>会计学</v>
      </c>
      <c r="K415" s="7"/>
    </row>
    <row r="416" spans="1:11" ht="36" customHeight="1">
      <c r="A416" s="7">
        <v>414</v>
      </c>
      <c r="B416" s="1" t="s">
        <v>14</v>
      </c>
      <c r="C416" s="1" t="s">
        <v>13</v>
      </c>
      <c r="D416" s="2" t="str">
        <f t="shared" si="46"/>
        <v>z2024302</v>
      </c>
      <c r="E416" s="2" t="str">
        <f>"张静怡"</f>
        <v>张静怡</v>
      </c>
      <c r="F416" s="2" t="str">
        <f t="shared" si="55"/>
        <v>女</v>
      </c>
      <c r="G416" s="1" t="str">
        <f t="shared" si="53"/>
        <v>本科</v>
      </c>
      <c r="H416" s="1" t="str">
        <f t="shared" si="54"/>
        <v>学士</v>
      </c>
      <c r="I416" s="1" t="str">
        <f>"武汉工程科技学院"</f>
        <v>武汉工程科技学院</v>
      </c>
      <c r="J416" s="1" t="str">
        <f>"会计学"</f>
        <v>会计学</v>
      </c>
      <c r="K416" s="7"/>
    </row>
    <row r="417" spans="1:11" ht="36" customHeight="1">
      <c r="A417" s="7">
        <v>415</v>
      </c>
      <c r="B417" s="1" t="s">
        <v>14</v>
      </c>
      <c r="C417" s="1" t="s">
        <v>13</v>
      </c>
      <c r="D417" s="2" t="str">
        <f t="shared" si="46"/>
        <v>z2024302</v>
      </c>
      <c r="E417" s="2" t="str">
        <f>"程俊杰"</f>
        <v>程俊杰</v>
      </c>
      <c r="F417" s="2" t="str">
        <f t="shared" si="55"/>
        <v>女</v>
      </c>
      <c r="G417" s="1" t="str">
        <f>"大专"</f>
        <v>大专</v>
      </c>
      <c r="H417" s="1" t="str">
        <f>"无"</f>
        <v>无</v>
      </c>
      <c r="I417" s="1" t="str">
        <f>"重庆城市管理职业学院"</f>
        <v>重庆城市管理职业学院</v>
      </c>
      <c r="J417" s="1" t="str">
        <f>"会计"</f>
        <v>会计</v>
      </c>
      <c r="K417" s="7"/>
    </row>
    <row r="418" spans="1:11" ht="36" customHeight="1">
      <c r="A418" s="7">
        <v>416</v>
      </c>
      <c r="B418" s="1" t="s">
        <v>14</v>
      </c>
      <c r="C418" s="1" t="s">
        <v>13</v>
      </c>
      <c r="D418" s="2" t="str">
        <f t="shared" si="46"/>
        <v>z2024302</v>
      </c>
      <c r="E418" s="2" t="str">
        <f>"朱晴"</f>
        <v>朱晴</v>
      </c>
      <c r="F418" s="2" t="str">
        <f t="shared" si="55"/>
        <v>女</v>
      </c>
      <c r="G418" s="1" t="str">
        <f>"本科"</f>
        <v>本科</v>
      </c>
      <c r="H418" s="1" t="str">
        <f>"学士"</f>
        <v>学士</v>
      </c>
      <c r="I418" s="1" t="str">
        <f>"三峡大学科技学院"</f>
        <v>三峡大学科技学院</v>
      </c>
      <c r="J418" s="1" t="str">
        <f>"会计学"</f>
        <v>会计学</v>
      </c>
      <c r="K418" s="7"/>
    </row>
    <row r="419" spans="1:11" ht="36" customHeight="1">
      <c r="A419" s="7">
        <v>417</v>
      </c>
      <c r="B419" s="1" t="s">
        <v>14</v>
      </c>
      <c r="C419" s="1" t="s">
        <v>13</v>
      </c>
      <c r="D419" s="2" t="str">
        <f t="shared" si="46"/>
        <v>z2024302</v>
      </c>
      <c r="E419" s="2" t="str">
        <f>"马倩"</f>
        <v>马倩</v>
      </c>
      <c r="F419" s="2" t="str">
        <f t="shared" si="55"/>
        <v>女</v>
      </c>
      <c r="G419" s="1" t="str">
        <f>"本科"</f>
        <v>本科</v>
      </c>
      <c r="H419" s="1" t="str">
        <f>"学士"</f>
        <v>学士</v>
      </c>
      <c r="I419" s="1" t="str">
        <f>"武汉工商学院"</f>
        <v>武汉工商学院</v>
      </c>
      <c r="J419" s="1" t="str">
        <f>"会计学"</f>
        <v>会计学</v>
      </c>
      <c r="K419" s="7"/>
    </row>
    <row r="420" spans="1:11" ht="36" customHeight="1">
      <c r="A420" s="7">
        <v>418</v>
      </c>
      <c r="B420" s="1" t="s">
        <v>14</v>
      </c>
      <c r="C420" s="1" t="s">
        <v>13</v>
      </c>
      <c r="D420" s="2" t="str">
        <f t="shared" si="46"/>
        <v>z2024302</v>
      </c>
      <c r="E420" s="2" t="str">
        <f>"王禹心"</f>
        <v>王禹心</v>
      </c>
      <c r="F420" s="2" t="str">
        <f t="shared" si="55"/>
        <v>女</v>
      </c>
      <c r="G420" s="1" t="str">
        <f>"本科"</f>
        <v>本科</v>
      </c>
      <c r="H420" s="1" t="str">
        <f>"学士"</f>
        <v>学士</v>
      </c>
      <c r="I420" s="1" t="str">
        <f>"湖北经济学院法商学院"</f>
        <v>湖北经济学院法商学院</v>
      </c>
      <c r="J420" s="1" t="str">
        <f>"财务管理"</f>
        <v>财务管理</v>
      </c>
      <c r="K420" s="7"/>
    </row>
    <row r="421" spans="1:11" ht="36" customHeight="1">
      <c r="A421" s="7">
        <v>419</v>
      </c>
      <c r="B421" s="1" t="s">
        <v>14</v>
      </c>
      <c r="C421" s="1" t="s">
        <v>13</v>
      </c>
      <c r="D421" s="2" t="str">
        <f t="shared" si="46"/>
        <v>z2024302</v>
      </c>
      <c r="E421" s="2" t="str">
        <f>"姚晶鑫"</f>
        <v>姚晶鑫</v>
      </c>
      <c r="F421" s="2" t="str">
        <f t="shared" si="55"/>
        <v>女</v>
      </c>
      <c r="G421" s="1" t="str">
        <f>"大专"</f>
        <v>大专</v>
      </c>
      <c r="H421" s="1" t="str">
        <f>"无"</f>
        <v>无</v>
      </c>
      <c r="I421" s="1" t="str">
        <f>"黄冈职业技术学院"</f>
        <v>黄冈职业技术学院</v>
      </c>
      <c r="J421" s="1" t="str">
        <f>"会计"</f>
        <v>会计</v>
      </c>
      <c r="K421" s="7"/>
    </row>
    <row r="422" spans="1:11" ht="36" customHeight="1">
      <c r="A422" s="7">
        <v>420</v>
      </c>
      <c r="B422" s="1" t="s">
        <v>14</v>
      </c>
      <c r="C422" s="1" t="s">
        <v>13</v>
      </c>
      <c r="D422" s="2" t="str">
        <f t="shared" si="46"/>
        <v>z2024302</v>
      </c>
      <c r="E422" s="2" t="str">
        <f>"谭莉"</f>
        <v>谭莉</v>
      </c>
      <c r="F422" s="2" t="str">
        <f t="shared" si="55"/>
        <v>女</v>
      </c>
      <c r="G422" s="1" t="str">
        <f t="shared" ref="G422:G430" si="56">"本科"</f>
        <v>本科</v>
      </c>
      <c r="H422" s="1" t="str">
        <f>"学士"</f>
        <v>学士</v>
      </c>
      <c r="I422" s="1" t="str">
        <f>"湖北民族大学科技学院"</f>
        <v>湖北民族大学科技学院</v>
      </c>
      <c r="J422" s="1" t="str">
        <f>"财务管理"</f>
        <v>财务管理</v>
      </c>
      <c r="K422" s="7"/>
    </row>
    <row r="423" spans="1:11" ht="36" customHeight="1">
      <c r="A423" s="7">
        <v>421</v>
      </c>
      <c r="B423" s="1" t="s">
        <v>14</v>
      </c>
      <c r="C423" s="1" t="s">
        <v>13</v>
      </c>
      <c r="D423" s="2" t="str">
        <f t="shared" si="46"/>
        <v>z2024302</v>
      </c>
      <c r="E423" s="2" t="str">
        <f>"徐艳"</f>
        <v>徐艳</v>
      </c>
      <c r="F423" s="2" t="str">
        <f t="shared" si="55"/>
        <v>女</v>
      </c>
      <c r="G423" s="1" t="str">
        <f t="shared" si="56"/>
        <v>本科</v>
      </c>
      <c r="H423" s="1" t="str">
        <f>"无"</f>
        <v>无</v>
      </c>
      <c r="I423" s="1" t="str">
        <f>"三峡大学"</f>
        <v>三峡大学</v>
      </c>
      <c r="J423" s="1" t="str">
        <f>"财务管理"</f>
        <v>财务管理</v>
      </c>
      <c r="K423" s="7"/>
    </row>
    <row r="424" spans="1:11" ht="36" customHeight="1">
      <c r="A424" s="7">
        <v>422</v>
      </c>
      <c r="B424" s="1" t="s">
        <v>14</v>
      </c>
      <c r="C424" s="1" t="s">
        <v>13</v>
      </c>
      <c r="D424" s="2" t="str">
        <f t="shared" si="46"/>
        <v>z2024302</v>
      </c>
      <c r="E424" s="2" t="str">
        <f>"陈倩"</f>
        <v>陈倩</v>
      </c>
      <c r="F424" s="2" t="str">
        <f t="shared" si="55"/>
        <v>女</v>
      </c>
      <c r="G424" s="1" t="str">
        <f t="shared" si="56"/>
        <v>本科</v>
      </c>
      <c r="H424" s="1" t="str">
        <f>"学士"</f>
        <v>学士</v>
      </c>
      <c r="I424" s="1" t="str">
        <f>"西南政法大学"</f>
        <v>西南政法大学</v>
      </c>
      <c r="J424" s="1" t="str">
        <f>"审计学"</f>
        <v>审计学</v>
      </c>
      <c r="K424" s="7"/>
    </row>
    <row r="425" spans="1:11" ht="36" customHeight="1">
      <c r="A425" s="7">
        <v>423</v>
      </c>
      <c r="B425" s="1" t="s">
        <v>14</v>
      </c>
      <c r="C425" s="1" t="s">
        <v>13</v>
      </c>
      <c r="D425" s="2" t="str">
        <f t="shared" si="46"/>
        <v>z2024302</v>
      </c>
      <c r="E425" s="2" t="str">
        <f>"吴兴琪"</f>
        <v>吴兴琪</v>
      </c>
      <c r="F425" s="2" t="str">
        <f t="shared" si="55"/>
        <v>女</v>
      </c>
      <c r="G425" s="1" t="str">
        <f t="shared" si="56"/>
        <v>本科</v>
      </c>
      <c r="H425" s="1" t="str">
        <f>"学士"</f>
        <v>学士</v>
      </c>
      <c r="I425" s="1" t="str">
        <f>"武汉工商学院"</f>
        <v>武汉工商学院</v>
      </c>
      <c r="J425" s="1" t="str">
        <f>"会计学"</f>
        <v>会计学</v>
      </c>
      <c r="K425" s="7"/>
    </row>
    <row r="426" spans="1:11" ht="36" customHeight="1">
      <c r="A426" s="7">
        <v>424</v>
      </c>
      <c r="B426" s="1" t="s">
        <v>14</v>
      </c>
      <c r="C426" s="1" t="s">
        <v>13</v>
      </c>
      <c r="D426" s="2" t="str">
        <f t="shared" si="46"/>
        <v>z2024302</v>
      </c>
      <c r="E426" s="2" t="str">
        <f>"张棣"</f>
        <v>张棣</v>
      </c>
      <c r="F426" s="2" t="str">
        <f>"男"</f>
        <v>男</v>
      </c>
      <c r="G426" s="1" t="str">
        <f t="shared" si="56"/>
        <v>本科</v>
      </c>
      <c r="H426" s="1" t="str">
        <f>"学士"</f>
        <v>学士</v>
      </c>
      <c r="I426" s="1" t="str">
        <f>"湖北民族学院科技学院"</f>
        <v>湖北民族学院科技学院</v>
      </c>
      <c r="J426" s="1" t="str">
        <f>"财务管理"</f>
        <v>财务管理</v>
      </c>
      <c r="K426" s="7"/>
    </row>
    <row r="427" spans="1:11" ht="36" customHeight="1">
      <c r="A427" s="7">
        <v>425</v>
      </c>
      <c r="B427" s="1" t="s">
        <v>14</v>
      </c>
      <c r="C427" s="1" t="s">
        <v>13</v>
      </c>
      <c r="D427" s="2" t="str">
        <f t="shared" si="46"/>
        <v>z2024302</v>
      </c>
      <c r="E427" s="2" t="str">
        <f>"李欢"</f>
        <v>李欢</v>
      </c>
      <c r="F427" s="2" t="str">
        <f>"女"</f>
        <v>女</v>
      </c>
      <c r="G427" s="1" t="str">
        <f t="shared" si="56"/>
        <v>本科</v>
      </c>
      <c r="H427" s="1" t="str">
        <f>"学士"</f>
        <v>学士</v>
      </c>
      <c r="I427" s="1" t="str">
        <f>"湖北民族大学"</f>
        <v>湖北民族大学</v>
      </c>
      <c r="J427" s="1" t="str">
        <f>"会计学"</f>
        <v>会计学</v>
      </c>
      <c r="K427" s="7"/>
    </row>
    <row r="428" spans="1:11" ht="36" customHeight="1">
      <c r="A428" s="7">
        <v>426</v>
      </c>
      <c r="B428" s="1" t="s">
        <v>14</v>
      </c>
      <c r="C428" s="1" t="s">
        <v>13</v>
      </c>
      <c r="D428" s="2" t="str">
        <f t="shared" si="46"/>
        <v>z2024302</v>
      </c>
      <c r="E428" s="2" t="str">
        <f>"陈慧"</f>
        <v>陈慧</v>
      </c>
      <c r="F428" s="2" t="str">
        <f>"女"</f>
        <v>女</v>
      </c>
      <c r="G428" s="1" t="str">
        <f t="shared" si="56"/>
        <v>本科</v>
      </c>
      <c r="H428" s="1" t="str">
        <f>"学士"</f>
        <v>学士</v>
      </c>
      <c r="I428" s="1" t="str">
        <f>"武汉工商学院"</f>
        <v>武汉工商学院</v>
      </c>
      <c r="J428" s="1" t="str">
        <f>"财务管理"</f>
        <v>财务管理</v>
      </c>
      <c r="K428" s="7"/>
    </row>
    <row r="429" spans="1:11" ht="36" customHeight="1">
      <c r="A429" s="7">
        <v>427</v>
      </c>
      <c r="B429" s="1" t="s">
        <v>14</v>
      </c>
      <c r="C429" s="1" t="s">
        <v>13</v>
      </c>
      <c r="D429" s="2" t="str">
        <f t="shared" si="46"/>
        <v>z2024302</v>
      </c>
      <c r="E429" s="2" t="str">
        <f>"张慧"</f>
        <v>张慧</v>
      </c>
      <c r="F429" s="2" t="str">
        <f>"女"</f>
        <v>女</v>
      </c>
      <c r="G429" s="1" t="str">
        <f t="shared" si="56"/>
        <v>本科</v>
      </c>
      <c r="H429" s="1" t="str">
        <f>"无"</f>
        <v>无</v>
      </c>
      <c r="I429" s="1" t="str">
        <f>"湖北民族大学"</f>
        <v>湖北民族大学</v>
      </c>
      <c r="J429" s="1" t="str">
        <f>"财务管理"</f>
        <v>财务管理</v>
      </c>
      <c r="K429" s="7"/>
    </row>
    <row r="430" spans="1:11" ht="36" customHeight="1">
      <c r="A430" s="7">
        <v>428</v>
      </c>
      <c r="B430" s="1" t="s">
        <v>14</v>
      </c>
      <c r="C430" s="1" t="s">
        <v>13</v>
      </c>
      <c r="D430" s="2" t="str">
        <f t="shared" si="46"/>
        <v>z2024302</v>
      </c>
      <c r="E430" s="2" t="str">
        <f>"文熙林"</f>
        <v>文熙林</v>
      </c>
      <c r="F430" s="2" t="str">
        <f>"男"</f>
        <v>男</v>
      </c>
      <c r="G430" s="1" t="str">
        <f t="shared" si="56"/>
        <v>本科</v>
      </c>
      <c r="H430" s="1" t="str">
        <f>"学士"</f>
        <v>学士</v>
      </c>
      <c r="I430" s="1" t="str">
        <f>"南昌工学院"</f>
        <v>南昌工学院</v>
      </c>
      <c r="J430" s="1" t="str">
        <f>"审计学"</f>
        <v>审计学</v>
      </c>
      <c r="K430" s="7"/>
    </row>
    <row r="431" spans="1:11" ht="36" customHeight="1">
      <c r="A431" s="7">
        <v>429</v>
      </c>
      <c r="B431" s="1" t="s">
        <v>14</v>
      </c>
      <c r="C431" s="1" t="s">
        <v>13</v>
      </c>
      <c r="D431" s="2" t="str">
        <f t="shared" si="46"/>
        <v>z2024302</v>
      </c>
      <c r="E431" s="2" t="str">
        <f>"张婷"</f>
        <v>张婷</v>
      </c>
      <c r="F431" s="2" t="str">
        <f t="shared" ref="F431:F438" si="57">"女"</f>
        <v>女</v>
      </c>
      <c r="G431" s="1" t="str">
        <f>"大专"</f>
        <v>大专</v>
      </c>
      <c r="H431" s="1" t="str">
        <f>"无"</f>
        <v>无</v>
      </c>
      <c r="I431" s="1" t="str">
        <f>"恩施职业技术学院"</f>
        <v>恩施职业技术学院</v>
      </c>
      <c r="J431" s="1" t="str">
        <f>"会计"</f>
        <v>会计</v>
      </c>
      <c r="K431" s="7"/>
    </row>
    <row r="432" spans="1:11" ht="36" customHeight="1">
      <c r="A432" s="7">
        <v>430</v>
      </c>
      <c r="B432" s="1" t="s">
        <v>14</v>
      </c>
      <c r="C432" s="1" t="s">
        <v>13</v>
      </c>
      <c r="D432" s="2" t="str">
        <f t="shared" si="46"/>
        <v>z2024302</v>
      </c>
      <c r="E432" s="2" t="str">
        <f>"谭发苗"</f>
        <v>谭发苗</v>
      </c>
      <c r="F432" s="2" t="str">
        <f t="shared" si="57"/>
        <v>女</v>
      </c>
      <c r="G432" s="1" t="str">
        <f>"大专"</f>
        <v>大专</v>
      </c>
      <c r="H432" s="1" t="str">
        <f>"无"</f>
        <v>无</v>
      </c>
      <c r="I432" s="1" t="str">
        <f>"重庆电子工程职业学院"</f>
        <v>重庆电子工程职业学院</v>
      </c>
      <c r="J432" s="1" t="str">
        <f>"会计信息管理"</f>
        <v>会计信息管理</v>
      </c>
      <c r="K432" s="7"/>
    </row>
    <row r="433" spans="1:11" ht="36" customHeight="1">
      <c r="A433" s="7">
        <v>431</v>
      </c>
      <c r="B433" s="1" t="s">
        <v>14</v>
      </c>
      <c r="C433" s="1" t="s">
        <v>13</v>
      </c>
      <c r="D433" s="2" t="str">
        <f t="shared" si="46"/>
        <v>z2024302</v>
      </c>
      <c r="E433" s="2" t="str">
        <f>"张涠"</f>
        <v>张涠</v>
      </c>
      <c r="F433" s="2" t="str">
        <f t="shared" si="57"/>
        <v>女</v>
      </c>
      <c r="G433" s="1" t="str">
        <f>"大专"</f>
        <v>大专</v>
      </c>
      <c r="H433" s="1" t="str">
        <f>"无"</f>
        <v>无</v>
      </c>
      <c r="I433" s="1" t="str">
        <f>"重庆商务职业学院"</f>
        <v>重庆商务职业学院</v>
      </c>
      <c r="J433" s="1" t="str">
        <f>"会计"</f>
        <v>会计</v>
      </c>
      <c r="K433" s="7"/>
    </row>
    <row r="434" spans="1:11" ht="36" customHeight="1">
      <c r="A434" s="7">
        <v>432</v>
      </c>
      <c r="B434" s="1" t="s">
        <v>14</v>
      </c>
      <c r="C434" s="1" t="s">
        <v>13</v>
      </c>
      <c r="D434" s="2" t="str">
        <f t="shared" si="46"/>
        <v>z2024302</v>
      </c>
      <c r="E434" s="2" t="str">
        <f>"胡浪"</f>
        <v>胡浪</v>
      </c>
      <c r="F434" s="2" t="str">
        <f t="shared" si="57"/>
        <v>女</v>
      </c>
      <c r="G434" s="1" t="str">
        <f>"本科"</f>
        <v>本科</v>
      </c>
      <c r="H434" s="1" t="str">
        <f>"学士"</f>
        <v>学士</v>
      </c>
      <c r="I434" s="1" t="str">
        <f>"长江大学"</f>
        <v>长江大学</v>
      </c>
      <c r="J434" s="1" t="str">
        <f>"会计学"</f>
        <v>会计学</v>
      </c>
      <c r="K434" s="7"/>
    </row>
    <row r="435" spans="1:11" ht="36" customHeight="1">
      <c r="A435" s="7">
        <v>433</v>
      </c>
      <c r="B435" s="1" t="s">
        <v>14</v>
      </c>
      <c r="C435" s="1" t="s">
        <v>13</v>
      </c>
      <c r="D435" s="2" t="str">
        <f t="shared" si="46"/>
        <v>z2024302</v>
      </c>
      <c r="E435" s="2" t="str">
        <f>"邓妮"</f>
        <v>邓妮</v>
      </c>
      <c r="F435" s="2" t="str">
        <f t="shared" si="57"/>
        <v>女</v>
      </c>
      <c r="G435" s="1" t="str">
        <f>"大专"</f>
        <v>大专</v>
      </c>
      <c r="H435" s="1" t="str">
        <f>"无"</f>
        <v>无</v>
      </c>
      <c r="I435" s="1" t="str">
        <f>"三峡大学科技学院"</f>
        <v>三峡大学科技学院</v>
      </c>
      <c r="J435" s="1" t="str">
        <f>"会计"</f>
        <v>会计</v>
      </c>
      <c r="K435" s="7"/>
    </row>
    <row r="436" spans="1:11" ht="36" customHeight="1">
      <c r="A436" s="7">
        <v>434</v>
      </c>
      <c r="B436" s="1" t="s">
        <v>14</v>
      </c>
      <c r="C436" s="1" t="s">
        <v>13</v>
      </c>
      <c r="D436" s="2" t="str">
        <f t="shared" si="46"/>
        <v>z2024302</v>
      </c>
      <c r="E436" s="2" t="str">
        <f>"杨凤屏"</f>
        <v>杨凤屏</v>
      </c>
      <c r="F436" s="2" t="str">
        <f t="shared" si="57"/>
        <v>女</v>
      </c>
      <c r="G436" s="1" t="str">
        <f t="shared" ref="G436:G451" si="58">"本科"</f>
        <v>本科</v>
      </c>
      <c r="H436" s="1" t="str">
        <f>"无"</f>
        <v>无</v>
      </c>
      <c r="I436" s="1" t="str">
        <f>"华中科技大学"</f>
        <v>华中科技大学</v>
      </c>
      <c r="J436" s="1" t="str">
        <f>"会计学"</f>
        <v>会计学</v>
      </c>
      <c r="K436" s="7"/>
    </row>
    <row r="437" spans="1:11" ht="36" customHeight="1">
      <c r="A437" s="7">
        <v>435</v>
      </c>
      <c r="B437" s="1" t="s">
        <v>14</v>
      </c>
      <c r="C437" s="1" t="s">
        <v>13</v>
      </c>
      <c r="D437" s="2" t="str">
        <f t="shared" si="46"/>
        <v>z2024302</v>
      </c>
      <c r="E437" s="2" t="str">
        <f>"刘静"</f>
        <v>刘静</v>
      </c>
      <c r="F437" s="2" t="str">
        <f t="shared" si="57"/>
        <v>女</v>
      </c>
      <c r="G437" s="1" t="str">
        <f t="shared" si="58"/>
        <v>本科</v>
      </c>
      <c r="H437" s="1" t="str">
        <f>"学士"</f>
        <v>学士</v>
      </c>
      <c r="I437" s="1" t="str">
        <f>"中南财经政法大学"</f>
        <v>中南财经政法大学</v>
      </c>
      <c r="J437" s="1" t="str">
        <f>"税收学"</f>
        <v>税收学</v>
      </c>
      <c r="K437" s="7"/>
    </row>
    <row r="438" spans="1:11" ht="36" customHeight="1">
      <c r="A438" s="7">
        <v>436</v>
      </c>
      <c r="B438" s="1" t="s">
        <v>14</v>
      </c>
      <c r="C438" s="1" t="s">
        <v>13</v>
      </c>
      <c r="D438" s="2" t="str">
        <f t="shared" ref="D438:D460" si="59">"z2024302"</f>
        <v>z2024302</v>
      </c>
      <c r="E438" s="2" t="str">
        <f>"向虹宇"</f>
        <v>向虹宇</v>
      </c>
      <c r="F438" s="2" t="str">
        <f t="shared" si="57"/>
        <v>女</v>
      </c>
      <c r="G438" s="1" t="str">
        <f t="shared" si="58"/>
        <v>本科</v>
      </c>
      <c r="H438" s="1" t="str">
        <f>"无"</f>
        <v>无</v>
      </c>
      <c r="I438" s="1" t="str">
        <f>"荆楚理工学院"</f>
        <v>荆楚理工学院</v>
      </c>
      <c r="J438" s="1" t="str">
        <f>"财务管理"</f>
        <v>财务管理</v>
      </c>
      <c r="K438" s="7"/>
    </row>
    <row r="439" spans="1:11" ht="36" customHeight="1">
      <c r="A439" s="7">
        <v>437</v>
      </c>
      <c r="B439" s="1" t="s">
        <v>14</v>
      </c>
      <c r="C439" s="1" t="s">
        <v>13</v>
      </c>
      <c r="D439" s="2" t="str">
        <f t="shared" si="59"/>
        <v>z2024302</v>
      </c>
      <c r="E439" s="2" t="str">
        <f>"秦永迪"</f>
        <v>秦永迪</v>
      </c>
      <c r="F439" s="2" t="str">
        <f>"男"</f>
        <v>男</v>
      </c>
      <c r="G439" s="1" t="str">
        <f t="shared" si="58"/>
        <v>本科</v>
      </c>
      <c r="H439" s="1" t="str">
        <f>"学士"</f>
        <v>学士</v>
      </c>
      <c r="I439" s="1" t="str">
        <f>"武汉工商学院"</f>
        <v>武汉工商学院</v>
      </c>
      <c r="J439" s="1" t="str">
        <f>"财务管理"</f>
        <v>财务管理</v>
      </c>
      <c r="K439" s="7"/>
    </row>
    <row r="440" spans="1:11" ht="36" customHeight="1">
      <c r="A440" s="7">
        <v>438</v>
      </c>
      <c r="B440" s="1" t="s">
        <v>14</v>
      </c>
      <c r="C440" s="1" t="s">
        <v>13</v>
      </c>
      <c r="D440" s="2" t="str">
        <f t="shared" si="59"/>
        <v>z2024302</v>
      </c>
      <c r="E440" s="2" t="str">
        <f>"唐其涛"</f>
        <v>唐其涛</v>
      </c>
      <c r="F440" s="2" t="str">
        <f>"男"</f>
        <v>男</v>
      </c>
      <c r="G440" s="1" t="str">
        <f t="shared" si="58"/>
        <v>本科</v>
      </c>
      <c r="H440" s="1" t="str">
        <f>"学士"</f>
        <v>学士</v>
      </c>
      <c r="I440" s="1" t="str">
        <f>"湖北民族大学科技学院"</f>
        <v>湖北民族大学科技学院</v>
      </c>
      <c r="J440" s="1" t="str">
        <f>"财务管理"</f>
        <v>财务管理</v>
      </c>
      <c r="K440" s="7"/>
    </row>
    <row r="441" spans="1:11" ht="36" customHeight="1">
      <c r="A441" s="7">
        <v>439</v>
      </c>
      <c r="B441" s="1" t="s">
        <v>14</v>
      </c>
      <c r="C441" s="1" t="s">
        <v>13</v>
      </c>
      <c r="D441" s="2" t="str">
        <f t="shared" si="59"/>
        <v>z2024302</v>
      </c>
      <c r="E441" s="2" t="str">
        <f>"李宝"</f>
        <v>李宝</v>
      </c>
      <c r="F441" s="2" t="str">
        <f>"男"</f>
        <v>男</v>
      </c>
      <c r="G441" s="1" t="str">
        <f t="shared" si="58"/>
        <v>本科</v>
      </c>
      <c r="H441" s="1" t="str">
        <f>"学士"</f>
        <v>学士</v>
      </c>
      <c r="I441" s="1" t="str">
        <f>"武汉工商学院"</f>
        <v>武汉工商学院</v>
      </c>
      <c r="J441" s="1" t="str">
        <f>"财务管理"</f>
        <v>财务管理</v>
      </c>
      <c r="K441" s="7"/>
    </row>
    <row r="442" spans="1:11" ht="36" customHeight="1">
      <c r="A442" s="7">
        <v>440</v>
      </c>
      <c r="B442" s="1" t="s">
        <v>14</v>
      </c>
      <c r="C442" s="1" t="s">
        <v>13</v>
      </c>
      <c r="D442" s="2" t="str">
        <f t="shared" si="59"/>
        <v>z2024302</v>
      </c>
      <c r="E442" s="2" t="str">
        <f>"冉姣"</f>
        <v>冉姣</v>
      </c>
      <c r="F442" s="2" t="str">
        <f t="shared" ref="F442:F449" si="60">"女"</f>
        <v>女</v>
      </c>
      <c r="G442" s="1" t="str">
        <f t="shared" si="58"/>
        <v>本科</v>
      </c>
      <c r="H442" s="1" t="str">
        <f>"学士"</f>
        <v>学士</v>
      </c>
      <c r="I442" s="1" t="str">
        <f>"武汉商学院"</f>
        <v>武汉商学院</v>
      </c>
      <c r="J442" s="1" t="str">
        <f>"财务管理"</f>
        <v>财务管理</v>
      </c>
      <c r="K442" s="7"/>
    </row>
    <row r="443" spans="1:11" ht="36" customHeight="1">
      <c r="A443" s="7">
        <v>441</v>
      </c>
      <c r="B443" s="1" t="s">
        <v>14</v>
      </c>
      <c r="C443" s="1" t="s">
        <v>13</v>
      </c>
      <c r="D443" s="2" t="str">
        <f t="shared" si="59"/>
        <v>z2024302</v>
      </c>
      <c r="E443" s="2" t="str">
        <f>"蒋思宇"</f>
        <v>蒋思宇</v>
      </c>
      <c r="F443" s="2" t="str">
        <f t="shared" si="60"/>
        <v>女</v>
      </c>
      <c r="G443" s="1" t="str">
        <f t="shared" si="58"/>
        <v>本科</v>
      </c>
      <c r="H443" s="1" t="str">
        <f>"学士"</f>
        <v>学士</v>
      </c>
      <c r="I443" s="1" t="str">
        <f>"湖北民族大学"</f>
        <v>湖北民族大学</v>
      </c>
      <c r="J443" s="1" t="str">
        <f>"会计学"</f>
        <v>会计学</v>
      </c>
      <c r="K443" s="7"/>
    </row>
    <row r="444" spans="1:11" ht="36" customHeight="1">
      <c r="A444" s="7">
        <v>442</v>
      </c>
      <c r="B444" s="1" t="s">
        <v>14</v>
      </c>
      <c r="C444" s="1" t="s">
        <v>13</v>
      </c>
      <c r="D444" s="2" t="str">
        <f t="shared" si="59"/>
        <v>z2024302</v>
      </c>
      <c r="E444" s="2" t="str">
        <f>"黄围"</f>
        <v>黄围</v>
      </c>
      <c r="F444" s="2" t="str">
        <f t="shared" si="60"/>
        <v>女</v>
      </c>
      <c r="G444" s="1" t="str">
        <f t="shared" si="58"/>
        <v>本科</v>
      </c>
      <c r="H444" s="1" t="str">
        <f>"无"</f>
        <v>无</v>
      </c>
      <c r="I444" s="1" t="str">
        <f>"武汉工程科技学院"</f>
        <v>武汉工程科技学院</v>
      </c>
      <c r="J444" s="1" t="str">
        <f>"财务管理"</f>
        <v>财务管理</v>
      </c>
      <c r="K444" s="7"/>
    </row>
    <row r="445" spans="1:11" ht="36" customHeight="1">
      <c r="A445" s="7">
        <v>443</v>
      </c>
      <c r="B445" s="1" t="s">
        <v>14</v>
      </c>
      <c r="C445" s="1" t="s">
        <v>13</v>
      </c>
      <c r="D445" s="2" t="str">
        <f t="shared" si="59"/>
        <v>z2024302</v>
      </c>
      <c r="E445" s="2" t="str">
        <f>"宋艳玲"</f>
        <v>宋艳玲</v>
      </c>
      <c r="F445" s="2" t="str">
        <f t="shared" si="60"/>
        <v>女</v>
      </c>
      <c r="G445" s="1" t="str">
        <f t="shared" si="58"/>
        <v>本科</v>
      </c>
      <c r="H445" s="1" t="str">
        <f>"学士"</f>
        <v>学士</v>
      </c>
      <c r="I445" s="1" t="str">
        <f>"三峡大学科技学院"</f>
        <v>三峡大学科技学院</v>
      </c>
      <c r="J445" s="1" t="str">
        <f>"财务管理"</f>
        <v>财务管理</v>
      </c>
      <c r="K445" s="7"/>
    </row>
    <row r="446" spans="1:11" ht="36" customHeight="1">
      <c r="A446" s="7">
        <v>444</v>
      </c>
      <c r="B446" s="1" t="s">
        <v>14</v>
      </c>
      <c r="C446" s="1" t="s">
        <v>13</v>
      </c>
      <c r="D446" s="2" t="str">
        <f t="shared" si="59"/>
        <v>z2024302</v>
      </c>
      <c r="E446" s="2" t="str">
        <f>"邹明君"</f>
        <v>邹明君</v>
      </c>
      <c r="F446" s="2" t="str">
        <f t="shared" si="60"/>
        <v>女</v>
      </c>
      <c r="G446" s="1" t="str">
        <f t="shared" si="58"/>
        <v>本科</v>
      </c>
      <c r="H446" s="1" t="str">
        <f>"学士"</f>
        <v>学士</v>
      </c>
      <c r="I446" s="1" t="str">
        <f>"武汉华夏理工学院"</f>
        <v>武汉华夏理工学院</v>
      </c>
      <c r="J446" s="1" t="str">
        <f>"会计学"</f>
        <v>会计学</v>
      </c>
      <c r="K446" s="7"/>
    </row>
    <row r="447" spans="1:11" ht="36" customHeight="1">
      <c r="A447" s="7">
        <v>445</v>
      </c>
      <c r="B447" s="1" t="s">
        <v>14</v>
      </c>
      <c r="C447" s="1" t="s">
        <v>13</v>
      </c>
      <c r="D447" s="2" t="str">
        <f t="shared" si="59"/>
        <v>z2024302</v>
      </c>
      <c r="E447" s="2" t="str">
        <f>"李泓槿"</f>
        <v>李泓槿</v>
      </c>
      <c r="F447" s="2" t="str">
        <f t="shared" si="60"/>
        <v>女</v>
      </c>
      <c r="G447" s="1" t="str">
        <f t="shared" si="58"/>
        <v>本科</v>
      </c>
      <c r="H447" s="1" t="str">
        <f>"学士"</f>
        <v>学士</v>
      </c>
      <c r="I447" s="1" t="str">
        <f>"武汉商学院"</f>
        <v>武汉商学院</v>
      </c>
      <c r="J447" s="1" t="str">
        <f>"财务管理"</f>
        <v>财务管理</v>
      </c>
      <c r="K447" s="7"/>
    </row>
    <row r="448" spans="1:11" ht="36" customHeight="1">
      <c r="A448" s="7">
        <v>446</v>
      </c>
      <c r="B448" s="1" t="s">
        <v>14</v>
      </c>
      <c r="C448" s="1" t="s">
        <v>13</v>
      </c>
      <c r="D448" s="2" t="str">
        <f t="shared" si="59"/>
        <v>z2024302</v>
      </c>
      <c r="E448" s="2" t="str">
        <f>"庹桂芳"</f>
        <v>庹桂芳</v>
      </c>
      <c r="F448" s="2" t="str">
        <f t="shared" si="60"/>
        <v>女</v>
      </c>
      <c r="G448" s="1" t="str">
        <f t="shared" si="58"/>
        <v>本科</v>
      </c>
      <c r="H448" s="1" t="str">
        <f>"学士"</f>
        <v>学士</v>
      </c>
      <c r="I448" s="1" t="str">
        <f>"重庆工商大学"</f>
        <v>重庆工商大学</v>
      </c>
      <c r="J448" s="1" t="str">
        <f>"财务管理"</f>
        <v>财务管理</v>
      </c>
      <c r="K448" s="7"/>
    </row>
    <row r="449" spans="1:11" ht="36" customHeight="1">
      <c r="A449" s="7">
        <v>447</v>
      </c>
      <c r="B449" s="1" t="s">
        <v>14</v>
      </c>
      <c r="C449" s="1" t="s">
        <v>13</v>
      </c>
      <c r="D449" s="2" t="str">
        <f t="shared" si="59"/>
        <v>z2024302</v>
      </c>
      <c r="E449" s="2" t="str">
        <f>"贺东娅"</f>
        <v>贺东娅</v>
      </c>
      <c r="F449" s="2" t="str">
        <f t="shared" si="60"/>
        <v>女</v>
      </c>
      <c r="G449" s="1" t="str">
        <f t="shared" si="58"/>
        <v>本科</v>
      </c>
      <c r="H449" s="1" t="str">
        <f>"学士"</f>
        <v>学士</v>
      </c>
      <c r="I449" s="1" t="str">
        <f>"湖北民族大学"</f>
        <v>湖北民族大学</v>
      </c>
      <c r="J449" s="1" t="str">
        <f>"会计学"</f>
        <v>会计学</v>
      </c>
      <c r="K449" s="7"/>
    </row>
    <row r="450" spans="1:11" ht="36" customHeight="1">
      <c r="A450" s="7">
        <v>448</v>
      </c>
      <c r="B450" s="1" t="s">
        <v>14</v>
      </c>
      <c r="C450" s="1" t="s">
        <v>13</v>
      </c>
      <c r="D450" s="2" t="str">
        <f t="shared" si="59"/>
        <v>z2024302</v>
      </c>
      <c r="E450" s="2" t="str">
        <f>"任自康"</f>
        <v>任自康</v>
      </c>
      <c r="F450" s="2" t="str">
        <f>"男"</f>
        <v>男</v>
      </c>
      <c r="G450" s="1" t="str">
        <f t="shared" si="58"/>
        <v>本科</v>
      </c>
      <c r="H450" s="1" t="str">
        <f>"无"</f>
        <v>无</v>
      </c>
      <c r="I450" s="1" t="str">
        <f>"河南财经政法大学"</f>
        <v>河南财经政法大学</v>
      </c>
      <c r="J450" s="1" t="str">
        <f>"会计（独立本科段）"</f>
        <v>会计（独立本科段）</v>
      </c>
      <c r="K450" s="7"/>
    </row>
    <row r="451" spans="1:11" ht="36" customHeight="1">
      <c r="A451" s="7">
        <v>449</v>
      </c>
      <c r="B451" s="1" t="s">
        <v>14</v>
      </c>
      <c r="C451" s="1" t="s">
        <v>13</v>
      </c>
      <c r="D451" s="2" t="str">
        <f t="shared" si="59"/>
        <v>z2024302</v>
      </c>
      <c r="E451" s="2" t="str">
        <f>"申漫"</f>
        <v>申漫</v>
      </c>
      <c r="F451" s="2" t="str">
        <f>"女"</f>
        <v>女</v>
      </c>
      <c r="G451" s="1" t="str">
        <f t="shared" si="58"/>
        <v>本科</v>
      </c>
      <c r="H451" s="1" t="str">
        <f>"学士"</f>
        <v>学士</v>
      </c>
      <c r="I451" s="1" t="str">
        <f>"武汉工商学院"</f>
        <v>武汉工商学院</v>
      </c>
      <c r="J451" s="1" t="str">
        <f>"会计学"</f>
        <v>会计学</v>
      </c>
      <c r="K451" s="7"/>
    </row>
    <row r="452" spans="1:11" ht="36" customHeight="1">
      <c r="A452" s="7">
        <v>450</v>
      </c>
      <c r="B452" s="1" t="s">
        <v>14</v>
      </c>
      <c r="C452" s="1" t="s">
        <v>13</v>
      </c>
      <c r="D452" s="2" t="str">
        <f t="shared" si="59"/>
        <v>z2024302</v>
      </c>
      <c r="E452" s="2" t="str">
        <f>"王诗迪"</f>
        <v>王诗迪</v>
      </c>
      <c r="F452" s="2" t="str">
        <f>"女"</f>
        <v>女</v>
      </c>
      <c r="G452" s="1" t="str">
        <f>"大专"</f>
        <v>大专</v>
      </c>
      <c r="H452" s="1" t="str">
        <f>"无"</f>
        <v>无</v>
      </c>
      <c r="I452" s="1" t="str">
        <f>"武汉商贸职业学院"</f>
        <v>武汉商贸职业学院</v>
      </c>
      <c r="J452" s="1" t="str">
        <f>"会计"</f>
        <v>会计</v>
      </c>
      <c r="K452" s="7"/>
    </row>
    <row r="453" spans="1:11" ht="36" customHeight="1">
      <c r="A453" s="7">
        <v>451</v>
      </c>
      <c r="B453" s="1" t="s">
        <v>14</v>
      </c>
      <c r="C453" s="1" t="s">
        <v>13</v>
      </c>
      <c r="D453" s="2" t="str">
        <f t="shared" si="59"/>
        <v>z2024302</v>
      </c>
      <c r="E453" s="2" t="str">
        <f>"龙金娥"</f>
        <v>龙金娥</v>
      </c>
      <c r="F453" s="2" t="str">
        <f>"女"</f>
        <v>女</v>
      </c>
      <c r="G453" s="1" t="str">
        <f>"本科"</f>
        <v>本科</v>
      </c>
      <c r="H453" s="1" t="str">
        <f>"无"</f>
        <v>无</v>
      </c>
      <c r="I453" s="1" t="str">
        <f>"湖北大学"</f>
        <v>湖北大学</v>
      </c>
      <c r="J453" s="1" t="str">
        <f>"会计学"</f>
        <v>会计学</v>
      </c>
      <c r="K453" s="7"/>
    </row>
    <row r="454" spans="1:11" ht="36" customHeight="1">
      <c r="A454" s="7">
        <v>452</v>
      </c>
      <c r="B454" s="1" t="s">
        <v>14</v>
      </c>
      <c r="C454" s="1" t="s">
        <v>13</v>
      </c>
      <c r="D454" s="2" t="str">
        <f t="shared" si="59"/>
        <v>z2024302</v>
      </c>
      <c r="E454" s="2" t="str">
        <f>"欧阳平"</f>
        <v>欧阳平</v>
      </c>
      <c r="F454" s="2" t="str">
        <f>"女"</f>
        <v>女</v>
      </c>
      <c r="G454" s="1" t="str">
        <f>"本科"</f>
        <v>本科</v>
      </c>
      <c r="H454" s="1" t="str">
        <f>"学士"</f>
        <v>学士</v>
      </c>
      <c r="I454" s="1" t="str">
        <f>"湖北民族学院"</f>
        <v>湖北民族学院</v>
      </c>
      <c r="J454" s="1" t="str">
        <f>"财务管理"</f>
        <v>财务管理</v>
      </c>
      <c r="K454" s="7"/>
    </row>
    <row r="455" spans="1:11" ht="36" customHeight="1">
      <c r="A455" s="7">
        <v>453</v>
      </c>
      <c r="B455" s="1" t="s">
        <v>14</v>
      </c>
      <c r="C455" s="1" t="s">
        <v>13</v>
      </c>
      <c r="D455" s="2" t="str">
        <f t="shared" si="59"/>
        <v>z2024302</v>
      </c>
      <c r="E455" s="2" t="str">
        <f>"张斌"</f>
        <v>张斌</v>
      </c>
      <c r="F455" s="2" t="str">
        <f>"男"</f>
        <v>男</v>
      </c>
      <c r="G455" s="1" t="str">
        <f>"本科"</f>
        <v>本科</v>
      </c>
      <c r="H455" s="1" t="str">
        <f>"学士"</f>
        <v>学士</v>
      </c>
      <c r="I455" s="1" t="str">
        <f>"中南大学"</f>
        <v>中南大学</v>
      </c>
      <c r="J455" s="1" t="str">
        <f>"法学"</f>
        <v>法学</v>
      </c>
      <c r="K455" s="7"/>
    </row>
    <row r="456" spans="1:11" ht="36" customHeight="1">
      <c r="A456" s="7">
        <v>454</v>
      </c>
      <c r="B456" s="1" t="s">
        <v>14</v>
      </c>
      <c r="C456" s="1" t="s">
        <v>13</v>
      </c>
      <c r="D456" s="2" t="str">
        <f t="shared" si="59"/>
        <v>z2024302</v>
      </c>
      <c r="E456" s="2" t="str">
        <f>"梁学深"</f>
        <v>梁学深</v>
      </c>
      <c r="F456" s="2" t="str">
        <f>"男"</f>
        <v>男</v>
      </c>
      <c r="G456" s="1" t="str">
        <f>"本科"</f>
        <v>本科</v>
      </c>
      <c r="H456" s="1" t="str">
        <f>"无"</f>
        <v>无</v>
      </c>
      <c r="I456" s="1" t="str">
        <f>"西南大学"</f>
        <v>西南大学</v>
      </c>
      <c r="J456" s="1" t="str">
        <f>"会计学"</f>
        <v>会计学</v>
      </c>
      <c r="K456" s="7"/>
    </row>
    <row r="457" spans="1:11" ht="36" customHeight="1">
      <c r="A457" s="7">
        <v>455</v>
      </c>
      <c r="B457" s="1" t="s">
        <v>14</v>
      </c>
      <c r="C457" s="1" t="s">
        <v>13</v>
      </c>
      <c r="D457" s="2" t="str">
        <f t="shared" si="59"/>
        <v>z2024302</v>
      </c>
      <c r="E457" s="2" t="str">
        <f>"余珊珊"</f>
        <v>余珊珊</v>
      </c>
      <c r="F457" s="2" t="str">
        <f>"女"</f>
        <v>女</v>
      </c>
      <c r="G457" s="1" t="str">
        <f>"大专"</f>
        <v>大专</v>
      </c>
      <c r="H457" s="1" t="str">
        <f>"无"</f>
        <v>无</v>
      </c>
      <c r="I457" s="1" t="str">
        <f>"武汉科技大学"</f>
        <v>武汉科技大学</v>
      </c>
      <c r="J457" s="1" t="str">
        <f>"会计电算化"</f>
        <v>会计电算化</v>
      </c>
      <c r="K457" s="7"/>
    </row>
    <row r="458" spans="1:11" ht="36" customHeight="1">
      <c r="A458" s="7">
        <v>456</v>
      </c>
      <c r="B458" s="1" t="s">
        <v>14</v>
      </c>
      <c r="C458" s="1" t="s">
        <v>13</v>
      </c>
      <c r="D458" s="2" t="str">
        <f t="shared" si="59"/>
        <v>z2024302</v>
      </c>
      <c r="E458" s="2" t="str">
        <f>"徐燕"</f>
        <v>徐燕</v>
      </c>
      <c r="F458" s="2" t="str">
        <f>"女"</f>
        <v>女</v>
      </c>
      <c r="G458" s="1" t="str">
        <f>"本科"</f>
        <v>本科</v>
      </c>
      <c r="H458" s="1" t="str">
        <f>"学士"</f>
        <v>学士</v>
      </c>
      <c r="I458" s="1" t="str">
        <f>"湖北民族大学科技学院"</f>
        <v>湖北民族大学科技学院</v>
      </c>
      <c r="J458" s="1" t="str">
        <f>"财务管理"</f>
        <v>财务管理</v>
      </c>
      <c r="K458" s="7"/>
    </row>
    <row r="459" spans="1:11" ht="36" customHeight="1">
      <c r="A459" s="7">
        <v>457</v>
      </c>
      <c r="B459" s="1" t="s">
        <v>14</v>
      </c>
      <c r="C459" s="1" t="s">
        <v>13</v>
      </c>
      <c r="D459" s="2" t="str">
        <f t="shared" si="59"/>
        <v>z2024302</v>
      </c>
      <c r="E459" s="2" t="str">
        <f>"金莹"</f>
        <v>金莹</v>
      </c>
      <c r="F459" s="2" t="str">
        <f>"女"</f>
        <v>女</v>
      </c>
      <c r="G459" s="1" t="str">
        <f>"本科"</f>
        <v>本科</v>
      </c>
      <c r="H459" s="1" t="str">
        <f>"学士"</f>
        <v>学士</v>
      </c>
      <c r="I459" s="1" t="str">
        <f>"武汉工商学院"</f>
        <v>武汉工商学院</v>
      </c>
      <c r="J459" s="1" t="str">
        <f>"财务管理"</f>
        <v>财务管理</v>
      </c>
      <c r="K459" s="7"/>
    </row>
    <row r="460" spans="1:11" ht="36" customHeight="1">
      <c r="A460" s="7">
        <v>458</v>
      </c>
      <c r="B460" s="1" t="s">
        <v>14</v>
      </c>
      <c r="C460" s="1" t="s">
        <v>13</v>
      </c>
      <c r="D460" s="2" t="str">
        <f t="shared" si="59"/>
        <v>z2024302</v>
      </c>
      <c r="E460" s="2" t="str">
        <f>"罗瑶"</f>
        <v>罗瑶</v>
      </c>
      <c r="F460" s="2" t="str">
        <f>"女"</f>
        <v>女</v>
      </c>
      <c r="G460" s="1" t="str">
        <f>"本科"</f>
        <v>本科</v>
      </c>
      <c r="H460" s="1" t="str">
        <f>"学士"</f>
        <v>学士</v>
      </c>
      <c r="I460" s="1" t="str">
        <f>"武汉学院"</f>
        <v>武汉学院</v>
      </c>
      <c r="J460" s="1" t="str">
        <f>"财务管理"</f>
        <v>财务管理</v>
      </c>
      <c r="K460" s="7"/>
    </row>
    <row r="461" spans="1:11" ht="36" customHeight="1">
      <c r="A461" s="7">
        <v>459</v>
      </c>
      <c r="B461" s="1" t="s">
        <v>15</v>
      </c>
      <c r="C461" s="1" t="s">
        <v>11</v>
      </c>
      <c r="D461" s="2" t="str">
        <f t="shared" ref="D461:D494" si="61">"z2024303"</f>
        <v>z2024303</v>
      </c>
      <c r="E461" s="2" t="str">
        <f>"牟广"</f>
        <v>牟广</v>
      </c>
      <c r="F461" s="2" t="str">
        <f>"男"</f>
        <v>男</v>
      </c>
      <c r="G461" s="1" t="str">
        <f>"本科"</f>
        <v>本科</v>
      </c>
      <c r="H461" s="1" t="str">
        <f t="shared" ref="H461:H478" si="62">"无"</f>
        <v>无</v>
      </c>
      <c r="I461" s="1" t="str">
        <f>"武汉科技大学"</f>
        <v>武汉科技大学</v>
      </c>
      <c r="J461" s="1" t="str">
        <f>"临床医学"</f>
        <v>临床医学</v>
      </c>
      <c r="K461" s="7"/>
    </row>
    <row r="462" spans="1:11" ht="36" customHeight="1">
      <c r="A462" s="7">
        <v>460</v>
      </c>
      <c r="B462" s="1" t="s">
        <v>15</v>
      </c>
      <c r="C462" s="1" t="s">
        <v>11</v>
      </c>
      <c r="D462" s="2" t="str">
        <f t="shared" si="61"/>
        <v>z2024303</v>
      </c>
      <c r="E462" s="2" t="str">
        <f>"乾博超"</f>
        <v>乾博超</v>
      </c>
      <c r="F462" s="2" t="str">
        <f>"男"</f>
        <v>男</v>
      </c>
      <c r="G462" s="1" t="str">
        <f t="shared" ref="G462:G471" si="63">"大专"</f>
        <v>大专</v>
      </c>
      <c r="H462" s="1" t="str">
        <f t="shared" si="62"/>
        <v>无</v>
      </c>
      <c r="I462" s="1" t="str">
        <f>"湖北中医药高等专科学校"</f>
        <v>湖北中医药高等专科学校</v>
      </c>
      <c r="J462" s="1" t="str">
        <f>"临床医学"</f>
        <v>临床医学</v>
      </c>
      <c r="K462" s="7"/>
    </row>
    <row r="463" spans="1:11" ht="36" customHeight="1">
      <c r="A463" s="7">
        <v>461</v>
      </c>
      <c r="B463" s="1" t="s">
        <v>15</v>
      </c>
      <c r="C463" s="1" t="s">
        <v>11</v>
      </c>
      <c r="D463" s="2" t="str">
        <f t="shared" si="61"/>
        <v>z2024303</v>
      </c>
      <c r="E463" s="2" t="str">
        <f>"梁若心"</f>
        <v>梁若心</v>
      </c>
      <c r="F463" s="2" t="str">
        <f>"女"</f>
        <v>女</v>
      </c>
      <c r="G463" s="1" t="str">
        <f t="shared" si="63"/>
        <v>大专</v>
      </c>
      <c r="H463" s="1" t="str">
        <f t="shared" si="62"/>
        <v>无</v>
      </c>
      <c r="I463" s="1" t="str">
        <f>"湖北民族大学科技学院"</f>
        <v>湖北民族大学科技学院</v>
      </c>
      <c r="J463" s="1" t="str">
        <f>"临床医学"</f>
        <v>临床医学</v>
      </c>
      <c r="K463" s="7"/>
    </row>
    <row r="464" spans="1:11" ht="36" customHeight="1">
      <c r="A464" s="7">
        <v>462</v>
      </c>
      <c r="B464" s="1" t="s">
        <v>15</v>
      </c>
      <c r="C464" s="1" t="s">
        <v>11</v>
      </c>
      <c r="D464" s="2" t="str">
        <f t="shared" si="61"/>
        <v>z2024303</v>
      </c>
      <c r="E464" s="2" t="str">
        <f>"陈红"</f>
        <v>陈红</v>
      </c>
      <c r="F464" s="2" t="str">
        <f>"女"</f>
        <v>女</v>
      </c>
      <c r="G464" s="1" t="str">
        <f t="shared" si="63"/>
        <v>大专</v>
      </c>
      <c r="H464" s="1" t="str">
        <f t="shared" si="62"/>
        <v>无</v>
      </c>
      <c r="I464" s="1" t="str">
        <f>"仙桃职业学院"</f>
        <v>仙桃职业学院</v>
      </c>
      <c r="J464" s="1" t="str">
        <f>"临床医学"</f>
        <v>临床医学</v>
      </c>
      <c r="K464" s="7"/>
    </row>
    <row r="465" spans="1:11" ht="36" customHeight="1">
      <c r="A465" s="7">
        <v>463</v>
      </c>
      <c r="B465" s="1" t="s">
        <v>15</v>
      </c>
      <c r="C465" s="1" t="s">
        <v>11</v>
      </c>
      <c r="D465" s="2" t="str">
        <f t="shared" si="61"/>
        <v>z2024303</v>
      </c>
      <c r="E465" s="2" t="str">
        <f>"文定义"</f>
        <v>文定义</v>
      </c>
      <c r="F465" s="2" t="str">
        <f>"男"</f>
        <v>男</v>
      </c>
      <c r="G465" s="1" t="str">
        <f t="shared" si="63"/>
        <v>大专</v>
      </c>
      <c r="H465" s="1" t="str">
        <f t="shared" si="62"/>
        <v>无</v>
      </c>
      <c r="I465" s="1" t="str">
        <f>"仙桃职业学院"</f>
        <v>仙桃职业学院</v>
      </c>
      <c r="J465" s="1" t="str">
        <f>"临床"</f>
        <v>临床</v>
      </c>
      <c r="K465" s="7"/>
    </row>
    <row r="466" spans="1:11" ht="36" customHeight="1">
      <c r="A466" s="7">
        <v>464</v>
      </c>
      <c r="B466" s="1" t="s">
        <v>15</v>
      </c>
      <c r="C466" s="1" t="s">
        <v>11</v>
      </c>
      <c r="D466" s="2" t="str">
        <f t="shared" si="61"/>
        <v>z2024303</v>
      </c>
      <c r="E466" s="2" t="str">
        <f>"向慧"</f>
        <v>向慧</v>
      </c>
      <c r="F466" s="2" t="str">
        <f>"女"</f>
        <v>女</v>
      </c>
      <c r="G466" s="1" t="str">
        <f t="shared" si="63"/>
        <v>大专</v>
      </c>
      <c r="H466" s="1" t="str">
        <f t="shared" si="62"/>
        <v>无</v>
      </c>
      <c r="I466" s="1" t="str">
        <f>"襄阳职业技术学院"</f>
        <v>襄阳职业技术学院</v>
      </c>
      <c r="J466" s="1" t="str">
        <f t="shared" ref="J466:J476" si="64">"临床医学"</f>
        <v>临床医学</v>
      </c>
      <c r="K466" s="7"/>
    </row>
    <row r="467" spans="1:11" ht="36" customHeight="1">
      <c r="A467" s="7">
        <v>465</v>
      </c>
      <c r="B467" s="1" t="s">
        <v>15</v>
      </c>
      <c r="C467" s="1" t="s">
        <v>11</v>
      </c>
      <c r="D467" s="2" t="str">
        <f t="shared" si="61"/>
        <v>z2024303</v>
      </c>
      <c r="E467" s="2" t="str">
        <f>"胡莉"</f>
        <v>胡莉</v>
      </c>
      <c r="F467" s="2" t="str">
        <f>"女"</f>
        <v>女</v>
      </c>
      <c r="G467" s="1" t="str">
        <f t="shared" si="63"/>
        <v>大专</v>
      </c>
      <c r="H467" s="1" t="str">
        <f t="shared" si="62"/>
        <v>无</v>
      </c>
      <c r="I467" s="1" t="str">
        <f>"湖北理工学院"</f>
        <v>湖北理工学院</v>
      </c>
      <c r="J467" s="1" t="str">
        <f t="shared" si="64"/>
        <v>临床医学</v>
      </c>
      <c r="K467" s="7"/>
    </row>
    <row r="468" spans="1:11" ht="36" customHeight="1">
      <c r="A468" s="7">
        <v>466</v>
      </c>
      <c r="B468" s="1" t="s">
        <v>15</v>
      </c>
      <c r="C468" s="1" t="s">
        <v>11</v>
      </c>
      <c r="D468" s="2" t="str">
        <f t="shared" si="61"/>
        <v>z2024303</v>
      </c>
      <c r="E468" s="2" t="str">
        <f>"谭忠羽"</f>
        <v>谭忠羽</v>
      </c>
      <c r="F468" s="2" t="str">
        <f>"男"</f>
        <v>男</v>
      </c>
      <c r="G468" s="1" t="str">
        <f t="shared" si="63"/>
        <v>大专</v>
      </c>
      <c r="H468" s="1" t="str">
        <f t="shared" si="62"/>
        <v>无</v>
      </c>
      <c r="I468" s="1" t="str">
        <f>"湖北民族学院科技学院"</f>
        <v>湖北民族学院科技学院</v>
      </c>
      <c r="J468" s="1" t="str">
        <f t="shared" si="64"/>
        <v>临床医学</v>
      </c>
      <c r="K468" s="7"/>
    </row>
    <row r="469" spans="1:11" ht="36" customHeight="1">
      <c r="A469" s="7">
        <v>467</v>
      </c>
      <c r="B469" s="1" t="s">
        <v>15</v>
      </c>
      <c r="C469" s="1" t="s">
        <v>11</v>
      </c>
      <c r="D469" s="2" t="str">
        <f t="shared" si="61"/>
        <v>z2024303</v>
      </c>
      <c r="E469" s="2" t="str">
        <f>"段邦曜"</f>
        <v>段邦曜</v>
      </c>
      <c r="F469" s="2" t="str">
        <f>"男"</f>
        <v>男</v>
      </c>
      <c r="G469" s="1" t="str">
        <f t="shared" si="63"/>
        <v>大专</v>
      </c>
      <c r="H469" s="1" t="str">
        <f t="shared" si="62"/>
        <v>无</v>
      </c>
      <c r="I469" s="1" t="str">
        <f>"湖北理工学院"</f>
        <v>湖北理工学院</v>
      </c>
      <c r="J469" s="1" t="str">
        <f t="shared" si="64"/>
        <v>临床医学</v>
      </c>
      <c r="K469" s="7"/>
    </row>
    <row r="470" spans="1:11" ht="36" customHeight="1">
      <c r="A470" s="7">
        <v>468</v>
      </c>
      <c r="B470" s="1" t="s">
        <v>15</v>
      </c>
      <c r="C470" s="1" t="s">
        <v>11</v>
      </c>
      <c r="D470" s="2" t="str">
        <f t="shared" si="61"/>
        <v>z2024303</v>
      </c>
      <c r="E470" s="2" t="str">
        <f>"骆银"</f>
        <v>骆银</v>
      </c>
      <c r="F470" s="2" t="str">
        <f>"女"</f>
        <v>女</v>
      </c>
      <c r="G470" s="1" t="str">
        <f t="shared" si="63"/>
        <v>大专</v>
      </c>
      <c r="H470" s="1" t="str">
        <f t="shared" si="62"/>
        <v>无</v>
      </c>
      <c r="I470" s="1" t="str">
        <f>"荆楚理工学院"</f>
        <v>荆楚理工学院</v>
      </c>
      <c r="J470" s="1" t="str">
        <f t="shared" si="64"/>
        <v>临床医学</v>
      </c>
      <c r="K470" s="7"/>
    </row>
    <row r="471" spans="1:11" ht="36" customHeight="1">
      <c r="A471" s="7">
        <v>469</v>
      </c>
      <c r="B471" s="1" t="s">
        <v>15</v>
      </c>
      <c r="C471" s="1" t="s">
        <v>11</v>
      </c>
      <c r="D471" s="2" t="str">
        <f t="shared" si="61"/>
        <v>z2024303</v>
      </c>
      <c r="E471" s="2" t="str">
        <f>"牟欣怡"</f>
        <v>牟欣怡</v>
      </c>
      <c r="F471" s="2" t="str">
        <f>"女"</f>
        <v>女</v>
      </c>
      <c r="G471" s="1" t="str">
        <f t="shared" si="63"/>
        <v>大专</v>
      </c>
      <c r="H471" s="1" t="str">
        <f t="shared" si="62"/>
        <v>无</v>
      </c>
      <c r="I471" s="1" t="str">
        <f>"湖北中医药高等专科学校"</f>
        <v>湖北中医药高等专科学校</v>
      </c>
      <c r="J471" s="1" t="str">
        <f t="shared" si="64"/>
        <v>临床医学</v>
      </c>
      <c r="K471" s="7"/>
    </row>
    <row r="472" spans="1:11" ht="36" customHeight="1">
      <c r="A472" s="7">
        <v>470</v>
      </c>
      <c r="B472" s="1" t="s">
        <v>15</v>
      </c>
      <c r="C472" s="1" t="s">
        <v>11</v>
      </c>
      <c r="D472" s="2" t="str">
        <f t="shared" si="61"/>
        <v>z2024303</v>
      </c>
      <c r="E472" s="2" t="str">
        <f>"黄玉霞"</f>
        <v>黄玉霞</v>
      </c>
      <c r="F472" s="2" t="str">
        <f>"女"</f>
        <v>女</v>
      </c>
      <c r="G472" s="1" t="str">
        <f>"本科"</f>
        <v>本科</v>
      </c>
      <c r="H472" s="1" t="str">
        <f t="shared" si="62"/>
        <v>无</v>
      </c>
      <c r="I472" s="1" t="str">
        <f>"湖北民族大学"</f>
        <v>湖北民族大学</v>
      </c>
      <c r="J472" s="1" t="str">
        <f t="shared" si="64"/>
        <v>临床医学</v>
      </c>
      <c r="K472" s="7"/>
    </row>
    <row r="473" spans="1:11" ht="36" customHeight="1">
      <c r="A473" s="7">
        <v>471</v>
      </c>
      <c r="B473" s="1" t="s">
        <v>15</v>
      </c>
      <c r="C473" s="1" t="s">
        <v>11</v>
      </c>
      <c r="D473" s="2" t="str">
        <f t="shared" si="61"/>
        <v>z2024303</v>
      </c>
      <c r="E473" s="2" t="str">
        <f>"杨飞粤"</f>
        <v>杨飞粤</v>
      </c>
      <c r="F473" s="2" t="str">
        <f>"男"</f>
        <v>男</v>
      </c>
      <c r="G473" s="1" t="str">
        <f t="shared" ref="G473:G478" si="65">"大专"</f>
        <v>大专</v>
      </c>
      <c r="H473" s="1" t="str">
        <f t="shared" si="62"/>
        <v>无</v>
      </c>
      <c r="I473" s="1" t="str">
        <f>"湖北恩施学院"</f>
        <v>湖北恩施学院</v>
      </c>
      <c r="J473" s="1" t="str">
        <f t="shared" si="64"/>
        <v>临床医学</v>
      </c>
      <c r="K473" s="7"/>
    </row>
    <row r="474" spans="1:11" ht="36" customHeight="1">
      <c r="A474" s="7">
        <v>472</v>
      </c>
      <c r="B474" s="1" t="s">
        <v>15</v>
      </c>
      <c r="C474" s="1" t="s">
        <v>11</v>
      </c>
      <c r="D474" s="2" t="str">
        <f t="shared" si="61"/>
        <v>z2024303</v>
      </c>
      <c r="E474" s="2" t="str">
        <f>"张璇"</f>
        <v>张璇</v>
      </c>
      <c r="F474" s="2" t="str">
        <f>"男"</f>
        <v>男</v>
      </c>
      <c r="G474" s="1" t="str">
        <f t="shared" si="65"/>
        <v>大专</v>
      </c>
      <c r="H474" s="1" t="str">
        <f t="shared" si="62"/>
        <v>无</v>
      </c>
      <c r="I474" s="1" t="str">
        <f>"仙桃职业学院"</f>
        <v>仙桃职业学院</v>
      </c>
      <c r="J474" s="1" t="str">
        <f t="shared" si="64"/>
        <v>临床医学</v>
      </c>
      <c r="K474" s="7"/>
    </row>
    <row r="475" spans="1:11" ht="36" customHeight="1">
      <c r="A475" s="7">
        <v>473</v>
      </c>
      <c r="B475" s="1" t="s">
        <v>15</v>
      </c>
      <c r="C475" s="1" t="s">
        <v>11</v>
      </c>
      <c r="D475" s="2" t="str">
        <f t="shared" si="61"/>
        <v>z2024303</v>
      </c>
      <c r="E475" s="2" t="str">
        <f>"张青"</f>
        <v>张青</v>
      </c>
      <c r="F475" s="2" t="str">
        <f>"女"</f>
        <v>女</v>
      </c>
      <c r="G475" s="1" t="str">
        <f t="shared" si="65"/>
        <v>大专</v>
      </c>
      <c r="H475" s="1" t="str">
        <f t="shared" si="62"/>
        <v>无</v>
      </c>
      <c r="I475" s="1" t="str">
        <f>"黔南民族医学高等专科学校"</f>
        <v>黔南民族医学高等专科学校</v>
      </c>
      <c r="J475" s="1" t="str">
        <f t="shared" si="64"/>
        <v>临床医学</v>
      </c>
      <c r="K475" s="7"/>
    </row>
    <row r="476" spans="1:11" ht="36" customHeight="1">
      <c r="A476" s="7">
        <v>474</v>
      </c>
      <c r="B476" s="1" t="s">
        <v>15</v>
      </c>
      <c r="C476" s="1" t="s">
        <v>11</v>
      </c>
      <c r="D476" s="2" t="str">
        <f t="shared" si="61"/>
        <v>z2024303</v>
      </c>
      <c r="E476" s="2" t="str">
        <f>"张婷"</f>
        <v>张婷</v>
      </c>
      <c r="F476" s="2" t="str">
        <f>"女"</f>
        <v>女</v>
      </c>
      <c r="G476" s="1" t="str">
        <f t="shared" si="65"/>
        <v>大专</v>
      </c>
      <c r="H476" s="1" t="str">
        <f t="shared" si="62"/>
        <v>无</v>
      </c>
      <c r="I476" s="1" t="str">
        <f>"湖北理工学院"</f>
        <v>湖北理工学院</v>
      </c>
      <c r="J476" s="1" t="str">
        <f t="shared" si="64"/>
        <v>临床医学</v>
      </c>
      <c r="K476" s="7"/>
    </row>
    <row r="477" spans="1:11" ht="36" customHeight="1">
      <c r="A477" s="7">
        <v>475</v>
      </c>
      <c r="B477" s="1" t="s">
        <v>15</v>
      </c>
      <c r="C477" s="1" t="s">
        <v>11</v>
      </c>
      <c r="D477" s="2" t="str">
        <f t="shared" si="61"/>
        <v>z2024303</v>
      </c>
      <c r="E477" s="2" t="str">
        <f>"姚禹"</f>
        <v>姚禹</v>
      </c>
      <c r="F477" s="2" t="str">
        <f>"男"</f>
        <v>男</v>
      </c>
      <c r="G477" s="1" t="str">
        <f t="shared" si="65"/>
        <v>大专</v>
      </c>
      <c r="H477" s="1" t="str">
        <f t="shared" si="62"/>
        <v>无</v>
      </c>
      <c r="I477" s="1" t="str">
        <f>"仙桃职业学院"</f>
        <v>仙桃职业学院</v>
      </c>
      <c r="J477" s="1" t="str">
        <f>"临床 "</f>
        <v xml:space="preserve">临床 </v>
      </c>
      <c r="K477" s="7"/>
    </row>
    <row r="478" spans="1:11" ht="36" customHeight="1">
      <c r="A478" s="7">
        <v>476</v>
      </c>
      <c r="B478" s="1" t="s">
        <v>15</v>
      </c>
      <c r="C478" s="1" t="s">
        <v>11</v>
      </c>
      <c r="D478" s="2" t="str">
        <f t="shared" si="61"/>
        <v>z2024303</v>
      </c>
      <c r="E478" s="2" t="str">
        <f>"姚嫒"</f>
        <v>姚嫒</v>
      </c>
      <c r="F478" s="2" t="str">
        <f>"女"</f>
        <v>女</v>
      </c>
      <c r="G478" s="1" t="str">
        <f t="shared" si="65"/>
        <v>大专</v>
      </c>
      <c r="H478" s="1" t="str">
        <f t="shared" si="62"/>
        <v>无</v>
      </c>
      <c r="I478" s="1" t="str">
        <f>"湖北三峡职业技术学院"</f>
        <v>湖北三峡职业技术学院</v>
      </c>
      <c r="J478" s="1" t="str">
        <f>"临床医学"</f>
        <v>临床医学</v>
      </c>
      <c r="K478" s="7"/>
    </row>
    <row r="479" spans="1:11" ht="36" customHeight="1">
      <c r="A479" s="7">
        <v>477</v>
      </c>
      <c r="B479" s="1" t="s">
        <v>15</v>
      </c>
      <c r="C479" s="1" t="s">
        <v>11</v>
      </c>
      <c r="D479" s="2" t="str">
        <f t="shared" si="61"/>
        <v>z2024303</v>
      </c>
      <c r="E479" s="2" t="str">
        <f>"赵代孟"</f>
        <v>赵代孟</v>
      </c>
      <c r="F479" s="2" t="str">
        <f>"男"</f>
        <v>男</v>
      </c>
      <c r="G479" s="1" t="str">
        <f>"本科"</f>
        <v>本科</v>
      </c>
      <c r="H479" s="1" t="str">
        <f>"学士"</f>
        <v>学士</v>
      </c>
      <c r="I479" s="1" t="str">
        <f>"湖北民族学院"</f>
        <v>湖北民族学院</v>
      </c>
      <c r="J479" s="1" t="str">
        <f>"临床医学"</f>
        <v>临床医学</v>
      </c>
      <c r="K479" s="7"/>
    </row>
    <row r="480" spans="1:11" ht="36" customHeight="1">
      <c r="A480" s="7">
        <v>478</v>
      </c>
      <c r="B480" s="1" t="s">
        <v>15</v>
      </c>
      <c r="C480" s="1" t="s">
        <v>11</v>
      </c>
      <c r="D480" s="2" t="str">
        <f t="shared" si="61"/>
        <v>z2024303</v>
      </c>
      <c r="E480" s="2" t="str">
        <f>"田希"</f>
        <v>田希</v>
      </c>
      <c r="F480" s="2" t="str">
        <f>"女"</f>
        <v>女</v>
      </c>
      <c r="G480" s="1" t="str">
        <f t="shared" ref="G480:G489" si="66">"大专"</f>
        <v>大专</v>
      </c>
      <c r="H480" s="1" t="str">
        <f t="shared" ref="H480:H489" si="67">"无"</f>
        <v>无</v>
      </c>
      <c r="I480" s="1" t="str">
        <f>"湖北中医药高等专科学校"</f>
        <v>湖北中医药高等专科学校</v>
      </c>
      <c r="J480" s="1" t="str">
        <f>"临床医学"</f>
        <v>临床医学</v>
      </c>
      <c r="K480" s="7"/>
    </row>
    <row r="481" spans="1:11" ht="36" customHeight="1">
      <c r="A481" s="7">
        <v>479</v>
      </c>
      <c r="B481" s="1" t="s">
        <v>15</v>
      </c>
      <c r="C481" s="1" t="s">
        <v>11</v>
      </c>
      <c r="D481" s="2" t="str">
        <f t="shared" si="61"/>
        <v>z2024303</v>
      </c>
      <c r="E481" s="2" t="str">
        <f>"刘前"</f>
        <v>刘前</v>
      </c>
      <c r="F481" s="2" t="str">
        <f>"女"</f>
        <v>女</v>
      </c>
      <c r="G481" s="1" t="str">
        <f t="shared" si="66"/>
        <v>大专</v>
      </c>
      <c r="H481" s="1" t="str">
        <f t="shared" si="67"/>
        <v>无</v>
      </c>
      <c r="I481" s="1" t="str">
        <f>"湖北恩施学院"</f>
        <v>湖北恩施学院</v>
      </c>
      <c r="J481" s="1" t="str">
        <f>"临床医学"</f>
        <v>临床医学</v>
      </c>
      <c r="K481" s="7"/>
    </row>
    <row r="482" spans="1:11" ht="36" customHeight="1">
      <c r="A482" s="7">
        <v>480</v>
      </c>
      <c r="B482" s="1" t="s">
        <v>15</v>
      </c>
      <c r="C482" s="1" t="s">
        <v>11</v>
      </c>
      <c r="D482" s="2" t="str">
        <f t="shared" si="61"/>
        <v>z2024303</v>
      </c>
      <c r="E482" s="2" t="str">
        <f>"陈洁"</f>
        <v>陈洁</v>
      </c>
      <c r="F482" s="2" t="str">
        <f>"女"</f>
        <v>女</v>
      </c>
      <c r="G482" s="1" t="str">
        <f t="shared" si="66"/>
        <v>大专</v>
      </c>
      <c r="H482" s="1" t="str">
        <f t="shared" si="67"/>
        <v>无</v>
      </c>
      <c r="I482" s="1" t="str">
        <f>"山东医学高等专科学校"</f>
        <v>山东医学高等专科学校</v>
      </c>
      <c r="J482" s="1" t="str">
        <f>"临床医学专业"</f>
        <v>临床医学专业</v>
      </c>
      <c r="K482" s="7"/>
    </row>
    <row r="483" spans="1:11" ht="36" customHeight="1">
      <c r="A483" s="7">
        <v>481</v>
      </c>
      <c r="B483" s="1" t="s">
        <v>15</v>
      </c>
      <c r="C483" s="1" t="s">
        <v>11</v>
      </c>
      <c r="D483" s="2" t="str">
        <f t="shared" si="61"/>
        <v>z2024303</v>
      </c>
      <c r="E483" s="2" t="str">
        <f>"胡飞"</f>
        <v>胡飞</v>
      </c>
      <c r="F483" s="2" t="str">
        <f>"男"</f>
        <v>男</v>
      </c>
      <c r="G483" s="1" t="str">
        <f t="shared" si="66"/>
        <v>大专</v>
      </c>
      <c r="H483" s="1" t="str">
        <f t="shared" si="67"/>
        <v>无</v>
      </c>
      <c r="I483" s="1" t="str">
        <f>"仙桃职业学院"</f>
        <v>仙桃职业学院</v>
      </c>
      <c r="J483" s="1" t="str">
        <f t="shared" ref="J483:J495" si="68">"临床医学"</f>
        <v>临床医学</v>
      </c>
      <c r="K483" s="7"/>
    </row>
    <row r="484" spans="1:11" ht="36" customHeight="1">
      <c r="A484" s="7">
        <v>482</v>
      </c>
      <c r="B484" s="1" t="s">
        <v>15</v>
      </c>
      <c r="C484" s="1" t="s">
        <v>11</v>
      </c>
      <c r="D484" s="2" t="str">
        <f t="shared" si="61"/>
        <v>z2024303</v>
      </c>
      <c r="E484" s="2" t="str">
        <f>"谭波"</f>
        <v>谭波</v>
      </c>
      <c r="F484" s="2" t="str">
        <f>"男"</f>
        <v>男</v>
      </c>
      <c r="G484" s="1" t="str">
        <f t="shared" si="66"/>
        <v>大专</v>
      </c>
      <c r="H484" s="1" t="str">
        <f t="shared" si="67"/>
        <v>无</v>
      </c>
      <c r="I484" s="1" t="str">
        <f>"湖北三峡职业技术学院"</f>
        <v>湖北三峡职业技术学院</v>
      </c>
      <c r="J484" s="1" t="str">
        <f t="shared" si="68"/>
        <v>临床医学</v>
      </c>
      <c r="K484" s="7"/>
    </row>
    <row r="485" spans="1:11" ht="36" customHeight="1">
      <c r="A485" s="7">
        <v>483</v>
      </c>
      <c r="B485" s="1" t="s">
        <v>15</v>
      </c>
      <c r="C485" s="1" t="s">
        <v>11</v>
      </c>
      <c r="D485" s="2" t="str">
        <f t="shared" si="61"/>
        <v>z2024303</v>
      </c>
      <c r="E485" s="2" t="str">
        <f>"刘梦"</f>
        <v>刘梦</v>
      </c>
      <c r="F485" s="2" t="str">
        <f>"女"</f>
        <v>女</v>
      </c>
      <c r="G485" s="1" t="str">
        <f t="shared" si="66"/>
        <v>大专</v>
      </c>
      <c r="H485" s="1" t="str">
        <f t="shared" si="67"/>
        <v>无</v>
      </c>
      <c r="I485" s="1" t="str">
        <f>"仙桃职业学院"</f>
        <v>仙桃职业学院</v>
      </c>
      <c r="J485" s="1" t="str">
        <f t="shared" si="68"/>
        <v>临床医学</v>
      </c>
      <c r="K485" s="7"/>
    </row>
    <row r="486" spans="1:11" ht="36" customHeight="1">
      <c r="A486" s="7">
        <v>484</v>
      </c>
      <c r="B486" s="1" t="s">
        <v>15</v>
      </c>
      <c r="C486" s="1" t="s">
        <v>11</v>
      </c>
      <c r="D486" s="2" t="str">
        <f t="shared" si="61"/>
        <v>z2024303</v>
      </c>
      <c r="E486" s="2" t="str">
        <f>"田露芳"</f>
        <v>田露芳</v>
      </c>
      <c r="F486" s="2" t="str">
        <f>"女"</f>
        <v>女</v>
      </c>
      <c r="G486" s="1" t="str">
        <f t="shared" si="66"/>
        <v>大专</v>
      </c>
      <c r="H486" s="1" t="str">
        <f t="shared" si="67"/>
        <v>无</v>
      </c>
      <c r="I486" s="1" t="str">
        <f>"仙桃职业学院"</f>
        <v>仙桃职业学院</v>
      </c>
      <c r="J486" s="1" t="str">
        <f t="shared" si="68"/>
        <v>临床医学</v>
      </c>
      <c r="K486" s="7"/>
    </row>
    <row r="487" spans="1:11" ht="36" customHeight="1">
      <c r="A487" s="7">
        <v>485</v>
      </c>
      <c r="B487" s="1" t="s">
        <v>15</v>
      </c>
      <c r="C487" s="1" t="s">
        <v>11</v>
      </c>
      <c r="D487" s="2" t="str">
        <f t="shared" si="61"/>
        <v>z2024303</v>
      </c>
      <c r="E487" s="2" t="str">
        <f>"李欣"</f>
        <v>李欣</v>
      </c>
      <c r="F487" s="2" t="str">
        <f>"女"</f>
        <v>女</v>
      </c>
      <c r="G487" s="1" t="str">
        <f t="shared" si="66"/>
        <v>大专</v>
      </c>
      <c r="H487" s="1" t="str">
        <f t="shared" si="67"/>
        <v>无</v>
      </c>
      <c r="I487" s="1" t="str">
        <f>"湖北恩施学院"</f>
        <v>湖北恩施学院</v>
      </c>
      <c r="J487" s="1" t="str">
        <f t="shared" si="68"/>
        <v>临床医学</v>
      </c>
      <c r="K487" s="7"/>
    </row>
    <row r="488" spans="1:11" ht="36" customHeight="1">
      <c r="A488" s="7">
        <v>486</v>
      </c>
      <c r="B488" s="1" t="s">
        <v>15</v>
      </c>
      <c r="C488" s="1" t="s">
        <v>11</v>
      </c>
      <c r="D488" s="2" t="str">
        <f t="shared" si="61"/>
        <v>z2024303</v>
      </c>
      <c r="E488" s="2" t="str">
        <f>"何超"</f>
        <v>何超</v>
      </c>
      <c r="F488" s="2" t="str">
        <f>"男"</f>
        <v>男</v>
      </c>
      <c r="G488" s="1" t="str">
        <f t="shared" si="66"/>
        <v>大专</v>
      </c>
      <c r="H488" s="1" t="str">
        <f t="shared" si="67"/>
        <v>无</v>
      </c>
      <c r="I488" s="1" t="str">
        <f>"湖南永州职业技术学院"</f>
        <v>湖南永州职业技术学院</v>
      </c>
      <c r="J488" s="1" t="str">
        <f t="shared" si="68"/>
        <v>临床医学</v>
      </c>
      <c r="K488" s="7"/>
    </row>
    <row r="489" spans="1:11" ht="36" customHeight="1">
      <c r="A489" s="7">
        <v>487</v>
      </c>
      <c r="B489" s="1" t="s">
        <v>15</v>
      </c>
      <c r="C489" s="1" t="s">
        <v>11</v>
      </c>
      <c r="D489" s="2" t="str">
        <f t="shared" si="61"/>
        <v>z2024303</v>
      </c>
      <c r="E489" s="2" t="str">
        <f>"梅顺"</f>
        <v>梅顺</v>
      </c>
      <c r="F489" s="2" t="str">
        <f>"男"</f>
        <v>男</v>
      </c>
      <c r="G489" s="1" t="str">
        <f t="shared" si="66"/>
        <v>大专</v>
      </c>
      <c r="H489" s="1" t="str">
        <f t="shared" si="67"/>
        <v>无</v>
      </c>
      <c r="I489" s="1" t="str">
        <f>"湖北三峡职业技术学院"</f>
        <v>湖北三峡职业技术学院</v>
      </c>
      <c r="J489" s="1" t="str">
        <f t="shared" si="68"/>
        <v>临床医学</v>
      </c>
      <c r="K489" s="7"/>
    </row>
    <row r="490" spans="1:11" ht="36" customHeight="1">
      <c r="A490" s="7">
        <v>488</v>
      </c>
      <c r="B490" s="1" t="s">
        <v>15</v>
      </c>
      <c r="C490" s="1" t="s">
        <v>11</v>
      </c>
      <c r="D490" s="2" t="str">
        <f t="shared" si="61"/>
        <v>z2024303</v>
      </c>
      <c r="E490" s="2" t="str">
        <f>"田原骥"</f>
        <v>田原骥</v>
      </c>
      <c r="F490" s="2" t="str">
        <f>"男"</f>
        <v>男</v>
      </c>
      <c r="G490" s="1" t="str">
        <f>"本科"</f>
        <v>本科</v>
      </c>
      <c r="H490" s="1" t="str">
        <f>"学士"</f>
        <v>学士</v>
      </c>
      <c r="I490" s="1" t="str">
        <f>"湖北民族大学科技学院"</f>
        <v>湖北民族大学科技学院</v>
      </c>
      <c r="J490" s="1" t="str">
        <f t="shared" si="68"/>
        <v>临床医学</v>
      </c>
      <c r="K490" s="7"/>
    </row>
    <row r="491" spans="1:11" ht="36" customHeight="1">
      <c r="A491" s="7">
        <v>489</v>
      </c>
      <c r="B491" s="1" t="s">
        <v>15</v>
      </c>
      <c r="C491" s="1" t="s">
        <v>11</v>
      </c>
      <c r="D491" s="2" t="str">
        <f t="shared" si="61"/>
        <v>z2024303</v>
      </c>
      <c r="E491" s="2" t="str">
        <f>"李明健"</f>
        <v>李明健</v>
      </c>
      <c r="F491" s="2" t="str">
        <f>"男"</f>
        <v>男</v>
      </c>
      <c r="G491" s="1" t="str">
        <f>"大专"</f>
        <v>大专</v>
      </c>
      <c r="H491" s="1" t="str">
        <f>"无"</f>
        <v>无</v>
      </c>
      <c r="I491" s="1" t="str">
        <f>"湖北中医药高等专科学校"</f>
        <v>湖北中医药高等专科学校</v>
      </c>
      <c r="J491" s="1" t="str">
        <f t="shared" si="68"/>
        <v>临床医学</v>
      </c>
      <c r="K491" s="7"/>
    </row>
    <row r="492" spans="1:11" ht="36" customHeight="1">
      <c r="A492" s="7">
        <v>490</v>
      </c>
      <c r="B492" s="1" t="s">
        <v>15</v>
      </c>
      <c r="C492" s="1" t="s">
        <v>11</v>
      </c>
      <c r="D492" s="2" t="str">
        <f t="shared" si="61"/>
        <v>z2024303</v>
      </c>
      <c r="E492" s="2" t="str">
        <f>"董雁"</f>
        <v>董雁</v>
      </c>
      <c r="F492" s="2" t="str">
        <f>"女"</f>
        <v>女</v>
      </c>
      <c r="G492" s="1" t="str">
        <f>"大专"</f>
        <v>大专</v>
      </c>
      <c r="H492" s="1" t="str">
        <f>"无"</f>
        <v>无</v>
      </c>
      <c r="I492" s="1" t="str">
        <f>"仙桃职业学院"</f>
        <v>仙桃职业学院</v>
      </c>
      <c r="J492" s="1" t="str">
        <f t="shared" si="68"/>
        <v>临床医学</v>
      </c>
      <c r="K492" s="7"/>
    </row>
    <row r="493" spans="1:11" ht="36" customHeight="1">
      <c r="A493" s="7">
        <v>491</v>
      </c>
      <c r="B493" s="1" t="s">
        <v>15</v>
      </c>
      <c r="C493" s="1" t="s">
        <v>11</v>
      </c>
      <c r="D493" s="2" t="str">
        <f t="shared" si="61"/>
        <v>z2024303</v>
      </c>
      <c r="E493" s="2" t="str">
        <f>"向绍从"</f>
        <v>向绍从</v>
      </c>
      <c r="F493" s="2" t="str">
        <f>"男"</f>
        <v>男</v>
      </c>
      <c r="G493" s="1" t="str">
        <f>"大专"</f>
        <v>大专</v>
      </c>
      <c r="H493" s="1" t="str">
        <f>"无"</f>
        <v>无</v>
      </c>
      <c r="I493" s="1" t="str">
        <f>"湖北中医药高等专科学校"</f>
        <v>湖北中医药高等专科学校</v>
      </c>
      <c r="J493" s="1" t="str">
        <f t="shared" si="68"/>
        <v>临床医学</v>
      </c>
      <c r="K493" s="7"/>
    </row>
    <row r="494" spans="1:11" ht="36" customHeight="1">
      <c r="A494" s="7">
        <v>492</v>
      </c>
      <c r="B494" s="1" t="s">
        <v>15</v>
      </c>
      <c r="C494" s="1" t="s">
        <v>11</v>
      </c>
      <c r="D494" s="2" t="str">
        <f t="shared" si="61"/>
        <v>z2024303</v>
      </c>
      <c r="E494" s="2" t="str">
        <f>"徐海焱"</f>
        <v>徐海焱</v>
      </c>
      <c r="F494" s="2" t="str">
        <f>"女"</f>
        <v>女</v>
      </c>
      <c r="G494" s="1" t="str">
        <f>"大专"</f>
        <v>大专</v>
      </c>
      <c r="H494" s="1" t="str">
        <f>"无"</f>
        <v>无</v>
      </c>
      <c r="I494" s="1" t="str">
        <f>"湖北民族大学科技学院"</f>
        <v>湖北民族大学科技学院</v>
      </c>
      <c r="J494" s="1" t="str">
        <f t="shared" si="68"/>
        <v>临床医学</v>
      </c>
      <c r="K494" s="7"/>
    </row>
    <row r="495" spans="1:11" ht="36" customHeight="1">
      <c r="A495" s="7">
        <v>493</v>
      </c>
      <c r="B495" s="1" t="s">
        <v>17</v>
      </c>
      <c r="C495" s="1" t="s">
        <v>16</v>
      </c>
      <c r="D495" s="2" t="str">
        <f>"z2024304"</f>
        <v>z2024304</v>
      </c>
      <c r="E495" s="2" t="str">
        <f>"曹永顺"</f>
        <v>曹永顺</v>
      </c>
      <c r="F495" s="2" t="str">
        <f>"男"</f>
        <v>男</v>
      </c>
      <c r="G495" s="1" t="str">
        <f t="shared" ref="G495:G503" si="69">"本科"</f>
        <v>本科</v>
      </c>
      <c r="H495" s="1" t="str">
        <f t="shared" ref="H495:H503" si="70">"学士"</f>
        <v>学士</v>
      </c>
      <c r="I495" s="1" t="str">
        <f>"湖北科技学院"</f>
        <v>湖北科技学院</v>
      </c>
      <c r="J495" s="1" t="str">
        <f t="shared" si="68"/>
        <v>临床医学</v>
      </c>
      <c r="K495" s="7"/>
    </row>
    <row r="496" spans="1:11" ht="36" customHeight="1">
      <c r="A496" s="7">
        <v>494</v>
      </c>
      <c r="B496" s="1" t="s">
        <v>19</v>
      </c>
      <c r="C496" s="1" t="s">
        <v>18</v>
      </c>
      <c r="D496" s="2" t="str">
        <f>"z2024305"</f>
        <v>z2024305</v>
      </c>
      <c r="E496" s="2" t="str">
        <f>"潘彧慧"</f>
        <v>潘彧慧</v>
      </c>
      <c r="F496" s="2" t="str">
        <f>"女"</f>
        <v>女</v>
      </c>
      <c r="G496" s="1" t="str">
        <f t="shared" si="69"/>
        <v>本科</v>
      </c>
      <c r="H496" s="1" t="str">
        <f t="shared" si="70"/>
        <v>学士</v>
      </c>
      <c r="I496" s="1" t="str">
        <f>"湖北中医药大学"</f>
        <v>湖北中医药大学</v>
      </c>
      <c r="J496" s="1" t="str">
        <f>"中医学"</f>
        <v>中医学</v>
      </c>
      <c r="K496" s="7"/>
    </row>
    <row r="497" spans="1:11" ht="36" customHeight="1">
      <c r="A497" s="7">
        <v>495</v>
      </c>
      <c r="B497" s="1" t="s">
        <v>20</v>
      </c>
      <c r="C497" s="1" t="s">
        <v>16</v>
      </c>
      <c r="D497" s="2" t="str">
        <f>"z2024306"</f>
        <v>z2024306</v>
      </c>
      <c r="E497" s="2" t="str">
        <f>"贺梦杰"</f>
        <v>贺梦杰</v>
      </c>
      <c r="F497" s="2" t="str">
        <f>"男"</f>
        <v>男</v>
      </c>
      <c r="G497" s="1" t="str">
        <f t="shared" si="69"/>
        <v>本科</v>
      </c>
      <c r="H497" s="1" t="str">
        <f t="shared" si="70"/>
        <v>学士</v>
      </c>
      <c r="I497" s="1" t="str">
        <f>"湖北医药学院"</f>
        <v>湖北医药学院</v>
      </c>
      <c r="J497" s="1" t="str">
        <f>"临床医学（免费医学生）"</f>
        <v>临床医学（免费医学生）</v>
      </c>
      <c r="K497" s="7"/>
    </row>
    <row r="498" spans="1:11" ht="36" customHeight="1">
      <c r="A498" s="7">
        <v>496</v>
      </c>
      <c r="B498" s="1" t="s">
        <v>21</v>
      </c>
      <c r="C498" s="1" t="s">
        <v>18</v>
      </c>
      <c r="D498" s="2" t="str">
        <f>"z2024307"</f>
        <v>z2024307</v>
      </c>
      <c r="E498" s="2" t="str">
        <f>"曾霜"</f>
        <v>曾霜</v>
      </c>
      <c r="F498" s="2" t="str">
        <f>"女"</f>
        <v>女</v>
      </c>
      <c r="G498" s="1" t="str">
        <f t="shared" si="69"/>
        <v>本科</v>
      </c>
      <c r="H498" s="1" t="str">
        <f t="shared" si="70"/>
        <v>学士</v>
      </c>
      <c r="I498" s="1" t="str">
        <f>"湖北中医药大学"</f>
        <v>湖北中医药大学</v>
      </c>
      <c r="J498" s="1" t="str">
        <f>"中医学"</f>
        <v>中医学</v>
      </c>
      <c r="K498" s="7"/>
    </row>
    <row r="499" spans="1:11" ht="36" customHeight="1">
      <c r="A499" s="7">
        <v>497</v>
      </c>
      <c r="B499" s="1" t="s">
        <v>22</v>
      </c>
      <c r="C499" s="1" t="s">
        <v>16</v>
      </c>
      <c r="D499" s="2" t="str">
        <f>"z2024308"</f>
        <v>z2024308</v>
      </c>
      <c r="E499" s="2" t="str">
        <f>"张燕"</f>
        <v>张燕</v>
      </c>
      <c r="F499" s="2" t="str">
        <f>"女"</f>
        <v>女</v>
      </c>
      <c r="G499" s="1" t="str">
        <f t="shared" si="69"/>
        <v>本科</v>
      </c>
      <c r="H499" s="1" t="str">
        <f t="shared" si="70"/>
        <v>学士</v>
      </c>
      <c r="I499" s="1" t="str">
        <f>"湖北科技学院"</f>
        <v>湖北科技学院</v>
      </c>
      <c r="J499" s="1" t="str">
        <f>"临床医学"</f>
        <v>临床医学</v>
      </c>
      <c r="K499" s="7"/>
    </row>
    <row r="500" spans="1:11" ht="36" customHeight="1">
      <c r="A500" s="7">
        <v>498</v>
      </c>
      <c r="B500" s="1" t="s">
        <v>23</v>
      </c>
      <c r="C500" s="1" t="s">
        <v>16</v>
      </c>
      <c r="D500" s="2" t="str">
        <f>"z2024309"</f>
        <v>z2024309</v>
      </c>
      <c r="E500" s="2" t="str">
        <f>"张定杭"</f>
        <v>张定杭</v>
      </c>
      <c r="F500" s="2" t="str">
        <f>"男"</f>
        <v>男</v>
      </c>
      <c r="G500" s="1" t="str">
        <f t="shared" si="69"/>
        <v>本科</v>
      </c>
      <c r="H500" s="1" t="str">
        <f t="shared" si="70"/>
        <v>学士</v>
      </c>
      <c r="I500" s="1" t="str">
        <f>"湖北医药学院"</f>
        <v>湖北医药学院</v>
      </c>
      <c r="J500" s="1" t="str">
        <f>"临床医学（免费医学生）"</f>
        <v>临床医学（免费医学生）</v>
      </c>
      <c r="K500" s="7"/>
    </row>
    <row r="501" spans="1:11" ht="36" customHeight="1">
      <c r="A501" s="7">
        <v>499</v>
      </c>
      <c r="B501" s="1" t="s">
        <v>24</v>
      </c>
      <c r="C501" s="1" t="s">
        <v>16</v>
      </c>
      <c r="D501" s="2" t="str">
        <f>"z2024310"</f>
        <v>z2024310</v>
      </c>
      <c r="E501" s="2" t="str">
        <f>"冷东泽"</f>
        <v>冷东泽</v>
      </c>
      <c r="F501" s="2" t="str">
        <f>"男"</f>
        <v>男</v>
      </c>
      <c r="G501" s="1" t="str">
        <f t="shared" si="69"/>
        <v>本科</v>
      </c>
      <c r="H501" s="1" t="str">
        <f t="shared" si="70"/>
        <v>学士</v>
      </c>
      <c r="I501" s="1" t="str">
        <f>"湖北医药学院"</f>
        <v>湖北医药学院</v>
      </c>
      <c r="J501" s="1" t="str">
        <f>"临床（免费）"</f>
        <v>临床（免费）</v>
      </c>
      <c r="K501" s="7"/>
    </row>
    <row r="502" spans="1:11" ht="36" customHeight="1">
      <c r="A502" s="7">
        <v>500</v>
      </c>
      <c r="B502" s="1" t="s">
        <v>24</v>
      </c>
      <c r="C502" s="1" t="s">
        <v>16</v>
      </c>
      <c r="D502" s="2" t="str">
        <f>"z2024310"</f>
        <v>z2024310</v>
      </c>
      <c r="E502" s="2" t="str">
        <f>"黄城"</f>
        <v>黄城</v>
      </c>
      <c r="F502" s="2" t="str">
        <f>"男"</f>
        <v>男</v>
      </c>
      <c r="G502" s="1" t="str">
        <f t="shared" si="69"/>
        <v>本科</v>
      </c>
      <c r="H502" s="1" t="str">
        <f t="shared" si="70"/>
        <v>学士</v>
      </c>
      <c r="I502" s="1" t="str">
        <f>"湖北医药学院"</f>
        <v>湖北医药学院</v>
      </c>
      <c r="J502" s="1" t="str">
        <f>"临床医学（免费医学生）"</f>
        <v>临床医学（免费医学生）</v>
      </c>
      <c r="K502" s="7"/>
    </row>
    <row r="503" spans="1:11" ht="36" customHeight="1">
      <c r="A503" s="7">
        <v>501</v>
      </c>
      <c r="B503" s="1" t="s">
        <v>24</v>
      </c>
      <c r="C503" s="1" t="s">
        <v>18</v>
      </c>
      <c r="D503" s="2" t="str">
        <f>"z2024311"</f>
        <v>z2024311</v>
      </c>
      <c r="E503" s="2" t="str">
        <f>"谭雪梅"</f>
        <v>谭雪梅</v>
      </c>
      <c r="F503" s="2" t="str">
        <f>"女"</f>
        <v>女</v>
      </c>
      <c r="G503" s="1" t="str">
        <f t="shared" si="69"/>
        <v>本科</v>
      </c>
      <c r="H503" s="1" t="str">
        <f t="shared" si="70"/>
        <v>学士</v>
      </c>
      <c r="I503" s="1" t="str">
        <f>"湖北中医药大学"</f>
        <v>湖北中医药大学</v>
      </c>
      <c r="J503" s="1" t="str">
        <f>"中医学"</f>
        <v>中医学</v>
      </c>
      <c r="K503" s="7"/>
    </row>
    <row r="504" spans="1:11" ht="36" customHeight="1">
      <c r="A504" s="7">
        <v>502</v>
      </c>
      <c r="B504" s="1" t="s">
        <v>24</v>
      </c>
      <c r="C504" s="1" t="s">
        <v>11</v>
      </c>
      <c r="D504" s="2" t="str">
        <f t="shared" ref="D504:D530" si="71">"z2024312"</f>
        <v>z2024312</v>
      </c>
      <c r="E504" s="2" t="str">
        <f>"王田"</f>
        <v>王田</v>
      </c>
      <c r="F504" s="2" t="str">
        <f>"男"</f>
        <v>男</v>
      </c>
      <c r="G504" s="1" t="str">
        <f>"大专"</f>
        <v>大专</v>
      </c>
      <c r="H504" s="1" t="str">
        <f>"无"</f>
        <v>无</v>
      </c>
      <c r="I504" s="1" t="str">
        <f>"三峡职业技术学院"</f>
        <v>三峡职业技术学院</v>
      </c>
      <c r="J504" s="1" t="str">
        <f t="shared" ref="J504:J521" si="72">"临床医学"</f>
        <v>临床医学</v>
      </c>
      <c r="K504" s="7"/>
    </row>
    <row r="505" spans="1:11" ht="36" customHeight="1">
      <c r="A505" s="7">
        <v>503</v>
      </c>
      <c r="B505" s="1" t="s">
        <v>24</v>
      </c>
      <c r="C505" s="1" t="s">
        <v>11</v>
      </c>
      <c r="D505" s="2" t="str">
        <f t="shared" si="71"/>
        <v>z2024312</v>
      </c>
      <c r="E505" s="2" t="str">
        <f>"罗丹"</f>
        <v>罗丹</v>
      </c>
      <c r="F505" s="2" t="str">
        <f>"女"</f>
        <v>女</v>
      </c>
      <c r="G505" s="1" t="str">
        <f>"本科"</f>
        <v>本科</v>
      </c>
      <c r="H505" s="1" t="str">
        <f>"无"</f>
        <v>无</v>
      </c>
      <c r="I505" s="1" t="str">
        <f>"湖北民族学院"</f>
        <v>湖北民族学院</v>
      </c>
      <c r="J505" s="1" t="str">
        <f t="shared" si="72"/>
        <v>临床医学</v>
      </c>
      <c r="K505" s="7"/>
    </row>
    <row r="506" spans="1:11" ht="36" customHeight="1">
      <c r="A506" s="7">
        <v>504</v>
      </c>
      <c r="B506" s="1" t="s">
        <v>24</v>
      </c>
      <c r="C506" s="1" t="s">
        <v>11</v>
      </c>
      <c r="D506" s="2" t="str">
        <f t="shared" si="71"/>
        <v>z2024312</v>
      </c>
      <c r="E506" s="2" t="str">
        <f>"叶桃"</f>
        <v>叶桃</v>
      </c>
      <c r="F506" s="2" t="str">
        <f>"女"</f>
        <v>女</v>
      </c>
      <c r="G506" s="1" t="str">
        <f>"大专"</f>
        <v>大专</v>
      </c>
      <c r="H506" s="1" t="str">
        <f>"无"</f>
        <v>无</v>
      </c>
      <c r="I506" s="1" t="str">
        <f>"仙桃职业学院"</f>
        <v>仙桃职业学院</v>
      </c>
      <c r="J506" s="1" t="str">
        <f t="shared" si="72"/>
        <v>临床医学</v>
      </c>
      <c r="K506" s="7"/>
    </row>
    <row r="507" spans="1:11" ht="36" customHeight="1">
      <c r="A507" s="7">
        <v>505</v>
      </c>
      <c r="B507" s="1" t="s">
        <v>24</v>
      </c>
      <c r="C507" s="1" t="s">
        <v>11</v>
      </c>
      <c r="D507" s="2" t="str">
        <f t="shared" si="71"/>
        <v>z2024312</v>
      </c>
      <c r="E507" s="2" t="str">
        <f>"梅茗彦"</f>
        <v>梅茗彦</v>
      </c>
      <c r="F507" s="2" t="str">
        <f>"男"</f>
        <v>男</v>
      </c>
      <c r="G507" s="1" t="str">
        <f>"大专"</f>
        <v>大专</v>
      </c>
      <c r="H507" s="1" t="str">
        <f>"无"</f>
        <v>无</v>
      </c>
      <c r="I507" s="1" t="str">
        <f>"仙桃职业学院"</f>
        <v>仙桃职业学院</v>
      </c>
      <c r="J507" s="1" t="str">
        <f t="shared" si="72"/>
        <v>临床医学</v>
      </c>
      <c r="K507" s="7"/>
    </row>
    <row r="508" spans="1:11" ht="36" customHeight="1">
      <c r="A508" s="7">
        <v>506</v>
      </c>
      <c r="B508" s="1" t="s">
        <v>24</v>
      </c>
      <c r="C508" s="1" t="s">
        <v>11</v>
      </c>
      <c r="D508" s="2" t="str">
        <f t="shared" si="71"/>
        <v>z2024312</v>
      </c>
      <c r="E508" s="2" t="str">
        <f>"覃越欣"</f>
        <v>覃越欣</v>
      </c>
      <c r="F508" s="2" t="str">
        <f>"女"</f>
        <v>女</v>
      </c>
      <c r="G508" s="1" t="str">
        <f>"大专"</f>
        <v>大专</v>
      </c>
      <c r="H508" s="1" t="str">
        <f>"无"</f>
        <v>无</v>
      </c>
      <c r="I508" s="1" t="str">
        <f>"襄阳职业技术学院"</f>
        <v>襄阳职业技术学院</v>
      </c>
      <c r="J508" s="1" t="str">
        <f t="shared" si="72"/>
        <v>临床医学</v>
      </c>
      <c r="K508" s="7"/>
    </row>
    <row r="509" spans="1:11" ht="36" customHeight="1">
      <c r="A509" s="7">
        <v>507</v>
      </c>
      <c r="B509" s="1" t="s">
        <v>24</v>
      </c>
      <c r="C509" s="1" t="s">
        <v>11</v>
      </c>
      <c r="D509" s="2" t="str">
        <f t="shared" si="71"/>
        <v>z2024312</v>
      </c>
      <c r="E509" s="2" t="str">
        <f>"李伟"</f>
        <v>李伟</v>
      </c>
      <c r="F509" s="2" t="str">
        <f>"男"</f>
        <v>男</v>
      </c>
      <c r="G509" s="1" t="str">
        <f>"本科"</f>
        <v>本科</v>
      </c>
      <c r="H509" s="1" t="str">
        <f>"学士"</f>
        <v>学士</v>
      </c>
      <c r="I509" s="1" t="str">
        <f>"湖北恩施学院"</f>
        <v>湖北恩施学院</v>
      </c>
      <c r="J509" s="1" t="str">
        <f t="shared" si="72"/>
        <v>临床医学</v>
      </c>
      <c r="K509" s="7"/>
    </row>
    <row r="510" spans="1:11" ht="36" customHeight="1">
      <c r="A510" s="7">
        <v>508</v>
      </c>
      <c r="B510" s="1" t="s">
        <v>24</v>
      </c>
      <c r="C510" s="1" t="s">
        <v>11</v>
      </c>
      <c r="D510" s="2" t="str">
        <f t="shared" si="71"/>
        <v>z2024312</v>
      </c>
      <c r="E510" s="2" t="str">
        <f>"姚嘉兴"</f>
        <v>姚嘉兴</v>
      </c>
      <c r="F510" s="2" t="str">
        <f>"男"</f>
        <v>男</v>
      </c>
      <c r="G510" s="1" t="str">
        <f t="shared" ref="G510:G515" si="73">"大专"</f>
        <v>大专</v>
      </c>
      <c r="H510" s="1" t="str">
        <f t="shared" ref="H510:H518" si="74">"无"</f>
        <v>无</v>
      </c>
      <c r="I510" s="1" t="str">
        <f>"黔南民族医学高等专科学校"</f>
        <v>黔南民族医学高等专科学校</v>
      </c>
      <c r="J510" s="1" t="str">
        <f t="shared" si="72"/>
        <v>临床医学</v>
      </c>
      <c r="K510" s="7"/>
    </row>
    <row r="511" spans="1:11" ht="36" customHeight="1">
      <c r="A511" s="7">
        <v>509</v>
      </c>
      <c r="B511" s="1" t="s">
        <v>24</v>
      </c>
      <c r="C511" s="1" t="s">
        <v>11</v>
      </c>
      <c r="D511" s="2" t="str">
        <f t="shared" si="71"/>
        <v>z2024312</v>
      </c>
      <c r="E511" s="2" t="str">
        <f>"左雯承"</f>
        <v>左雯承</v>
      </c>
      <c r="F511" s="2" t="str">
        <f>"男"</f>
        <v>男</v>
      </c>
      <c r="G511" s="1" t="str">
        <f t="shared" si="73"/>
        <v>大专</v>
      </c>
      <c r="H511" s="1" t="str">
        <f t="shared" si="74"/>
        <v>无</v>
      </c>
      <c r="I511" s="1" t="str">
        <f>"湖北恩施学院"</f>
        <v>湖北恩施学院</v>
      </c>
      <c r="J511" s="1" t="str">
        <f t="shared" si="72"/>
        <v>临床医学</v>
      </c>
      <c r="K511" s="7"/>
    </row>
    <row r="512" spans="1:11" ht="36" customHeight="1">
      <c r="A512" s="7">
        <v>510</v>
      </c>
      <c r="B512" s="1" t="s">
        <v>24</v>
      </c>
      <c r="C512" s="1" t="s">
        <v>11</v>
      </c>
      <c r="D512" s="2" t="str">
        <f t="shared" si="71"/>
        <v>z2024312</v>
      </c>
      <c r="E512" s="2" t="str">
        <f>"田德昀"</f>
        <v>田德昀</v>
      </c>
      <c r="F512" s="2" t="str">
        <f>"男"</f>
        <v>男</v>
      </c>
      <c r="G512" s="1" t="str">
        <f t="shared" si="73"/>
        <v>大专</v>
      </c>
      <c r="H512" s="1" t="str">
        <f t="shared" si="74"/>
        <v>无</v>
      </c>
      <c r="I512" s="1" t="str">
        <f>"湖北中医药高等专科学校"</f>
        <v>湖北中医药高等专科学校</v>
      </c>
      <c r="J512" s="1" t="str">
        <f t="shared" si="72"/>
        <v>临床医学</v>
      </c>
      <c r="K512" s="7"/>
    </row>
    <row r="513" spans="1:11" ht="36" customHeight="1">
      <c r="A513" s="7">
        <v>511</v>
      </c>
      <c r="B513" s="1" t="s">
        <v>24</v>
      </c>
      <c r="C513" s="1" t="s">
        <v>11</v>
      </c>
      <c r="D513" s="2" t="str">
        <f t="shared" si="71"/>
        <v>z2024312</v>
      </c>
      <c r="E513" s="2" t="str">
        <f>"胡然红"</f>
        <v>胡然红</v>
      </c>
      <c r="F513" s="2" t="str">
        <f>"女"</f>
        <v>女</v>
      </c>
      <c r="G513" s="1" t="str">
        <f t="shared" si="73"/>
        <v>大专</v>
      </c>
      <c r="H513" s="1" t="str">
        <f t="shared" si="74"/>
        <v>无</v>
      </c>
      <c r="I513" s="1" t="str">
        <f>"襄阳职业技术学院"</f>
        <v>襄阳职业技术学院</v>
      </c>
      <c r="J513" s="1" t="str">
        <f t="shared" si="72"/>
        <v>临床医学</v>
      </c>
      <c r="K513" s="7"/>
    </row>
    <row r="514" spans="1:11" ht="36" customHeight="1">
      <c r="A514" s="7">
        <v>512</v>
      </c>
      <c r="B514" s="1" t="s">
        <v>24</v>
      </c>
      <c r="C514" s="1" t="s">
        <v>11</v>
      </c>
      <c r="D514" s="2" t="str">
        <f t="shared" si="71"/>
        <v>z2024312</v>
      </c>
      <c r="E514" s="2" t="str">
        <f>"张丽华"</f>
        <v>张丽华</v>
      </c>
      <c r="F514" s="2" t="str">
        <f>"女"</f>
        <v>女</v>
      </c>
      <c r="G514" s="1" t="str">
        <f t="shared" si="73"/>
        <v>大专</v>
      </c>
      <c r="H514" s="1" t="str">
        <f t="shared" si="74"/>
        <v>无</v>
      </c>
      <c r="I514" s="1" t="str">
        <f>"湖北中医药高等专科学校"</f>
        <v>湖北中医药高等专科学校</v>
      </c>
      <c r="J514" s="1" t="str">
        <f t="shared" si="72"/>
        <v>临床医学</v>
      </c>
      <c r="K514" s="7"/>
    </row>
    <row r="515" spans="1:11" ht="36" customHeight="1">
      <c r="A515" s="7">
        <v>513</v>
      </c>
      <c r="B515" s="1" t="s">
        <v>24</v>
      </c>
      <c r="C515" s="1" t="s">
        <v>11</v>
      </c>
      <c r="D515" s="2" t="str">
        <f t="shared" si="71"/>
        <v>z2024312</v>
      </c>
      <c r="E515" s="2" t="str">
        <f>"王晓艳"</f>
        <v>王晓艳</v>
      </c>
      <c r="F515" s="2" t="str">
        <f>"女"</f>
        <v>女</v>
      </c>
      <c r="G515" s="1" t="str">
        <f t="shared" si="73"/>
        <v>大专</v>
      </c>
      <c r="H515" s="1" t="str">
        <f t="shared" si="74"/>
        <v>无</v>
      </c>
      <c r="I515" s="1" t="str">
        <f>"湖北民族大学科技学院"</f>
        <v>湖北民族大学科技学院</v>
      </c>
      <c r="J515" s="1" t="str">
        <f t="shared" si="72"/>
        <v>临床医学</v>
      </c>
      <c r="K515" s="7"/>
    </row>
    <row r="516" spans="1:11" ht="36" customHeight="1">
      <c r="A516" s="7">
        <v>514</v>
      </c>
      <c r="B516" s="1" t="s">
        <v>24</v>
      </c>
      <c r="C516" s="1" t="s">
        <v>11</v>
      </c>
      <c r="D516" s="2" t="str">
        <f t="shared" si="71"/>
        <v>z2024312</v>
      </c>
      <c r="E516" s="2" t="str">
        <f>"闵雪"</f>
        <v>闵雪</v>
      </c>
      <c r="F516" s="2" t="str">
        <f>"女"</f>
        <v>女</v>
      </c>
      <c r="G516" s="1" t="str">
        <f>"本科"</f>
        <v>本科</v>
      </c>
      <c r="H516" s="1" t="str">
        <f t="shared" si="74"/>
        <v>无</v>
      </c>
      <c r="I516" s="1" t="str">
        <f>"湖南中医药大学"</f>
        <v>湖南中医药大学</v>
      </c>
      <c r="J516" s="1" t="str">
        <f t="shared" si="72"/>
        <v>临床医学</v>
      </c>
      <c r="K516" s="7"/>
    </row>
    <row r="517" spans="1:11" ht="36" customHeight="1">
      <c r="A517" s="7">
        <v>515</v>
      </c>
      <c r="B517" s="1" t="s">
        <v>24</v>
      </c>
      <c r="C517" s="1" t="s">
        <v>11</v>
      </c>
      <c r="D517" s="2" t="str">
        <f t="shared" si="71"/>
        <v>z2024312</v>
      </c>
      <c r="E517" s="2" t="str">
        <f>"向林俊"</f>
        <v>向林俊</v>
      </c>
      <c r="F517" s="2" t="str">
        <f>"男"</f>
        <v>男</v>
      </c>
      <c r="G517" s="1" t="str">
        <f>"大专"</f>
        <v>大专</v>
      </c>
      <c r="H517" s="1" t="str">
        <f t="shared" si="74"/>
        <v>无</v>
      </c>
      <c r="I517" s="1" t="str">
        <f>"黄冈职业技术学院"</f>
        <v>黄冈职业技术学院</v>
      </c>
      <c r="J517" s="1" t="str">
        <f t="shared" si="72"/>
        <v>临床医学</v>
      </c>
      <c r="K517" s="7"/>
    </row>
    <row r="518" spans="1:11" ht="36" customHeight="1">
      <c r="A518" s="7">
        <v>516</v>
      </c>
      <c r="B518" s="1" t="s">
        <v>24</v>
      </c>
      <c r="C518" s="1" t="s">
        <v>11</v>
      </c>
      <c r="D518" s="2" t="str">
        <f t="shared" si="71"/>
        <v>z2024312</v>
      </c>
      <c r="E518" s="2" t="str">
        <f>"刘敏"</f>
        <v>刘敏</v>
      </c>
      <c r="F518" s="2" t="str">
        <f>"女"</f>
        <v>女</v>
      </c>
      <c r="G518" s="1" t="str">
        <f>"大专"</f>
        <v>大专</v>
      </c>
      <c r="H518" s="1" t="str">
        <f t="shared" si="74"/>
        <v>无</v>
      </c>
      <c r="I518" s="1" t="str">
        <f>"湖南省永州职业技术学院"</f>
        <v>湖南省永州职业技术学院</v>
      </c>
      <c r="J518" s="1" t="str">
        <f t="shared" si="72"/>
        <v>临床医学</v>
      </c>
      <c r="K518" s="7"/>
    </row>
    <row r="519" spans="1:11" ht="36" customHeight="1">
      <c r="A519" s="7">
        <v>517</v>
      </c>
      <c r="B519" s="1" t="s">
        <v>24</v>
      </c>
      <c r="C519" s="1" t="s">
        <v>11</v>
      </c>
      <c r="D519" s="2" t="str">
        <f t="shared" si="71"/>
        <v>z2024312</v>
      </c>
      <c r="E519" s="2" t="str">
        <f>"叶恩帝"</f>
        <v>叶恩帝</v>
      </c>
      <c r="F519" s="2" t="str">
        <f>"女"</f>
        <v>女</v>
      </c>
      <c r="G519" s="1" t="str">
        <f>"本科"</f>
        <v>本科</v>
      </c>
      <c r="H519" s="1" t="str">
        <f>"学士"</f>
        <v>学士</v>
      </c>
      <c r="I519" s="1" t="str">
        <f>"湖北民族大学科技学院"</f>
        <v>湖北民族大学科技学院</v>
      </c>
      <c r="J519" s="1" t="str">
        <f t="shared" si="72"/>
        <v>临床医学</v>
      </c>
      <c r="K519" s="7"/>
    </row>
    <row r="520" spans="1:11" ht="36" customHeight="1">
      <c r="A520" s="7">
        <v>518</v>
      </c>
      <c r="B520" s="1" t="s">
        <v>24</v>
      </c>
      <c r="C520" s="1" t="s">
        <v>11</v>
      </c>
      <c r="D520" s="2" t="str">
        <f t="shared" si="71"/>
        <v>z2024312</v>
      </c>
      <c r="E520" s="2" t="str">
        <f>"梁心"</f>
        <v>梁心</v>
      </c>
      <c r="F520" s="2" t="str">
        <f>"女"</f>
        <v>女</v>
      </c>
      <c r="G520" s="1" t="str">
        <f t="shared" ref="G520:G525" si="75">"大专"</f>
        <v>大专</v>
      </c>
      <c r="H520" s="1" t="str">
        <f t="shared" ref="H520:H525" si="76">"无"</f>
        <v>无</v>
      </c>
      <c r="I520" s="1" t="str">
        <f>"长沙医学院"</f>
        <v>长沙医学院</v>
      </c>
      <c r="J520" s="1" t="str">
        <f t="shared" si="72"/>
        <v>临床医学</v>
      </c>
      <c r="K520" s="7"/>
    </row>
    <row r="521" spans="1:11" ht="36" customHeight="1">
      <c r="A521" s="7">
        <v>519</v>
      </c>
      <c r="B521" s="1" t="s">
        <v>24</v>
      </c>
      <c r="C521" s="1" t="s">
        <v>11</v>
      </c>
      <c r="D521" s="2" t="str">
        <f t="shared" si="71"/>
        <v>z2024312</v>
      </c>
      <c r="E521" s="2" t="str">
        <f>"李慧源"</f>
        <v>李慧源</v>
      </c>
      <c r="F521" s="2" t="str">
        <f>"男"</f>
        <v>男</v>
      </c>
      <c r="G521" s="1" t="str">
        <f t="shared" si="75"/>
        <v>大专</v>
      </c>
      <c r="H521" s="1" t="str">
        <f t="shared" si="76"/>
        <v>无</v>
      </c>
      <c r="I521" s="1" t="str">
        <f>"湖北恩施学院"</f>
        <v>湖北恩施学院</v>
      </c>
      <c r="J521" s="1" t="str">
        <f t="shared" si="72"/>
        <v>临床医学</v>
      </c>
      <c r="K521" s="7"/>
    </row>
    <row r="522" spans="1:11" ht="36" customHeight="1">
      <c r="A522" s="7">
        <v>520</v>
      </c>
      <c r="B522" s="1" t="s">
        <v>24</v>
      </c>
      <c r="C522" s="1" t="s">
        <v>11</v>
      </c>
      <c r="D522" s="2" t="str">
        <f t="shared" si="71"/>
        <v>z2024312</v>
      </c>
      <c r="E522" s="2" t="str">
        <f>"邓捷尹"</f>
        <v>邓捷尹</v>
      </c>
      <c r="F522" s="2" t="str">
        <f>"女"</f>
        <v>女</v>
      </c>
      <c r="G522" s="1" t="str">
        <f t="shared" si="75"/>
        <v>大专</v>
      </c>
      <c r="H522" s="1" t="str">
        <f t="shared" si="76"/>
        <v>无</v>
      </c>
      <c r="I522" s="1" t="str">
        <f>"湖北中医药高等专科学校"</f>
        <v>湖北中医药高等专科学校</v>
      </c>
      <c r="J522" s="1" t="str">
        <f>"口腔医学"</f>
        <v>口腔医学</v>
      </c>
      <c r="K522" s="7"/>
    </row>
    <row r="523" spans="1:11" ht="36" customHeight="1">
      <c r="A523" s="7">
        <v>521</v>
      </c>
      <c r="B523" s="1" t="s">
        <v>24</v>
      </c>
      <c r="C523" s="1" t="s">
        <v>11</v>
      </c>
      <c r="D523" s="2" t="str">
        <f t="shared" si="71"/>
        <v>z2024312</v>
      </c>
      <c r="E523" s="2" t="str">
        <f>"熊沐丹"</f>
        <v>熊沐丹</v>
      </c>
      <c r="F523" s="2" t="str">
        <f>"女"</f>
        <v>女</v>
      </c>
      <c r="G523" s="1" t="str">
        <f t="shared" si="75"/>
        <v>大专</v>
      </c>
      <c r="H523" s="1" t="str">
        <f t="shared" si="76"/>
        <v>无</v>
      </c>
      <c r="I523" s="1" t="str">
        <f>"湖北中医药高等专科学校"</f>
        <v>湖北中医药高等专科学校</v>
      </c>
      <c r="J523" s="1" t="str">
        <f t="shared" ref="J523:J530" si="77">"临床医学"</f>
        <v>临床医学</v>
      </c>
      <c r="K523" s="7"/>
    </row>
    <row r="524" spans="1:11" ht="36" customHeight="1">
      <c r="A524" s="7">
        <v>522</v>
      </c>
      <c r="B524" s="1" t="s">
        <v>24</v>
      </c>
      <c r="C524" s="1" t="s">
        <v>11</v>
      </c>
      <c r="D524" s="2" t="str">
        <f t="shared" si="71"/>
        <v>z2024312</v>
      </c>
      <c r="E524" s="2" t="str">
        <f>"朱德凤"</f>
        <v>朱德凤</v>
      </c>
      <c r="F524" s="2" t="str">
        <f>"女"</f>
        <v>女</v>
      </c>
      <c r="G524" s="1" t="str">
        <f t="shared" si="75"/>
        <v>大专</v>
      </c>
      <c r="H524" s="1" t="str">
        <f t="shared" si="76"/>
        <v>无</v>
      </c>
      <c r="I524" s="1" t="str">
        <f>"仙桃职业学院"</f>
        <v>仙桃职业学院</v>
      </c>
      <c r="J524" s="1" t="str">
        <f t="shared" si="77"/>
        <v>临床医学</v>
      </c>
      <c r="K524" s="7"/>
    </row>
    <row r="525" spans="1:11" ht="36" customHeight="1">
      <c r="A525" s="7">
        <v>523</v>
      </c>
      <c r="B525" s="1" t="s">
        <v>24</v>
      </c>
      <c r="C525" s="1" t="s">
        <v>11</v>
      </c>
      <c r="D525" s="2" t="str">
        <f t="shared" si="71"/>
        <v>z2024312</v>
      </c>
      <c r="E525" s="2" t="str">
        <f>"杨超"</f>
        <v>杨超</v>
      </c>
      <c r="F525" s="2" t="str">
        <f>"男"</f>
        <v>男</v>
      </c>
      <c r="G525" s="1" t="str">
        <f t="shared" si="75"/>
        <v>大专</v>
      </c>
      <c r="H525" s="1" t="str">
        <f t="shared" si="76"/>
        <v>无</v>
      </c>
      <c r="I525" s="1" t="str">
        <f>"仙桃职业学院"</f>
        <v>仙桃职业学院</v>
      </c>
      <c r="J525" s="1" t="str">
        <f t="shared" si="77"/>
        <v>临床医学</v>
      </c>
      <c r="K525" s="7"/>
    </row>
    <row r="526" spans="1:11" ht="36" customHeight="1">
      <c r="A526" s="7">
        <v>524</v>
      </c>
      <c r="B526" s="1" t="s">
        <v>24</v>
      </c>
      <c r="C526" s="1" t="s">
        <v>11</v>
      </c>
      <c r="D526" s="2" t="str">
        <f t="shared" si="71"/>
        <v>z2024312</v>
      </c>
      <c r="E526" s="2" t="str">
        <f>"李秋平"</f>
        <v>李秋平</v>
      </c>
      <c r="F526" s="2" t="str">
        <f>"女"</f>
        <v>女</v>
      </c>
      <c r="G526" s="1" t="str">
        <f>"本科"</f>
        <v>本科</v>
      </c>
      <c r="H526" s="1" t="str">
        <f>"学士"</f>
        <v>学士</v>
      </c>
      <c r="I526" s="1" t="str">
        <f>"湖北民族大学科技学院"</f>
        <v>湖北民族大学科技学院</v>
      </c>
      <c r="J526" s="1" t="str">
        <f t="shared" si="77"/>
        <v>临床医学</v>
      </c>
      <c r="K526" s="7"/>
    </row>
    <row r="527" spans="1:11" ht="36" customHeight="1">
      <c r="A527" s="7">
        <v>525</v>
      </c>
      <c r="B527" s="1" t="s">
        <v>24</v>
      </c>
      <c r="C527" s="1" t="s">
        <v>11</v>
      </c>
      <c r="D527" s="2" t="str">
        <f t="shared" si="71"/>
        <v>z2024312</v>
      </c>
      <c r="E527" s="2" t="str">
        <f>"李婷"</f>
        <v>李婷</v>
      </c>
      <c r="F527" s="2" t="str">
        <f>"女"</f>
        <v>女</v>
      </c>
      <c r="G527" s="1" t="str">
        <f>"大专"</f>
        <v>大专</v>
      </c>
      <c r="H527" s="1" t="str">
        <f>"无"</f>
        <v>无</v>
      </c>
      <c r="I527" s="1" t="str">
        <f>"仙桃职业学院"</f>
        <v>仙桃职业学院</v>
      </c>
      <c r="J527" s="1" t="str">
        <f t="shared" si="77"/>
        <v>临床医学</v>
      </c>
      <c r="K527" s="7"/>
    </row>
    <row r="528" spans="1:11" ht="36" customHeight="1">
      <c r="A528" s="7">
        <v>526</v>
      </c>
      <c r="B528" s="1" t="s">
        <v>24</v>
      </c>
      <c r="C528" s="1" t="s">
        <v>11</v>
      </c>
      <c r="D528" s="2" t="str">
        <f t="shared" si="71"/>
        <v>z2024312</v>
      </c>
      <c r="E528" s="2" t="str">
        <f>"聂波"</f>
        <v>聂波</v>
      </c>
      <c r="F528" s="2" t="str">
        <f>"男"</f>
        <v>男</v>
      </c>
      <c r="G528" s="1" t="str">
        <f>"大专"</f>
        <v>大专</v>
      </c>
      <c r="H528" s="1" t="str">
        <f>"无"</f>
        <v>无</v>
      </c>
      <c r="I528" s="1" t="str">
        <f>"仙桃职业学院"</f>
        <v>仙桃职业学院</v>
      </c>
      <c r="J528" s="1" t="str">
        <f t="shared" si="77"/>
        <v>临床医学</v>
      </c>
      <c r="K528" s="7"/>
    </row>
    <row r="529" spans="1:11" ht="36" customHeight="1">
      <c r="A529" s="7">
        <v>527</v>
      </c>
      <c r="B529" s="1" t="s">
        <v>24</v>
      </c>
      <c r="C529" s="1" t="s">
        <v>11</v>
      </c>
      <c r="D529" s="2" t="str">
        <f t="shared" si="71"/>
        <v>z2024312</v>
      </c>
      <c r="E529" s="2" t="str">
        <f>"苏照银"</f>
        <v>苏照银</v>
      </c>
      <c r="F529" s="2" t="str">
        <f>"男"</f>
        <v>男</v>
      </c>
      <c r="G529" s="1" t="str">
        <f>"本科"</f>
        <v>本科</v>
      </c>
      <c r="H529" s="1" t="str">
        <f>"学士"</f>
        <v>学士</v>
      </c>
      <c r="I529" s="1" t="str">
        <f>"湖北恩施学院"</f>
        <v>湖北恩施学院</v>
      </c>
      <c r="J529" s="1" t="str">
        <f t="shared" si="77"/>
        <v>临床医学</v>
      </c>
      <c r="K529" s="7"/>
    </row>
    <row r="530" spans="1:11" ht="36" customHeight="1">
      <c r="A530" s="7">
        <v>528</v>
      </c>
      <c r="B530" s="1" t="s">
        <v>24</v>
      </c>
      <c r="C530" s="1" t="s">
        <v>11</v>
      </c>
      <c r="D530" s="2" t="str">
        <f t="shared" si="71"/>
        <v>z2024312</v>
      </c>
      <c r="E530" s="2" t="str">
        <f>"陈向丰"</f>
        <v>陈向丰</v>
      </c>
      <c r="F530" s="2" t="str">
        <f>"男"</f>
        <v>男</v>
      </c>
      <c r="G530" s="1" t="str">
        <f>"大专"</f>
        <v>大专</v>
      </c>
      <c r="H530" s="1" t="str">
        <f>"无"</f>
        <v>无</v>
      </c>
      <c r="I530" s="1" t="str">
        <f>"仙桃职业学院"</f>
        <v>仙桃职业学院</v>
      </c>
      <c r="J530" s="1" t="str">
        <f t="shared" si="77"/>
        <v>临床医学</v>
      </c>
      <c r="K530" s="7"/>
    </row>
    <row r="531" spans="1:11" ht="36" customHeight="1">
      <c r="A531" s="7">
        <v>529</v>
      </c>
      <c r="B531" s="1" t="s">
        <v>24</v>
      </c>
      <c r="C531" s="1" t="s">
        <v>25</v>
      </c>
      <c r="D531" s="2" t="str">
        <f t="shared" ref="D531:D555" si="78">"z2024313"</f>
        <v>z2024313</v>
      </c>
      <c r="E531" s="2" t="str">
        <f>"李升学"</f>
        <v>李升学</v>
      </c>
      <c r="F531" s="2" t="str">
        <f>"女"</f>
        <v>女</v>
      </c>
      <c r="G531" s="1" t="str">
        <f>"本科"</f>
        <v>本科</v>
      </c>
      <c r="H531" s="1" t="str">
        <f>"无"</f>
        <v>无</v>
      </c>
      <c r="I531" s="1" t="str">
        <f>"湖北中医药大学"</f>
        <v>湖北中医药大学</v>
      </c>
      <c r="J531" s="1" t="str">
        <f>"中西医临床医学"</f>
        <v>中西医临床医学</v>
      </c>
      <c r="K531" s="7"/>
    </row>
    <row r="532" spans="1:11" ht="36" customHeight="1">
      <c r="A532" s="7">
        <v>530</v>
      </c>
      <c r="B532" s="1" t="s">
        <v>24</v>
      </c>
      <c r="C532" s="1" t="s">
        <v>25</v>
      </c>
      <c r="D532" s="2" t="str">
        <f t="shared" si="78"/>
        <v>z2024313</v>
      </c>
      <c r="E532" s="2" t="str">
        <f>"颜佳"</f>
        <v>颜佳</v>
      </c>
      <c r="F532" s="2" t="str">
        <f>"女"</f>
        <v>女</v>
      </c>
      <c r="G532" s="1" t="str">
        <f>"本科"</f>
        <v>本科</v>
      </c>
      <c r="H532" s="1" t="str">
        <f>"学士"</f>
        <v>学士</v>
      </c>
      <c r="I532" s="1" t="str">
        <f>"湖北民族大学科技学院"</f>
        <v>湖北民族大学科技学院</v>
      </c>
      <c r="J532" s="1" t="str">
        <f>"中西医临床医学"</f>
        <v>中西医临床医学</v>
      </c>
      <c r="K532" s="7"/>
    </row>
    <row r="533" spans="1:11" ht="36" customHeight="1">
      <c r="A533" s="7">
        <v>531</v>
      </c>
      <c r="B533" s="1" t="s">
        <v>24</v>
      </c>
      <c r="C533" s="1" t="s">
        <v>25</v>
      </c>
      <c r="D533" s="2" t="str">
        <f t="shared" si="78"/>
        <v>z2024313</v>
      </c>
      <c r="E533" s="2" t="str">
        <f>"彭佳"</f>
        <v>彭佳</v>
      </c>
      <c r="F533" s="2" t="str">
        <f>"女"</f>
        <v>女</v>
      </c>
      <c r="G533" s="1" t="str">
        <f>"大专"</f>
        <v>大专</v>
      </c>
      <c r="H533" s="1" t="str">
        <f>"无"</f>
        <v>无</v>
      </c>
      <c r="I533" s="1" t="str">
        <f>"湖北中医药高等专科学校"</f>
        <v>湖北中医药高等专科学校</v>
      </c>
      <c r="J533" s="1" t="str">
        <f>"中医学"</f>
        <v>中医学</v>
      </c>
      <c r="K533" s="7"/>
    </row>
    <row r="534" spans="1:11" ht="36" customHeight="1">
      <c r="A534" s="7">
        <v>532</v>
      </c>
      <c r="B534" s="1" t="s">
        <v>24</v>
      </c>
      <c r="C534" s="1" t="s">
        <v>25</v>
      </c>
      <c r="D534" s="2" t="str">
        <f t="shared" si="78"/>
        <v>z2024313</v>
      </c>
      <c r="E534" s="2" t="str">
        <f>"杨旻璋"</f>
        <v>杨旻璋</v>
      </c>
      <c r="F534" s="2" t="str">
        <f>"男"</f>
        <v>男</v>
      </c>
      <c r="G534" s="1" t="str">
        <f>"大专"</f>
        <v>大专</v>
      </c>
      <c r="H534" s="1" t="str">
        <f>"无"</f>
        <v>无</v>
      </c>
      <c r="I534" s="1" t="str">
        <f>"湖北中医药高等专科学校"</f>
        <v>湖北中医药高等专科学校</v>
      </c>
      <c r="J534" s="1" t="str">
        <f>"针灸推拿"</f>
        <v>针灸推拿</v>
      </c>
      <c r="K534" s="7"/>
    </row>
    <row r="535" spans="1:11" ht="36" customHeight="1">
      <c r="A535" s="7">
        <v>533</v>
      </c>
      <c r="B535" s="1" t="s">
        <v>24</v>
      </c>
      <c r="C535" s="1" t="s">
        <v>25</v>
      </c>
      <c r="D535" s="2" t="str">
        <f t="shared" si="78"/>
        <v>z2024313</v>
      </c>
      <c r="E535" s="2" t="str">
        <f>"喻倩瑶"</f>
        <v>喻倩瑶</v>
      </c>
      <c r="F535" s="2" t="str">
        <f>"女"</f>
        <v>女</v>
      </c>
      <c r="G535" s="1" t="str">
        <f>"本科"</f>
        <v>本科</v>
      </c>
      <c r="H535" s="1" t="str">
        <f>"学士"</f>
        <v>学士</v>
      </c>
      <c r="I535" s="1" t="str">
        <f>"湖北民族大学科技学院"</f>
        <v>湖北民族大学科技学院</v>
      </c>
      <c r="J535" s="1" t="str">
        <f>"中西医临床医学"</f>
        <v>中西医临床医学</v>
      </c>
      <c r="K535" s="7"/>
    </row>
    <row r="536" spans="1:11" ht="36" customHeight="1">
      <c r="A536" s="7">
        <v>534</v>
      </c>
      <c r="B536" s="1" t="s">
        <v>24</v>
      </c>
      <c r="C536" s="1" t="s">
        <v>25</v>
      </c>
      <c r="D536" s="2" t="str">
        <f t="shared" si="78"/>
        <v>z2024313</v>
      </c>
      <c r="E536" s="2" t="str">
        <f>"刘泽洲"</f>
        <v>刘泽洲</v>
      </c>
      <c r="F536" s="2" t="str">
        <f>"男"</f>
        <v>男</v>
      </c>
      <c r="G536" s="1" t="str">
        <f>"大专"</f>
        <v>大专</v>
      </c>
      <c r="H536" s="1" t="str">
        <f>"无"</f>
        <v>无</v>
      </c>
      <c r="I536" s="1" t="str">
        <f>"湖北中医药高等专科学校"</f>
        <v>湖北中医药高等专科学校</v>
      </c>
      <c r="J536" s="1" t="str">
        <f>"中医学"</f>
        <v>中医学</v>
      </c>
      <c r="K536" s="7"/>
    </row>
    <row r="537" spans="1:11" ht="36" customHeight="1">
      <c r="A537" s="7">
        <v>535</v>
      </c>
      <c r="B537" s="1" t="s">
        <v>24</v>
      </c>
      <c r="C537" s="1" t="s">
        <v>25</v>
      </c>
      <c r="D537" s="2" t="str">
        <f t="shared" si="78"/>
        <v>z2024313</v>
      </c>
      <c r="E537" s="2" t="str">
        <f>"田世超"</f>
        <v>田世超</v>
      </c>
      <c r="F537" s="2" t="str">
        <f>"男"</f>
        <v>男</v>
      </c>
      <c r="G537" s="1" t="str">
        <f>"大专"</f>
        <v>大专</v>
      </c>
      <c r="H537" s="1" t="str">
        <f>"无"</f>
        <v>无</v>
      </c>
      <c r="I537" s="1" t="str">
        <f>"湖北中医药高等专科学校"</f>
        <v>湖北中医药高等专科学校</v>
      </c>
      <c r="J537" s="1" t="str">
        <f>"针灸推拿"</f>
        <v>针灸推拿</v>
      </c>
      <c r="K537" s="7"/>
    </row>
    <row r="538" spans="1:11" ht="36" customHeight="1">
      <c r="A538" s="7">
        <v>536</v>
      </c>
      <c r="B538" s="1" t="s">
        <v>24</v>
      </c>
      <c r="C538" s="1" t="s">
        <v>25</v>
      </c>
      <c r="D538" s="2" t="str">
        <f t="shared" si="78"/>
        <v>z2024313</v>
      </c>
      <c r="E538" s="2" t="str">
        <f>"彭屿杰"</f>
        <v>彭屿杰</v>
      </c>
      <c r="F538" s="2" t="str">
        <f t="shared" ref="F538:F545" si="79">"女"</f>
        <v>女</v>
      </c>
      <c r="G538" s="1" t="str">
        <f>"本科"</f>
        <v>本科</v>
      </c>
      <c r="H538" s="1" t="str">
        <f>"学士"</f>
        <v>学士</v>
      </c>
      <c r="I538" s="1" t="str">
        <f>"湖北恩施学院"</f>
        <v>湖北恩施学院</v>
      </c>
      <c r="J538" s="1" t="str">
        <f>"中西医结合临床医学"</f>
        <v>中西医结合临床医学</v>
      </c>
      <c r="K538" s="7"/>
    </row>
    <row r="539" spans="1:11" ht="36" customHeight="1">
      <c r="A539" s="7">
        <v>537</v>
      </c>
      <c r="B539" s="1" t="s">
        <v>24</v>
      </c>
      <c r="C539" s="1" t="s">
        <v>25</v>
      </c>
      <c r="D539" s="2" t="str">
        <f t="shared" si="78"/>
        <v>z2024313</v>
      </c>
      <c r="E539" s="2" t="str">
        <f>"叶林悦"</f>
        <v>叶林悦</v>
      </c>
      <c r="F539" s="2" t="str">
        <f t="shared" si="79"/>
        <v>女</v>
      </c>
      <c r="G539" s="1" t="str">
        <f>"大专"</f>
        <v>大专</v>
      </c>
      <c r="H539" s="1" t="str">
        <f>"无"</f>
        <v>无</v>
      </c>
      <c r="I539" s="1" t="str">
        <f>"湖北中医药高等专科学校"</f>
        <v>湖北中医药高等专科学校</v>
      </c>
      <c r="J539" s="1" t="str">
        <f>"针灸推拿"</f>
        <v>针灸推拿</v>
      </c>
      <c r="K539" s="7"/>
    </row>
    <row r="540" spans="1:11" ht="36" customHeight="1">
      <c r="A540" s="7">
        <v>538</v>
      </c>
      <c r="B540" s="1" t="s">
        <v>24</v>
      </c>
      <c r="C540" s="1" t="s">
        <v>25</v>
      </c>
      <c r="D540" s="2" t="str">
        <f t="shared" si="78"/>
        <v>z2024313</v>
      </c>
      <c r="E540" s="2" t="str">
        <f>"龙腾"</f>
        <v>龙腾</v>
      </c>
      <c r="F540" s="2" t="str">
        <f t="shared" si="79"/>
        <v>女</v>
      </c>
      <c r="G540" s="1" t="str">
        <f>"本科"</f>
        <v>本科</v>
      </c>
      <c r="H540" s="1" t="str">
        <f>"学士"</f>
        <v>学士</v>
      </c>
      <c r="I540" s="1" t="str">
        <f>"湖北恩施学院"</f>
        <v>湖北恩施学院</v>
      </c>
      <c r="J540" s="1" t="str">
        <f>"中西医临床医学"</f>
        <v>中西医临床医学</v>
      </c>
      <c r="K540" s="7"/>
    </row>
    <row r="541" spans="1:11" ht="36" customHeight="1">
      <c r="A541" s="7">
        <v>539</v>
      </c>
      <c r="B541" s="1" t="s">
        <v>24</v>
      </c>
      <c r="C541" s="1" t="s">
        <v>25</v>
      </c>
      <c r="D541" s="2" t="str">
        <f t="shared" si="78"/>
        <v>z2024313</v>
      </c>
      <c r="E541" s="2" t="str">
        <f>"陈晨"</f>
        <v>陈晨</v>
      </c>
      <c r="F541" s="2" t="str">
        <f t="shared" si="79"/>
        <v>女</v>
      </c>
      <c r="G541" s="1" t="str">
        <f>"本科"</f>
        <v>本科</v>
      </c>
      <c r="H541" s="1" t="str">
        <f>"学士"</f>
        <v>学士</v>
      </c>
      <c r="I541" s="1" t="str">
        <f>"湖北民族大学科技学院"</f>
        <v>湖北民族大学科技学院</v>
      </c>
      <c r="J541" s="1" t="str">
        <f>"中西医临床医学"</f>
        <v>中西医临床医学</v>
      </c>
      <c r="K541" s="7"/>
    </row>
    <row r="542" spans="1:11" ht="36" customHeight="1">
      <c r="A542" s="7">
        <v>540</v>
      </c>
      <c r="B542" s="1" t="s">
        <v>24</v>
      </c>
      <c r="C542" s="1" t="s">
        <v>25</v>
      </c>
      <c r="D542" s="2" t="str">
        <f t="shared" si="78"/>
        <v>z2024313</v>
      </c>
      <c r="E542" s="2" t="str">
        <f>"李明秋"</f>
        <v>李明秋</v>
      </c>
      <c r="F542" s="2" t="str">
        <f t="shared" si="79"/>
        <v>女</v>
      </c>
      <c r="G542" s="1" t="str">
        <f>"大专"</f>
        <v>大专</v>
      </c>
      <c r="H542" s="1" t="str">
        <f>"无"</f>
        <v>无</v>
      </c>
      <c r="I542" s="1" t="str">
        <f>"湖南中医药高等专科学校"</f>
        <v>湖南中医药高等专科学校</v>
      </c>
      <c r="J542" s="1" t="str">
        <f>"中医学"</f>
        <v>中医学</v>
      </c>
      <c r="K542" s="7"/>
    </row>
    <row r="543" spans="1:11" ht="36" customHeight="1">
      <c r="A543" s="7">
        <v>541</v>
      </c>
      <c r="B543" s="1" t="s">
        <v>24</v>
      </c>
      <c r="C543" s="1" t="s">
        <v>25</v>
      </c>
      <c r="D543" s="2" t="str">
        <f t="shared" si="78"/>
        <v>z2024313</v>
      </c>
      <c r="E543" s="2" t="str">
        <f>"吴玲"</f>
        <v>吴玲</v>
      </c>
      <c r="F543" s="2" t="str">
        <f t="shared" si="79"/>
        <v>女</v>
      </c>
      <c r="G543" s="1" t="str">
        <f>"硕士研究生"</f>
        <v>硕士研究生</v>
      </c>
      <c r="H543" s="1" t="str">
        <f>"硕士"</f>
        <v>硕士</v>
      </c>
      <c r="I543" s="1" t="str">
        <f>"湖北中医药大学"</f>
        <v>湖北中医药大学</v>
      </c>
      <c r="J543" s="1" t="str">
        <f>"中西医结合临床"</f>
        <v>中西医结合临床</v>
      </c>
      <c r="K543" s="7"/>
    </row>
    <row r="544" spans="1:11" ht="36" customHeight="1">
      <c r="A544" s="7">
        <v>542</v>
      </c>
      <c r="B544" s="1" t="s">
        <v>24</v>
      </c>
      <c r="C544" s="1" t="s">
        <v>25</v>
      </c>
      <c r="D544" s="2" t="str">
        <f t="shared" si="78"/>
        <v>z2024313</v>
      </c>
      <c r="E544" s="2" t="str">
        <f>"叶华"</f>
        <v>叶华</v>
      </c>
      <c r="F544" s="2" t="str">
        <f t="shared" si="79"/>
        <v>女</v>
      </c>
      <c r="G544" s="1" t="str">
        <f>"大专"</f>
        <v>大专</v>
      </c>
      <c r="H544" s="1" t="str">
        <f>"无"</f>
        <v>无</v>
      </c>
      <c r="I544" s="1" t="str">
        <f>"湖北民族学院"</f>
        <v>湖北民族学院</v>
      </c>
      <c r="J544" s="1" t="str">
        <f>"中西医结合"</f>
        <v>中西医结合</v>
      </c>
      <c r="K544" s="7"/>
    </row>
    <row r="545" spans="1:11" ht="36" customHeight="1">
      <c r="A545" s="7">
        <v>543</v>
      </c>
      <c r="B545" s="1" t="s">
        <v>24</v>
      </c>
      <c r="C545" s="1" t="s">
        <v>25</v>
      </c>
      <c r="D545" s="2" t="str">
        <f t="shared" si="78"/>
        <v>z2024313</v>
      </c>
      <c r="E545" s="2" t="str">
        <f>"朱海迪"</f>
        <v>朱海迪</v>
      </c>
      <c r="F545" s="2" t="str">
        <f t="shared" si="79"/>
        <v>女</v>
      </c>
      <c r="G545" s="1" t="str">
        <f>"大专"</f>
        <v>大专</v>
      </c>
      <c r="H545" s="1" t="str">
        <f>"无"</f>
        <v>无</v>
      </c>
      <c r="I545" s="1" t="str">
        <f>"湖北中医药高等专科学校"</f>
        <v>湖北中医药高等专科学校</v>
      </c>
      <c r="J545" s="1" t="str">
        <f>"中医学"</f>
        <v>中医学</v>
      </c>
      <c r="K545" s="7"/>
    </row>
    <row r="546" spans="1:11" ht="36" customHeight="1">
      <c r="A546" s="7">
        <v>544</v>
      </c>
      <c r="B546" s="1" t="s">
        <v>24</v>
      </c>
      <c r="C546" s="1" t="s">
        <v>25</v>
      </c>
      <c r="D546" s="2" t="str">
        <f t="shared" si="78"/>
        <v>z2024313</v>
      </c>
      <c r="E546" s="2" t="str">
        <f>"何显真"</f>
        <v>何显真</v>
      </c>
      <c r="F546" s="2" t="str">
        <f>"男"</f>
        <v>男</v>
      </c>
      <c r="G546" s="1" t="str">
        <f>"本科"</f>
        <v>本科</v>
      </c>
      <c r="H546" s="1" t="str">
        <f>"学士"</f>
        <v>学士</v>
      </c>
      <c r="I546" s="1" t="str">
        <f>"湖北恩施学院"</f>
        <v>湖北恩施学院</v>
      </c>
      <c r="J546" s="1" t="str">
        <f>"中西医临床医学"</f>
        <v>中西医临床医学</v>
      </c>
      <c r="K546" s="7"/>
    </row>
    <row r="547" spans="1:11" ht="36" customHeight="1">
      <c r="A547" s="7">
        <v>545</v>
      </c>
      <c r="B547" s="1" t="s">
        <v>24</v>
      </c>
      <c r="C547" s="1" t="s">
        <v>25</v>
      </c>
      <c r="D547" s="2" t="str">
        <f t="shared" si="78"/>
        <v>z2024313</v>
      </c>
      <c r="E547" s="2" t="str">
        <f>"向超"</f>
        <v>向超</v>
      </c>
      <c r="F547" s="2" t="str">
        <f>"男"</f>
        <v>男</v>
      </c>
      <c r="G547" s="1" t="str">
        <f>"本科"</f>
        <v>本科</v>
      </c>
      <c r="H547" s="1" t="str">
        <f>"学士"</f>
        <v>学士</v>
      </c>
      <c r="I547" s="1" t="str">
        <f>"湖北民族大学科技学院"</f>
        <v>湖北民族大学科技学院</v>
      </c>
      <c r="J547" s="1" t="str">
        <f>"中西医临床医学"</f>
        <v>中西医临床医学</v>
      </c>
      <c r="K547" s="7"/>
    </row>
    <row r="548" spans="1:11" ht="36" customHeight="1">
      <c r="A548" s="7">
        <v>546</v>
      </c>
      <c r="B548" s="1" t="s">
        <v>24</v>
      </c>
      <c r="C548" s="1" t="s">
        <v>25</v>
      </c>
      <c r="D548" s="2" t="str">
        <f t="shared" si="78"/>
        <v>z2024313</v>
      </c>
      <c r="E548" s="2" t="str">
        <f>"沈孝琴"</f>
        <v>沈孝琴</v>
      </c>
      <c r="F548" s="2" t="str">
        <f>"女"</f>
        <v>女</v>
      </c>
      <c r="G548" s="1" t="str">
        <f>"大专"</f>
        <v>大专</v>
      </c>
      <c r="H548" s="1" t="str">
        <f>"无"</f>
        <v>无</v>
      </c>
      <c r="I548" s="1" t="str">
        <f>"湖北中医药高等专科学校"</f>
        <v>湖北中医药高等专科学校</v>
      </c>
      <c r="J548" s="1" t="str">
        <f>"中医学"</f>
        <v>中医学</v>
      </c>
      <c r="K548" s="7"/>
    </row>
    <row r="549" spans="1:11" ht="36" customHeight="1">
      <c r="A549" s="7">
        <v>547</v>
      </c>
      <c r="B549" s="1" t="s">
        <v>24</v>
      </c>
      <c r="C549" s="1" t="s">
        <v>25</v>
      </c>
      <c r="D549" s="2" t="str">
        <f t="shared" si="78"/>
        <v>z2024313</v>
      </c>
      <c r="E549" s="2" t="str">
        <f>"田秋凤"</f>
        <v>田秋凤</v>
      </c>
      <c r="F549" s="2" t="str">
        <f>"女"</f>
        <v>女</v>
      </c>
      <c r="G549" s="1" t="str">
        <f>"大专"</f>
        <v>大专</v>
      </c>
      <c r="H549" s="1" t="str">
        <f>"无"</f>
        <v>无</v>
      </c>
      <c r="I549" s="1" t="str">
        <f>"湖南中医药高等专科学校"</f>
        <v>湖南中医药高等专科学校</v>
      </c>
      <c r="J549" s="1" t="str">
        <f>"针灸推拿"</f>
        <v>针灸推拿</v>
      </c>
      <c r="K549" s="7"/>
    </row>
    <row r="550" spans="1:11" ht="36" customHeight="1">
      <c r="A550" s="7">
        <v>548</v>
      </c>
      <c r="B550" s="1" t="s">
        <v>24</v>
      </c>
      <c r="C550" s="1" t="s">
        <v>25</v>
      </c>
      <c r="D550" s="2" t="str">
        <f t="shared" si="78"/>
        <v>z2024313</v>
      </c>
      <c r="E550" s="2" t="str">
        <f>"孙谦"</f>
        <v>孙谦</v>
      </c>
      <c r="F550" s="2" t="str">
        <f>"男"</f>
        <v>男</v>
      </c>
      <c r="G550" s="1" t="str">
        <f>"本科"</f>
        <v>本科</v>
      </c>
      <c r="H550" s="1" t="str">
        <f>"学士"</f>
        <v>学士</v>
      </c>
      <c r="I550" s="1" t="str">
        <f>"湖北民族学院"</f>
        <v>湖北民族学院</v>
      </c>
      <c r="J550" s="1" t="str">
        <f>"中医学"</f>
        <v>中医学</v>
      </c>
      <c r="K550" s="7"/>
    </row>
    <row r="551" spans="1:11" ht="36" customHeight="1">
      <c r="A551" s="7">
        <v>549</v>
      </c>
      <c r="B551" s="1" t="s">
        <v>24</v>
      </c>
      <c r="C551" s="1" t="s">
        <v>25</v>
      </c>
      <c r="D551" s="2" t="str">
        <f t="shared" si="78"/>
        <v>z2024313</v>
      </c>
      <c r="E551" s="2" t="str">
        <f>"何远馨"</f>
        <v>何远馨</v>
      </c>
      <c r="F551" s="2" t="str">
        <f>"女"</f>
        <v>女</v>
      </c>
      <c r="G551" s="1" t="str">
        <f>"本科"</f>
        <v>本科</v>
      </c>
      <c r="H551" s="1" t="str">
        <f>"学士"</f>
        <v>学士</v>
      </c>
      <c r="I551" s="1" t="str">
        <f>"湖北中医药大学"</f>
        <v>湖北中医药大学</v>
      </c>
      <c r="J551" s="1" t="str">
        <f>"中西医结合临床"</f>
        <v>中西医结合临床</v>
      </c>
      <c r="K551" s="7"/>
    </row>
    <row r="552" spans="1:11" ht="36" customHeight="1">
      <c r="A552" s="7">
        <v>550</v>
      </c>
      <c r="B552" s="1" t="s">
        <v>24</v>
      </c>
      <c r="C552" s="1" t="s">
        <v>25</v>
      </c>
      <c r="D552" s="2" t="str">
        <f t="shared" si="78"/>
        <v>z2024313</v>
      </c>
      <c r="E552" s="2" t="str">
        <f>"张龙"</f>
        <v>张龙</v>
      </c>
      <c r="F552" s="2" t="str">
        <f>"男"</f>
        <v>男</v>
      </c>
      <c r="G552" s="1" t="str">
        <f>"本科"</f>
        <v>本科</v>
      </c>
      <c r="H552" s="1" t="str">
        <f t="shared" ref="H552:H564" si="80">"无"</f>
        <v>无</v>
      </c>
      <c r="I552" s="1" t="str">
        <f>"湖北民族大学"</f>
        <v>湖北民族大学</v>
      </c>
      <c r="J552" s="1" t="str">
        <f>"中医学"</f>
        <v>中医学</v>
      </c>
      <c r="K552" s="7"/>
    </row>
    <row r="553" spans="1:11" ht="36" customHeight="1">
      <c r="A553" s="7">
        <v>551</v>
      </c>
      <c r="B553" s="1" t="s">
        <v>24</v>
      </c>
      <c r="C553" s="1" t="s">
        <v>25</v>
      </c>
      <c r="D553" s="2" t="str">
        <f t="shared" si="78"/>
        <v>z2024313</v>
      </c>
      <c r="E553" s="2" t="str">
        <f>"李明"</f>
        <v>李明</v>
      </c>
      <c r="F553" s="2" t="str">
        <f>"女"</f>
        <v>女</v>
      </c>
      <c r="G553" s="1" t="str">
        <f>"本科"</f>
        <v>本科</v>
      </c>
      <c r="H553" s="1" t="str">
        <f t="shared" si="80"/>
        <v>无</v>
      </c>
      <c r="I553" s="1" t="str">
        <f>"中医药大学"</f>
        <v>中医药大学</v>
      </c>
      <c r="J553" s="1" t="str">
        <f>"中医学"</f>
        <v>中医学</v>
      </c>
      <c r="K553" s="7"/>
    </row>
    <row r="554" spans="1:11" ht="36" customHeight="1">
      <c r="A554" s="7">
        <v>552</v>
      </c>
      <c r="B554" s="1" t="s">
        <v>24</v>
      </c>
      <c r="C554" s="1" t="s">
        <v>25</v>
      </c>
      <c r="D554" s="2" t="str">
        <f t="shared" si="78"/>
        <v>z2024313</v>
      </c>
      <c r="E554" s="2" t="str">
        <f>"吴书峰"</f>
        <v>吴书峰</v>
      </c>
      <c r="F554" s="2" t="str">
        <f>"男"</f>
        <v>男</v>
      </c>
      <c r="G554" s="1" t="str">
        <f>"大专"</f>
        <v>大专</v>
      </c>
      <c r="H554" s="1" t="str">
        <f t="shared" si="80"/>
        <v>无</v>
      </c>
      <c r="I554" s="1" t="str">
        <f>"遵义医药高等专科学校"</f>
        <v>遵义医药高等专科学校</v>
      </c>
      <c r="J554" s="1" t="str">
        <f>"针灸推拿"</f>
        <v>针灸推拿</v>
      </c>
      <c r="K554" s="7"/>
    </row>
    <row r="555" spans="1:11" ht="36" customHeight="1">
      <c r="A555" s="7">
        <v>553</v>
      </c>
      <c r="B555" s="1" t="s">
        <v>24</v>
      </c>
      <c r="C555" s="1" t="s">
        <v>25</v>
      </c>
      <c r="D555" s="2" t="str">
        <f t="shared" si="78"/>
        <v>z2024313</v>
      </c>
      <c r="E555" s="2" t="str">
        <f>"林永刚"</f>
        <v>林永刚</v>
      </c>
      <c r="F555" s="2" t="str">
        <f>"男"</f>
        <v>男</v>
      </c>
      <c r="G555" s="1" t="str">
        <f>"大专"</f>
        <v>大专</v>
      </c>
      <c r="H555" s="1" t="str">
        <f t="shared" si="80"/>
        <v>无</v>
      </c>
      <c r="I555" s="1" t="str">
        <f>"重庆三峡医药高等专科学校"</f>
        <v>重庆三峡医药高等专科学校</v>
      </c>
      <c r="J555" s="1" t="str">
        <f>"中医骨伤"</f>
        <v>中医骨伤</v>
      </c>
      <c r="K555" s="7"/>
    </row>
    <row r="556" spans="1:11" ht="36" customHeight="1">
      <c r="A556" s="7">
        <v>554</v>
      </c>
      <c r="B556" s="1" t="s">
        <v>24</v>
      </c>
      <c r="C556" s="1" t="s">
        <v>26</v>
      </c>
      <c r="D556" s="2" t="str">
        <f t="shared" ref="D556:D587" si="81">"z2024314"</f>
        <v>z2024314</v>
      </c>
      <c r="E556" s="2" t="str">
        <f>"吴洁"</f>
        <v>吴洁</v>
      </c>
      <c r="F556" s="2" t="str">
        <f>"女"</f>
        <v>女</v>
      </c>
      <c r="G556" s="1" t="str">
        <f>"大专"</f>
        <v>大专</v>
      </c>
      <c r="H556" s="1" t="str">
        <f t="shared" si="80"/>
        <v>无</v>
      </c>
      <c r="I556" s="1" t="str">
        <f>"仙桃职业学院"</f>
        <v>仙桃职业学院</v>
      </c>
      <c r="J556" s="1" t="str">
        <f>"康复治疗技术"</f>
        <v>康复治疗技术</v>
      </c>
      <c r="K556" s="7"/>
    </row>
    <row r="557" spans="1:11" ht="36" customHeight="1">
      <c r="A557" s="7">
        <v>555</v>
      </c>
      <c r="B557" s="1" t="s">
        <v>24</v>
      </c>
      <c r="C557" s="1" t="s">
        <v>26</v>
      </c>
      <c r="D557" s="2" t="str">
        <f t="shared" si="81"/>
        <v>z2024314</v>
      </c>
      <c r="E557" s="2" t="str">
        <f>"胡军"</f>
        <v>胡军</v>
      </c>
      <c r="F557" s="2" t="str">
        <f>"男"</f>
        <v>男</v>
      </c>
      <c r="G557" s="1" t="str">
        <f>"大专"</f>
        <v>大专</v>
      </c>
      <c r="H557" s="1" t="str">
        <f t="shared" si="80"/>
        <v>无</v>
      </c>
      <c r="I557" s="1" t="str">
        <f>"鄂州职业大学"</f>
        <v>鄂州职业大学</v>
      </c>
      <c r="J557" s="1" t="str">
        <f>"康复治疗技术"</f>
        <v>康复治疗技术</v>
      </c>
      <c r="K557" s="7"/>
    </row>
    <row r="558" spans="1:11" ht="36" customHeight="1">
      <c r="A558" s="7">
        <v>556</v>
      </c>
      <c r="B558" s="1" t="s">
        <v>24</v>
      </c>
      <c r="C558" s="1" t="s">
        <v>26</v>
      </c>
      <c r="D558" s="2" t="str">
        <f t="shared" si="81"/>
        <v>z2024314</v>
      </c>
      <c r="E558" s="2" t="str">
        <f>"李季"</f>
        <v>李季</v>
      </c>
      <c r="F558" s="2" t="str">
        <f>"男"</f>
        <v>男</v>
      </c>
      <c r="G558" s="1" t="str">
        <f>"本科"</f>
        <v>本科</v>
      </c>
      <c r="H558" s="1" t="str">
        <f t="shared" si="80"/>
        <v>无</v>
      </c>
      <c r="I558" s="1" t="str">
        <f>"湖南中医药大学"</f>
        <v>湖南中医药大学</v>
      </c>
      <c r="J558" s="1" t="str">
        <f>"康复治疗学"</f>
        <v>康复治疗学</v>
      </c>
      <c r="K558" s="7"/>
    </row>
    <row r="559" spans="1:11" ht="36" customHeight="1">
      <c r="A559" s="7">
        <v>557</v>
      </c>
      <c r="B559" s="1" t="s">
        <v>24</v>
      </c>
      <c r="C559" s="1" t="s">
        <v>26</v>
      </c>
      <c r="D559" s="2" t="str">
        <f t="shared" si="81"/>
        <v>z2024314</v>
      </c>
      <c r="E559" s="2" t="str">
        <f>"冉鑫宇"</f>
        <v>冉鑫宇</v>
      </c>
      <c r="F559" s="2" t="str">
        <f>"女"</f>
        <v>女</v>
      </c>
      <c r="G559" s="1" t="str">
        <f>"大专"</f>
        <v>大专</v>
      </c>
      <c r="H559" s="1" t="str">
        <f t="shared" si="80"/>
        <v>无</v>
      </c>
      <c r="I559" s="1" t="str">
        <f>"湖北中医药高等专科学校"</f>
        <v>湖北中医药高等专科学校</v>
      </c>
      <c r="J559" s="1" t="str">
        <f>"康复治疗技术"</f>
        <v>康复治疗技术</v>
      </c>
      <c r="K559" s="7"/>
    </row>
    <row r="560" spans="1:11" ht="36" customHeight="1">
      <c r="A560" s="7">
        <v>558</v>
      </c>
      <c r="B560" s="1" t="s">
        <v>24</v>
      </c>
      <c r="C560" s="1" t="s">
        <v>26</v>
      </c>
      <c r="D560" s="2" t="str">
        <f t="shared" si="81"/>
        <v>z2024314</v>
      </c>
      <c r="E560" s="2" t="str">
        <f>"魏乙波"</f>
        <v>魏乙波</v>
      </c>
      <c r="F560" s="2" t="str">
        <f>"男"</f>
        <v>男</v>
      </c>
      <c r="G560" s="1" t="str">
        <f>"本科"</f>
        <v>本科</v>
      </c>
      <c r="H560" s="1" t="str">
        <f t="shared" si="80"/>
        <v>无</v>
      </c>
      <c r="I560" s="1" t="str">
        <f>"荆楚理工学院"</f>
        <v>荆楚理工学院</v>
      </c>
      <c r="J560" s="1" t="str">
        <f>"康复治疗学"</f>
        <v>康复治疗学</v>
      </c>
      <c r="K560" s="7"/>
    </row>
    <row r="561" spans="1:11" ht="36" customHeight="1">
      <c r="A561" s="7">
        <v>559</v>
      </c>
      <c r="B561" s="1" t="s">
        <v>24</v>
      </c>
      <c r="C561" s="1" t="s">
        <v>26</v>
      </c>
      <c r="D561" s="2" t="str">
        <f t="shared" si="81"/>
        <v>z2024314</v>
      </c>
      <c r="E561" s="2" t="str">
        <f>"郑晶蓉"</f>
        <v>郑晶蓉</v>
      </c>
      <c r="F561" s="2" t="str">
        <f>"女"</f>
        <v>女</v>
      </c>
      <c r="G561" s="1" t="str">
        <f>"本科"</f>
        <v>本科</v>
      </c>
      <c r="H561" s="1" t="str">
        <f t="shared" si="80"/>
        <v>无</v>
      </c>
      <c r="I561" s="1" t="str">
        <f>"荆楚理工学院"</f>
        <v>荆楚理工学院</v>
      </c>
      <c r="J561" s="1" t="str">
        <f>"康复治疗学"</f>
        <v>康复治疗学</v>
      </c>
      <c r="K561" s="7"/>
    </row>
    <row r="562" spans="1:11" ht="36" customHeight="1">
      <c r="A562" s="7">
        <v>560</v>
      </c>
      <c r="B562" s="1" t="s">
        <v>24</v>
      </c>
      <c r="C562" s="1" t="s">
        <v>26</v>
      </c>
      <c r="D562" s="2" t="str">
        <f t="shared" si="81"/>
        <v>z2024314</v>
      </c>
      <c r="E562" s="2" t="str">
        <f>"罗飞"</f>
        <v>罗飞</v>
      </c>
      <c r="F562" s="2" t="str">
        <f>"男"</f>
        <v>男</v>
      </c>
      <c r="G562" s="1" t="str">
        <f>"大专"</f>
        <v>大专</v>
      </c>
      <c r="H562" s="1" t="str">
        <f t="shared" si="80"/>
        <v>无</v>
      </c>
      <c r="I562" s="1" t="str">
        <f>"鄂州职业大学"</f>
        <v>鄂州职业大学</v>
      </c>
      <c r="J562" s="1" t="str">
        <f>"康复治疗技术"</f>
        <v>康复治疗技术</v>
      </c>
      <c r="K562" s="7"/>
    </row>
    <row r="563" spans="1:11" ht="36" customHeight="1">
      <c r="A563" s="7">
        <v>561</v>
      </c>
      <c r="B563" s="1" t="s">
        <v>24</v>
      </c>
      <c r="C563" s="1" t="s">
        <v>26</v>
      </c>
      <c r="D563" s="2" t="str">
        <f t="shared" si="81"/>
        <v>z2024314</v>
      </c>
      <c r="E563" s="2" t="str">
        <f>"彭琪耀"</f>
        <v>彭琪耀</v>
      </c>
      <c r="F563" s="2" t="str">
        <f>"男"</f>
        <v>男</v>
      </c>
      <c r="G563" s="1" t="str">
        <f>"大专"</f>
        <v>大专</v>
      </c>
      <c r="H563" s="1" t="str">
        <f t="shared" si="80"/>
        <v>无</v>
      </c>
      <c r="I563" s="1" t="str">
        <f>"湖北中医药高等专科学校"</f>
        <v>湖北中医药高等专科学校</v>
      </c>
      <c r="J563" s="1" t="str">
        <f>"康复治疗技术"</f>
        <v>康复治疗技术</v>
      </c>
      <c r="K563" s="7"/>
    </row>
    <row r="564" spans="1:11" ht="36" customHeight="1">
      <c r="A564" s="7">
        <v>562</v>
      </c>
      <c r="B564" s="1" t="s">
        <v>24</v>
      </c>
      <c r="C564" s="1" t="s">
        <v>26</v>
      </c>
      <c r="D564" s="2" t="str">
        <f t="shared" si="81"/>
        <v>z2024314</v>
      </c>
      <c r="E564" s="2" t="str">
        <f>"田湘雨"</f>
        <v>田湘雨</v>
      </c>
      <c r="F564" s="2" t="str">
        <f>"女"</f>
        <v>女</v>
      </c>
      <c r="G564" s="1" t="str">
        <f>"大专"</f>
        <v>大专</v>
      </c>
      <c r="H564" s="1" t="str">
        <f t="shared" si="80"/>
        <v>无</v>
      </c>
      <c r="I564" s="1" t="str">
        <f>"湖北三峡职业技术学院"</f>
        <v>湖北三峡职业技术学院</v>
      </c>
      <c r="J564" s="1" t="str">
        <f>"康复治疗技术"</f>
        <v>康复治疗技术</v>
      </c>
      <c r="K564" s="7"/>
    </row>
    <row r="565" spans="1:11" ht="36" customHeight="1">
      <c r="A565" s="7">
        <v>563</v>
      </c>
      <c r="B565" s="1" t="s">
        <v>24</v>
      </c>
      <c r="C565" s="1" t="s">
        <v>26</v>
      </c>
      <c r="D565" s="2" t="str">
        <f t="shared" si="81"/>
        <v>z2024314</v>
      </c>
      <c r="E565" s="2" t="str">
        <f>"冯青"</f>
        <v>冯青</v>
      </c>
      <c r="F565" s="2" t="str">
        <f>"女"</f>
        <v>女</v>
      </c>
      <c r="G565" s="1" t="str">
        <f>"本科"</f>
        <v>本科</v>
      </c>
      <c r="H565" s="1" t="str">
        <f>"学士"</f>
        <v>学士</v>
      </c>
      <c r="I565" s="1" t="str">
        <f>"湖北民族大学科技学院"</f>
        <v>湖北民族大学科技学院</v>
      </c>
      <c r="J565" s="1" t="str">
        <f>"康复治疗学"</f>
        <v>康复治疗学</v>
      </c>
      <c r="K565" s="7"/>
    </row>
    <row r="566" spans="1:11" ht="36" customHeight="1">
      <c r="A566" s="7">
        <v>564</v>
      </c>
      <c r="B566" s="1" t="s">
        <v>24</v>
      </c>
      <c r="C566" s="1" t="s">
        <v>26</v>
      </c>
      <c r="D566" s="2" t="str">
        <f t="shared" si="81"/>
        <v>z2024314</v>
      </c>
      <c r="E566" s="2" t="str">
        <f>"孙瑾"</f>
        <v>孙瑾</v>
      </c>
      <c r="F566" s="2" t="str">
        <f>"男"</f>
        <v>男</v>
      </c>
      <c r="G566" s="1" t="str">
        <f>"大专"</f>
        <v>大专</v>
      </c>
      <c r="H566" s="1" t="str">
        <f>"无"</f>
        <v>无</v>
      </c>
      <c r="I566" s="1" t="str">
        <f>"鄂州职业大学"</f>
        <v>鄂州职业大学</v>
      </c>
      <c r="J566" s="1" t="str">
        <f>"康复治疗技术"</f>
        <v>康复治疗技术</v>
      </c>
      <c r="K566" s="7"/>
    </row>
    <row r="567" spans="1:11" ht="36" customHeight="1">
      <c r="A567" s="7">
        <v>565</v>
      </c>
      <c r="B567" s="1" t="s">
        <v>24</v>
      </c>
      <c r="C567" s="1" t="s">
        <v>26</v>
      </c>
      <c r="D567" s="2" t="str">
        <f t="shared" si="81"/>
        <v>z2024314</v>
      </c>
      <c r="E567" s="2" t="str">
        <f>"向哲轶"</f>
        <v>向哲轶</v>
      </c>
      <c r="F567" s="2" t="str">
        <f>"男"</f>
        <v>男</v>
      </c>
      <c r="G567" s="1" t="str">
        <f>"大专"</f>
        <v>大专</v>
      </c>
      <c r="H567" s="1" t="str">
        <f>"无"</f>
        <v>无</v>
      </c>
      <c r="I567" s="1" t="str">
        <f>"鄂州职业大学"</f>
        <v>鄂州职业大学</v>
      </c>
      <c r="J567" s="1" t="str">
        <f>"康复治疗技术"</f>
        <v>康复治疗技术</v>
      </c>
      <c r="K567" s="7"/>
    </row>
    <row r="568" spans="1:11" ht="36" customHeight="1">
      <c r="A568" s="7">
        <v>566</v>
      </c>
      <c r="B568" s="1" t="s">
        <v>24</v>
      </c>
      <c r="C568" s="1" t="s">
        <v>26</v>
      </c>
      <c r="D568" s="2" t="str">
        <f t="shared" si="81"/>
        <v>z2024314</v>
      </c>
      <c r="E568" s="2" t="str">
        <f>"范玉赟"</f>
        <v>范玉赟</v>
      </c>
      <c r="F568" s="2" t="str">
        <f>"女"</f>
        <v>女</v>
      </c>
      <c r="G568" s="1" t="str">
        <f>"本科"</f>
        <v>本科</v>
      </c>
      <c r="H568" s="1" t="str">
        <f>"学士"</f>
        <v>学士</v>
      </c>
      <c r="I568" s="1" t="str">
        <f>"湖北民族大学"</f>
        <v>湖北民族大学</v>
      </c>
      <c r="J568" s="1" t="str">
        <f>"康复治疗学"</f>
        <v>康复治疗学</v>
      </c>
      <c r="K568" s="7"/>
    </row>
    <row r="569" spans="1:11" ht="36" customHeight="1">
      <c r="A569" s="7">
        <v>567</v>
      </c>
      <c r="B569" s="1" t="s">
        <v>24</v>
      </c>
      <c r="C569" s="1" t="s">
        <v>26</v>
      </c>
      <c r="D569" s="2" t="str">
        <f t="shared" si="81"/>
        <v>z2024314</v>
      </c>
      <c r="E569" s="2" t="str">
        <f>"向印"</f>
        <v>向印</v>
      </c>
      <c r="F569" s="2" t="str">
        <f>"男"</f>
        <v>男</v>
      </c>
      <c r="G569" s="1" t="str">
        <f>"大专"</f>
        <v>大专</v>
      </c>
      <c r="H569" s="1" t="str">
        <f>"无"</f>
        <v>无</v>
      </c>
      <c r="I569" s="1" t="str">
        <f>"鄂州职业大学"</f>
        <v>鄂州职业大学</v>
      </c>
      <c r="J569" s="1" t="str">
        <f>"康复治疗技术"</f>
        <v>康复治疗技术</v>
      </c>
      <c r="K569" s="7"/>
    </row>
    <row r="570" spans="1:11" ht="36" customHeight="1">
      <c r="A570" s="7">
        <v>568</v>
      </c>
      <c r="B570" s="1" t="s">
        <v>24</v>
      </c>
      <c r="C570" s="1" t="s">
        <v>26</v>
      </c>
      <c r="D570" s="2" t="str">
        <f t="shared" si="81"/>
        <v>z2024314</v>
      </c>
      <c r="E570" s="2" t="str">
        <f>"洪家涛"</f>
        <v>洪家涛</v>
      </c>
      <c r="F570" s="2" t="str">
        <f>"男"</f>
        <v>男</v>
      </c>
      <c r="G570" s="1" t="str">
        <f>"大专"</f>
        <v>大专</v>
      </c>
      <c r="H570" s="1" t="str">
        <f>"无"</f>
        <v>无</v>
      </c>
      <c r="I570" s="1" t="str">
        <f>"鄂州职业大学"</f>
        <v>鄂州职业大学</v>
      </c>
      <c r="J570" s="1" t="str">
        <f>"康复治疗技术"</f>
        <v>康复治疗技术</v>
      </c>
      <c r="K570" s="7"/>
    </row>
    <row r="571" spans="1:11" ht="36" customHeight="1">
      <c r="A571" s="7">
        <v>569</v>
      </c>
      <c r="B571" s="1" t="s">
        <v>24</v>
      </c>
      <c r="C571" s="1" t="s">
        <v>26</v>
      </c>
      <c r="D571" s="2" t="str">
        <f t="shared" si="81"/>
        <v>z2024314</v>
      </c>
      <c r="E571" s="2" t="str">
        <f>"陈金莲"</f>
        <v>陈金莲</v>
      </c>
      <c r="F571" s="2" t="str">
        <f>"女"</f>
        <v>女</v>
      </c>
      <c r="G571" s="1" t="str">
        <f>"大专"</f>
        <v>大专</v>
      </c>
      <c r="H571" s="1" t="str">
        <f>"无"</f>
        <v>无</v>
      </c>
      <c r="I571" s="1" t="str">
        <f>"湖南环境生物职业技术学院"</f>
        <v>湖南环境生物职业技术学院</v>
      </c>
      <c r="J571" s="1" t="str">
        <f>"康复治疗技术"</f>
        <v>康复治疗技术</v>
      </c>
      <c r="K571" s="7"/>
    </row>
    <row r="572" spans="1:11" ht="36" customHeight="1">
      <c r="A572" s="7">
        <v>570</v>
      </c>
      <c r="B572" s="1" t="s">
        <v>24</v>
      </c>
      <c r="C572" s="1" t="s">
        <v>26</v>
      </c>
      <c r="D572" s="2" t="str">
        <f t="shared" si="81"/>
        <v>z2024314</v>
      </c>
      <c r="E572" s="2" t="str">
        <f>"征峰"</f>
        <v>征峰</v>
      </c>
      <c r="F572" s="2" t="str">
        <f>"男"</f>
        <v>男</v>
      </c>
      <c r="G572" s="1" t="str">
        <f>"大专"</f>
        <v>大专</v>
      </c>
      <c r="H572" s="1" t="str">
        <f>"无"</f>
        <v>无</v>
      </c>
      <c r="I572" s="1" t="str">
        <f>"仙桃职业学院"</f>
        <v>仙桃职业学院</v>
      </c>
      <c r="J572" s="1" t="str">
        <f>"康复治疗技术"</f>
        <v>康复治疗技术</v>
      </c>
      <c r="K572" s="7"/>
    </row>
    <row r="573" spans="1:11" ht="36" customHeight="1">
      <c r="A573" s="7">
        <v>571</v>
      </c>
      <c r="B573" s="1" t="s">
        <v>24</v>
      </c>
      <c r="C573" s="1" t="s">
        <v>26</v>
      </c>
      <c r="D573" s="2" t="str">
        <f t="shared" si="81"/>
        <v>z2024314</v>
      </c>
      <c r="E573" s="2" t="str">
        <f>"谢慧"</f>
        <v>谢慧</v>
      </c>
      <c r="F573" s="2" t="str">
        <f>"女"</f>
        <v>女</v>
      </c>
      <c r="G573" s="1" t="str">
        <f>"本科"</f>
        <v>本科</v>
      </c>
      <c r="H573" s="1" t="str">
        <f>"学士"</f>
        <v>学士</v>
      </c>
      <c r="I573" s="1" t="str">
        <f>"湖北民族大学"</f>
        <v>湖北民族大学</v>
      </c>
      <c r="J573" s="1" t="str">
        <f>"康复治疗学"</f>
        <v>康复治疗学</v>
      </c>
      <c r="K573" s="7"/>
    </row>
    <row r="574" spans="1:11" ht="36" customHeight="1">
      <c r="A574" s="7">
        <v>572</v>
      </c>
      <c r="B574" s="1" t="s">
        <v>24</v>
      </c>
      <c r="C574" s="1" t="s">
        <v>26</v>
      </c>
      <c r="D574" s="2" t="str">
        <f t="shared" si="81"/>
        <v>z2024314</v>
      </c>
      <c r="E574" s="2" t="str">
        <f>"徐郑"</f>
        <v>徐郑</v>
      </c>
      <c r="F574" s="2" t="str">
        <f>"男"</f>
        <v>男</v>
      </c>
      <c r="G574" s="1" t="str">
        <f>"大专"</f>
        <v>大专</v>
      </c>
      <c r="H574" s="1" t="str">
        <f>"无"</f>
        <v>无</v>
      </c>
      <c r="I574" s="1" t="str">
        <f>"仙桃职业学院"</f>
        <v>仙桃职业学院</v>
      </c>
      <c r="J574" s="1" t="str">
        <f>"康复治疗技术"</f>
        <v>康复治疗技术</v>
      </c>
      <c r="K574" s="7"/>
    </row>
    <row r="575" spans="1:11" ht="36" customHeight="1">
      <c r="A575" s="7">
        <v>573</v>
      </c>
      <c r="B575" s="1" t="s">
        <v>24</v>
      </c>
      <c r="C575" s="1" t="s">
        <v>26</v>
      </c>
      <c r="D575" s="2" t="str">
        <f t="shared" si="81"/>
        <v>z2024314</v>
      </c>
      <c r="E575" s="2" t="str">
        <f>"王红凯"</f>
        <v>王红凯</v>
      </c>
      <c r="F575" s="2" t="str">
        <f>"男"</f>
        <v>男</v>
      </c>
      <c r="G575" s="1" t="str">
        <f>"本科"</f>
        <v>本科</v>
      </c>
      <c r="H575" s="1" t="str">
        <f>"学士"</f>
        <v>学士</v>
      </c>
      <c r="I575" s="1" t="str">
        <f>"山东第一医科大学"</f>
        <v>山东第一医科大学</v>
      </c>
      <c r="J575" s="1" t="str">
        <f>"康复治疗学"</f>
        <v>康复治疗学</v>
      </c>
      <c r="K575" s="7"/>
    </row>
    <row r="576" spans="1:11" ht="36" customHeight="1">
      <c r="A576" s="7">
        <v>574</v>
      </c>
      <c r="B576" s="1" t="s">
        <v>24</v>
      </c>
      <c r="C576" s="1" t="s">
        <v>26</v>
      </c>
      <c r="D576" s="2" t="str">
        <f t="shared" si="81"/>
        <v>z2024314</v>
      </c>
      <c r="E576" s="2" t="str">
        <f>"张妮"</f>
        <v>张妮</v>
      </c>
      <c r="F576" s="2" t="str">
        <f>"女"</f>
        <v>女</v>
      </c>
      <c r="G576" s="1" t="str">
        <f>"本科"</f>
        <v>本科</v>
      </c>
      <c r="H576" s="1" t="str">
        <f>"无"</f>
        <v>无</v>
      </c>
      <c r="I576" s="1" t="str">
        <f>"武汉轻工大学"</f>
        <v>武汉轻工大学</v>
      </c>
      <c r="J576" s="1" t="str">
        <f>"康复治疗学"</f>
        <v>康复治疗学</v>
      </c>
      <c r="K576" s="7"/>
    </row>
    <row r="577" spans="1:11" ht="36" customHeight="1">
      <c r="A577" s="7">
        <v>575</v>
      </c>
      <c r="B577" s="1" t="s">
        <v>24</v>
      </c>
      <c r="C577" s="1" t="s">
        <v>26</v>
      </c>
      <c r="D577" s="2" t="str">
        <f t="shared" si="81"/>
        <v>z2024314</v>
      </c>
      <c r="E577" s="2" t="str">
        <f>"赵丽霞"</f>
        <v>赵丽霞</v>
      </c>
      <c r="F577" s="2" t="str">
        <f>"女"</f>
        <v>女</v>
      </c>
      <c r="G577" s="1" t="str">
        <f>"本科"</f>
        <v>本科</v>
      </c>
      <c r="H577" s="1" t="str">
        <f>"无"</f>
        <v>无</v>
      </c>
      <c r="I577" s="1" t="str">
        <f>"荆楚理工"</f>
        <v>荆楚理工</v>
      </c>
      <c r="J577" s="1" t="str">
        <f>"康复治疗学"</f>
        <v>康复治疗学</v>
      </c>
      <c r="K577" s="7"/>
    </row>
    <row r="578" spans="1:11" ht="36" customHeight="1">
      <c r="A578" s="7">
        <v>576</v>
      </c>
      <c r="B578" s="1" t="s">
        <v>24</v>
      </c>
      <c r="C578" s="1" t="s">
        <v>26</v>
      </c>
      <c r="D578" s="2" t="str">
        <f t="shared" si="81"/>
        <v>z2024314</v>
      </c>
      <c r="E578" s="2" t="str">
        <f>"刘姣"</f>
        <v>刘姣</v>
      </c>
      <c r="F578" s="2" t="str">
        <f>"女"</f>
        <v>女</v>
      </c>
      <c r="G578" s="1" t="str">
        <f>"大专"</f>
        <v>大专</v>
      </c>
      <c r="H578" s="1" t="str">
        <f>"无"</f>
        <v>无</v>
      </c>
      <c r="I578" s="1" t="str">
        <f>"鄂州职业大学"</f>
        <v>鄂州职业大学</v>
      </c>
      <c r="J578" s="1" t="str">
        <f>"康复治疗技术"</f>
        <v>康复治疗技术</v>
      </c>
      <c r="K578" s="7"/>
    </row>
    <row r="579" spans="1:11" ht="36" customHeight="1">
      <c r="A579" s="7">
        <v>577</v>
      </c>
      <c r="B579" s="1" t="s">
        <v>24</v>
      </c>
      <c r="C579" s="1" t="s">
        <v>26</v>
      </c>
      <c r="D579" s="2" t="str">
        <f t="shared" si="81"/>
        <v>z2024314</v>
      </c>
      <c r="E579" s="2" t="str">
        <f>"秦忠蔚"</f>
        <v>秦忠蔚</v>
      </c>
      <c r="F579" s="2" t="str">
        <f>"女"</f>
        <v>女</v>
      </c>
      <c r="G579" s="1" t="str">
        <f>"本科"</f>
        <v>本科</v>
      </c>
      <c r="H579" s="1" t="str">
        <f>"学士"</f>
        <v>学士</v>
      </c>
      <c r="I579" s="1" t="str">
        <f>"武汉轻工大学"</f>
        <v>武汉轻工大学</v>
      </c>
      <c r="J579" s="1" t="str">
        <f>"康复治疗学"</f>
        <v>康复治疗学</v>
      </c>
      <c r="K579" s="7"/>
    </row>
    <row r="580" spans="1:11" ht="36" customHeight="1">
      <c r="A580" s="7">
        <v>578</v>
      </c>
      <c r="B580" s="1" t="s">
        <v>24</v>
      </c>
      <c r="C580" s="1" t="s">
        <v>26</v>
      </c>
      <c r="D580" s="2" t="str">
        <f t="shared" si="81"/>
        <v>z2024314</v>
      </c>
      <c r="E580" s="2" t="str">
        <f>"陈珍"</f>
        <v>陈珍</v>
      </c>
      <c r="F580" s="2" t="str">
        <f>"女"</f>
        <v>女</v>
      </c>
      <c r="G580" s="1" t="str">
        <f>"大专"</f>
        <v>大专</v>
      </c>
      <c r="H580" s="1" t="str">
        <f>"无"</f>
        <v>无</v>
      </c>
      <c r="I580" s="1" t="str">
        <f>"鄂州职业大学"</f>
        <v>鄂州职业大学</v>
      </c>
      <c r="J580" s="1" t="str">
        <f>"康复治疗技术"</f>
        <v>康复治疗技术</v>
      </c>
      <c r="K580" s="7"/>
    </row>
    <row r="581" spans="1:11" ht="36" customHeight="1">
      <c r="A581" s="7">
        <v>579</v>
      </c>
      <c r="B581" s="1" t="s">
        <v>24</v>
      </c>
      <c r="C581" s="1" t="s">
        <v>26</v>
      </c>
      <c r="D581" s="2" t="str">
        <f t="shared" si="81"/>
        <v>z2024314</v>
      </c>
      <c r="E581" s="2" t="str">
        <f>"向珊民"</f>
        <v>向珊民</v>
      </c>
      <c r="F581" s="2" t="str">
        <f>"男"</f>
        <v>男</v>
      </c>
      <c r="G581" s="1" t="str">
        <f>"本科"</f>
        <v>本科</v>
      </c>
      <c r="H581" s="1" t="str">
        <f>"学士"</f>
        <v>学士</v>
      </c>
      <c r="I581" s="1" t="str">
        <f>"湖北恩施学院"</f>
        <v>湖北恩施学院</v>
      </c>
      <c r="J581" s="1" t="str">
        <f>"康复治疗学"</f>
        <v>康复治疗学</v>
      </c>
      <c r="K581" s="7"/>
    </row>
    <row r="582" spans="1:11" ht="36" customHeight="1">
      <c r="A582" s="7">
        <v>580</v>
      </c>
      <c r="B582" s="1" t="s">
        <v>24</v>
      </c>
      <c r="C582" s="1" t="s">
        <v>26</v>
      </c>
      <c r="D582" s="2" t="str">
        <f t="shared" si="81"/>
        <v>z2024314</v>
      </c>
      <c r="E582" s="2" t="str">
        <f>"冯绍玉"</f>
        <v>冯绍玉</v>
      </c>
      <c r="F582" s="2" t="str">
        <f>"男"</f>
        <v>男</v>
      </c>
      <c r="G582" s="1" t="str">
        <f>"大专"</f>
        <v>大专</v>
      </c>
      <c r="H582" s="1" t="str">
        <f t="shared" ref="H582:H599" si="82">"无"</f>
        <v>无</v>
      </c>
      <c r="I582" s="1" t="str">
        <f>"鄂州职业大学"</f>
        <v>鄂州职业大学</v>
      </c>
      <c r="J582" s="1" t="str">
        <f>"康复治疗技术"</f>
        <v>康复治疗技术</v>
      </c>
      <c r="K582" s="7"/>
    </row>
    <row r="583" spans="1:11" ht="36" customHeight="1">
      <c r="A583" s="7">
        <v>581</v>
      </c>
      <c r="B583" s="1" t="s">
        <v>24</v>
      </c>
      <c r="C583" s="1" t="s">
        <v>26</v>
      </c>
      <c r="D583" s="2" t="str">
        <f t="shared" si="81"/>
        <v>z2024314</v>
      </c>
      <c r="E583" s="2" t="str">
        <f>"秦利"</f>
        <v>秦利</v>
      </c>
      <c r="F583" s="2" t="str">
        <f>"女"</f>
        <v>女</v>
      </c>
      <c r="G583" s="1" t="str">
        <f>"本科"</f>
        <v>本科</v>
      </c>
      <c r="H583" s="1" t="str">
        <f t="shared" si="82"/>
        <v>无</v>
      </c>
      <c r="I583" s="1" t="str">
        <f>"荆楚理工学院"</f>
        <v>荆楚理工学院</v>
      </c>
      <c r="J583" s="1" t="str">
        <f>"康复治疗学"</f>
        <v>康复治疗学</v>
      </c>
      <c r="K583" s="7"/>
    </row>
    <row r="584" spans="1:11" ht="36" customHeight="1">
      <c r="A584" s="7">
        <v>582</v>
      </c>
      <c r="B584" s="1" t="s">
        <v>24</v>
      </c>
      <c r="C584" s="1" t="s">
        <v>26</v>
      </c>
      <c r="D584" s="2" t="str">
        <f t="shared" si="81"/>
        <v>z2024314</v>
      </c>
      <c r="E584" s="2" t="str">
        <f>"瞿成林"</f>
        <v>瞿成林</v>
      </c>
      <c r="F584" s="2" t="str">
        <f>"男"</f>
        <v>男</v>
      </c>
      <c r="G584" s="1" t="str">
        <f>"本科"</f>
        <v>本科</v>
      </c>
      <c r="H584" s="1" t="str">
        <f t="shared" si="82"/>
        <v>无</v>
      </c>
      <c r="I584" s="1" t="str">
        <f>"仙桃职业学院"</f>
        <v>仙桃职业学院</v>
      </c>
      <c r="J584" s="1" t="str">
        <f>"康复治疗技术"</f>
        <v>康复治疗技术</v>
      </c>
      <c r="K584" s="7"/>
    </row>
    <row r="585" spans="1:11" ht="36" customHeight="1">
      <c r="A585" s="7">
        <v>583</v>
      </c>
      <c r="B585" s="1" t="s">
        <v>24</v>
      </c>
      <c r="C585" s="1" t="s">
        <v>26</v>
      </c>
      <c r="D585" s="2" t="str">
        <f t="shared" si="81"/>
        <v>z2024314</v>
      </c>
      <c r="E585" s="2" t="str">
        <f>"沈小芳"</f>
        <v>沈小芳</v>
      </c>
      <c r="F585" s="2" t="str">
        <f>"女"</f>
        <v>女</v>
      </c>
      <c r="G585" s="1" t="str">
        <f>"本科"</f>
        <v>本科</v>
      </c>
      <c r="H585" s="1" t="str">
        <f t="shared" si="82"/>
        <v>无</v>
      </c>
      <c r="I585" s="1" t="str">
        <f>"湖南中医药大学"</f>
        <v>湖南中医药大学</v>
      </c>
      <c r="J585" s="1" t="str">
        <f>"康复治疗学"</f>
        <v>康复治疗学</v>
      </c>
      <c r="K585" s="7"/>
    </row>
    <row r="586" spans="1:11" ht="36" customHeight="1">
      <c r="A586" s="7">
        <v>584</v>
      </c>
      <c r="B586" s="1" t="s">
        <v>24</v>
      </c>
      <c r="C586" s="1" t="s">
        <v>26</v>
      </c>
      <c r="D586" s="2" t="str">
        <f t="shared" si="81"/>
        <v>z2024314</v>
      </c>
      <c r="E586" s="2" t="str">
        <f>"田念"</f>
        <v>田念</v>
      </c>
      <c r="F586" s="2" t="str">
        <f>"女"</f>
        <v>女</v>
      </c>
      <c r="G586" s="1" t="str">
        <f>"大专"</f>
        <v>大专</v>
      </c>
      <c r="H586" s="1" t="str">
        <f t="shared" si="82"/>
        <v>无</v>
      </c>
      <c r="I586" s="1" t="str">
        <f>"仙桃职业学院"</f>
        <v>仙桃职业学院</v>
      </c>
      <c r="J586" s="1" t="str">
        <f>"康复治疗技术"</f>
        <v>康复治疗技术</v>
      </c>
      <c r="K586" s="7"/>
    </row>
    <row r="587" spans="1:11" ht="36" customHeight="1">
      <c r="A587" s="7">
        <v>585</v>
      </c>
      <c r="B587" s="1" t="s">
        <v>24</v>
      </c>
      <c r="C587" s="1" t="s">
        <v>26</v>
      </c>
      <c r="D587" s="2" t="str">
        <f t="shared" si="81"/>
        <v>z2024314</v>
      </c>
      <c r="E587" s="2" t="str">
        <f>"陈山羽"</f>
        <v>陈山羽</v>
      </c>
      <c r="F587" s="2" t="str">
        <f>"女"</f>
        <v>女</v>
      </c>
      <c r="G587" s="1" t="str">
        <f>"大专"</f>
        <v>大专</v>
      </c>
      <c r="H587" s="1" t="str">
        <f t="shared" si="82"/>
        <v>无</v>
      </c>
      <c r="I587" s="1" t="str">
        <f>"重庆三峡医药高等专科"</f>
        <v>重庆三峡医药高等专科</v>
      </c>
      <c r="J587" s="1" t="str">
        <f>"康复治疗技术"</f>
        <v>康复治疗技术</v>
      </c>
      <c r="K587" s="7"/>
    </row>
    <row r="588" spans="1:11" ht="36" customHeight="1">
      <c r="A588" s="7">
        <v>586</v>
      </c>
      <c r="B588" s="1" t="s">
        <v>24</v>
      </c>
      <c r="C588" s="1" t="s">
        <v>26</v>
      </c>
      <c r="D588" s="2" t="str">
        <f t="shared" ref="D588:D619" si="83">"z2024314"</f>
        <v>z2024314</v>
      </c>
      <c r="E588" s="2" t="str">
        <f>"文艺蒙"</f>
        <v>文艺蒙</v>
      </c>
      <c r="F588" s="2" t="str">
        <f>"女"</f>
        <v>女</v>
      </c>
      <c r="G588" s="1" t="str">
        <f>"本科"</f>
        <v>本科</v>
      </c>
      <c r="H588" s="1" t="str">
        <f t="shared" si="82"/>
        <v>无</v>
      </c>
      <c r="I588" s="1" t="str">
        <f>"荆楚理工学院"</f>
        <v>荆楚理工学院</v>
      </c>
      <c r="J588" s="1" t="str">
        <f>"康复治疗学"</f>
        <v>康复治疗学</v>
      </c>
      <c r="K588" s="7"/>
    </row>
    <row r="589" spans="1:11" ht="36" customHeight="1">
      <c r="A589" s="7">
        <v>587</v>
      </c>
      <c r="B589" s="1" t="s">
        <v>24</v>
      </c>
      <c r="C589" s="1" t="s">
        <v>26</v>
      </c>
      <c r="D589" s="2" t="str">
        <f t="shared" si="83"/>
        <v>z2024314</v>
      </c>
      <c r="E589" s="2" t="str">
        <f>"卢芬"</f>
        <v>卢芬</v>
      </c>
      <c r="F589" s="2" t="str">
        <f>"女"</f>
        <v>女</v>
      </c>
      <c r="G589" s="1" t="str">
        <f>"本科"</f>
        <v>本科</v>
      </c>
      <c r="H589" s="1" t="str">
        <f t="shared" si="82"/>
        <v>无</v>
      </c>
      <c r="I589" s="1" t="str">
        <f>"武汉轻工大学"</f>
        <v>武汉轻工大学</v>
      </c>
      <c r="J589" s="1" t="str">
        <f>"康复治疗学"</f>
        <v>康复治疗学</v>
      </c>
      <c r="K589" s="7"/>
    </row>
    <row r="590" spans="1:11" ht="36" customHeight="1">
      <c r="A590" s="7">
        <v>588</v>
      </c>
      <c r="B590" s="1" t="s">
        <v>24</v>
      </c>
      <c r="C590" s="1" t="s">
        <v>26</v>
      </c>
      <c r="D590" s="2" t="str">
        <f t="shared" si="83"/>
        <v>z2024314</v>
      </c>
      <c r="E590" s="2" t="str">
        <f>"张丙然"</f>
        <v>张丙然</v>
      </c>
      <c r="F590" s="2" t="str">
        <f>"男"</f>
        <v>男</v>
      </c>
      <c r="G590" s="1" t="str">
        <f t="shared" ref="G590:G599" si="84">"大专"</f>
        <v>大专</v>
      </c>
      <c r="H590" s="1" t="str">
        <f t="shared" si="82"/>
        <v>无</v>
      </c>
      <c r="I590" s="1" t="str">
        <f>"鄂州职业大学"</f>
        <v>鄂州职业大学</v>
      </c>
      <c r="J590" s="1" t="str">
        <f>"康复医学与治疗技术"</f>
        <v>康复医学与治疗技术</v>
      </c>
      <c r="K590" s="7"/>
    </row>
    <row r="591" spans="1:11" ht="36" customHeight="1">
      <c r="A591" s="7">
        <v>589</v>
      </c>
      <c r="B591" s="1" t="s">
        <v>24</v>
      </c>
      <c r="C591" s="1" t="s">
        <v>26</v>
      </c>
      <c r="D591" s="2" t="str">
        <f t="shared" si="83"/>
        <v>z2024314</v>
      </c>
      <c r="E591" s="2" t="str">
        <f>"蒙果"</f>
        <v>蒙果</v>
      </c>
      <c r="F591" s="2" t="str">
        <f>"男"</f>
        <v>男</v>
      </c>
      <c r="G591" s="1" t="str">
        <f t="shared" si="84"/>
        <v>大专</v>
      </c>
      <c r="H591" s="1" t="str">
        <f t="shared" si="82"/>
        <v>无</v>
      </c>
      <c r="I591" s="1" t="str">
        <f>"湖北三峡职业技术学校"</f>
        <v>湖北三峡职业技术学校</v>
      </c>
      <c r="J591" s="1" t="str">
        <f t="shared" ref="J591:J598" si="85">"康复治疗技术"</f>
        <v>康复治疗技术</v>
      </c>
      <c r="K591" s="7"/>
    </row>
    <row r="592" spans="1:11" ht="36" customHeight="1">
      <c r="A592" s="7">
        <v>590</v>
      </c>
      <c r="B592" s="1" t="s">
        <v>24</v>
      </c>
      <c r="C592" s="1" t="s">
        <v>26</v>
      </c>
      <c r="D592" s="2" t="str">
        <f t="shared" si="83"/>
        <v>z2024314</v>
      </c>
      <c r="E592" s="2" t="str">
        <f>"向庭康"</f>
        <v>向庭康</v>
      </c>
      <c r="F592" s="2" t="str">
        <f>"男"</f>
        <v>男</v>
      </c>
      <c r="G592" s="1" t="str">
        <f t="shared" si="84"/>
        <v>大专</v>
      </c>
      <c r="H592" s="1" t="str">
        <f t="shared" si="82"/>
        <v>无</v>
      </c>
      <c r="I592" s="1" t="str">
        <f>"仙桃职业学院"</f>
        <v>仙桃职业学院</v>
      </c>
      <c r="J592" s="1" t="str">
        <f t="shared" si="85"/>
        <v>康复治疗技术</v>
      </c>
      <c r="K592" s="7"/>
    </row>
    <row r="593" spans="1:11" ht="36" customHeight="1">
      <c r="A593" s="7">
        <v>591</v>
      </c>
      <c r="B593" s="1" t="s">
        <v>24</v>
      </c>
      <c r="C593" s="1" t="s">
        <v>26</v>
      </c>
      <c r="D593" s="2" t="str">
        <f t="shared" si="83"/>
        <v>z2024314</v>
      </c>
      <c r="E593" s="2" t="str">
        <f>"向左琳"</f>
        <v>向左琳</v>
      </c>
      <c r="F593" s="2" t="str">
        <f>"女"</f>
        <v>女</v>
      </c>
      <c r="G593" s="1" t="str">
        <f t="shared" si="84"/>
        <v>大专</v>
      </c>
      <c r="H593" s="1" t="str">
        <f t="shared" si="82"/>
        <v>无</v>
      </c>
      <c r="I593" s="1" t="str">
        <f>"湖北师范大学文理学院"</f>
        <v>湖北师范大学文理学院</v>
      </c>
      <c r="J593" s="1" t="str">
        <f t="shared" si="85"/>
        <v>康复治疗技术</v>
      </c>
      <c r="K593" s="7"/>
    </row>
    <row r="594" spans="1:11" ht="36" customHeight="1">
      <c r="A594" s="7">
        <v>592</v>
      </c>
      <c r="B594" s="1" t="s">
        <v>24</v>
      </c>
      <c r="C594" s="1" t="s">
        <v>26</v>
      </c>
      <c r="D594" s="2" t="str">
        <f t="shared" si="83"/>
        <v>z2024314</v>
      </c>
      <c r="E594" s="2" t="str">
        <f>"杨明燏"</f>
        <v>杨明燏</v>
      </c>
      <c r="F594" s="2" t="str">
        <f>"女"</f>
        <v>女</v>
      </c>
      <c r="G594" s="1" t="str">
        <f t="shared" si="84"/>
        <v>大专</v>
      </c>
      <c r="H594" s="1" t="str">
        <f t="shared" si="82"/>
        <v>无</v>
      </c>
      <c r="I594" s="1" t="str">
        <f>"湖北三峡职业技术学院"</f>
        <v>湖北三峡职业技术学院</v>
      </c>
      <c r="J594" s="1" t="str">
        <f t="shared" si="85"/>
        <v>康复治疗技术</v>
      </c>
      <c r="K594" s="7"/>
    </row>
    <row r="595" spans="1:11" ht="36" customHeight="1">
      <c r="A595" s="7">
        <v>593</v>
      </c>
      <c r="B595" s="1" t="s">
        <v>24</v>
      </c>
      <c r="C595" s="1" t="s">
        <v>26</v>
      </c>
      <c r="D595" s="2" t="str">
        <f t="shared" si="83"/>
        <v>z2024314</v>
      </c>
      <c r="E595" s="2" t="str">
        <f>"傅承航"</f>
        <v>傅承航</v>
      </c>
      <c r="F595" s="2" t="str">
        <f>"男"</f>
        <v>男</v>
      </c>
      <c r="G595" s="1" t="str">
        <f t="shared" si="84"/>
        <v>大专</v>
      </c>
      <c r="H595" s="1" t="str">
        <f t="shared" si="82"/>
        <v>无</v>
      </c>
      <c r="I595" s="1" t="str">
        <f>"重庆三峡医药高等专科学校"</f>
        <v>重庆三峡医药高等专科学校</v>
      </c>
      <c r="J595" s="1" t="str">
        <f t="shared" si="85"/>
        <v>康复治疗技术</v>
      </c>
      <c r="K595" s="7"/>
    </row>
    <row r="596" spans="1:11" ht="36" customHeight="1">
      <c r="A596" s="7">
        <v>594</v>
      </c>
      <c r="B596" s="1" t="s">
        <v>24</v>
      </c>
      <c r="C596" s="1" t="s">
        <v>26</v>
      </c>
      <c r="D596" s="2" t="str">
        <f t="shared" si="83"/>
        <v>z2024314</v>
      </c>
      <c r="E596" s="2" t="str">
        <f>"向思思"</f>
        <v>向思思</v>
      </c>
      <c r="F596" s="2" t="str">
        <f>"女"</f>
        <v>女</v>
      </c>
      <c r="G596" s="1" t="str">
        <f t="shared" si="84"/>
        <v>大专</v>
      </c>
      <c r="H596" s="1" t="str">
        <f t="shared" si="82"/>
        <v>无</v>
      </c>
      <c r="I596" s="1" t="str">
        <f>"仙桃职业学院"</f>
        <v>仙桃职业学院</v>
      </c>
      <c r="J596" s="1" t="str">
        <f t="shared" si="85"/>
        <v>康复治疗技术</v>
      </c>
      <c r="K596" s="7"/>
    </row>
    <row r="597" spans="1:11" ht="36" customHeight="1">
      <c r="A597" s="7">
        <v>595</v>
      </c>
      <c r="B597" s="1" t="s">
        <v>24</v>
      </c>
      <c r="C597" s="1" t="s">
        <v>26</v>
      </c>
      <c r="D597" s="2" t="str">
        <f t="shared" si="83"/>
        <v>z2024314</v>
      </c>
      <c r="E597" s="2" t="str">
        <f>"杨星"</f>
        <v>杨星</v>
      </c>
      <c r="F597" s="2" t="str">
        <f>"女"</f>
        <v>女</v>
      </c>
      <c r="G597" s="1" t="str">
        <f t="shared" si="84"/>
        <v>大专</v>
      </c>
      <c r="H597" s="1" t="str">
        <f t="shared" si="82"/>
        <v>无</v>
      </c>
      <c r="I597" s="1" t="str">
        <f>"湖北中医药高等专科学校"</f>
        <v>湖北中医药高等专科学校</v>
      </c>
      <c r="J597" s="1" t="str">
        <f t="shared" si="85"/>
        <v>康复治疗技术</v>
      </c>
      <c r="K597" s="7"/>
    </row>
    <row r="598" spans="1:11" ht="36" customHeight="1">
      <c r="A598" s="7">
        <v>596</v>
      </c>
      <c r="B598" s="1" t="s">
        <v>24</v>
      </c>
      <c r="C598" s="1" t="s">
        <v>26</v>
      </c>
      <c r="D598" s="2" t="str">
        <f t="shared" si="83"/>
        <v>z2024314</v>
      </c>
      <c r="E598" s="2" t="str">
        <f>"熊旌池"</f>
        <v>熊旌池</v>
      </c>
      <c r="F598" s="2" t="str">
        <f>"女"</f>
        <v>女</v>
      </c>
      <c r="G598" s="1" t="str">
        <f t="shared" si="84"/>
        <v>大专</v>
      </c>
      <c r="H598" s="1" t="str">
        <f t="shared" si="82"/>
        <v>无</v>
      </c>
      <c r="I598" s="1" t="str">
        <f>"恩施职业技术学院"</f>
        <v>恩施职业技术学院</v>
      </c>
      <c r="J598" s="1" t="str">
        <f t="shared" si="85"/>
        <v>康复治疗技术</v>
      </c>
      <c r="K598" s="7"/>
    </row>
    <row r="599" spans="1:11" ht="36" customHeight="1">
      <c r="A599" s="7">
        <v>597</v>
      </c>
      <c r="B599" s="1" t="s">
        <v>24</v>
      </c>
      <c r="C599" s="1" t="s">
        <v>26</v>
      </c>
      <c r="D599" s="2" t="str">
        <f t="shared" si="83"/>
        <v>z2024314</v>
      </c>
      <c r="E599" s="2" t="str">
        <f>"蒋兆准"</f>
        <v>蒋兆准</v>
      </c>
      <c r="F599" s="2" t="str">
        <f>"男"</f>
        <v>男</v>
      </c>
      <c r="G599" s="1" t="str">
        <f t="shared" si="84"/>
        <v>大专</v>
      </c>
      <c r="H599" s="1" t="str">
        <f t="shared" si="82"/>
        <v>无</v>
      </c>
      <c r="I599" s="1" t="str">
        <f>"江汉大学"</f>
        <v>江汉大学</v>
      </c>
      <c r="J599" s="1" t="str">
        <f>"康复治疗学"</f>
        <v>康复治疗学</v>
      </c>
      <c r="K599" s="7"/>
    </row>
    <row r="600" spans="1:11" ht="36" customHeight="1">
      <c r="A600" s="7">
        <v>598</v>
      </c>
      <c r="B600" s="1" t="s">
        <v>24</v>
      </c>
      <c r="C600" s="1" t="s">
        <v>26</v>
      </c>
      <c r="D600" s="2" t="str">
        <f t="shared" si="83"/>
        <v>z2024314</v>
      </c>
      <c r="E600" s="2" t="str">
        <f>"李杭"</f>
        <v>李杭</v>
      </c>
      <c r="F600" s="2" t="str">
        <f>"男"</f>
        <v>男</v>
      </c>
      <c r="G600" s="1" t="str">
        <f>"本科"</f>
        <v>本科</v>
      </c>
      <c r="H600" s="1" t="str">
        <f>"学士"</f>
        <v>学士</v>
      </c>
      <c r="I600" s="1" t="str">
        <f>"湖北恩施学院"</f>
        <v>湖北恩施学院</v>
      </c>
      <c r="J600" s="1" t="str">
        <f>"康复治疗学"</f>
        <v>康复治疗学</v>
      </c>
      <c r="K600" s="7"/>
    </row>
    <row r="601" spans="1:11" ht="36" customHeight="1">
      <c r="A601" s="7">
        <v>599</v>
      </c>
      <c r="B601" s="1" t="s">
        <v>24</v>
      </c>
      <c r="C601" s="1" t="s">
        <v>26</v>
      </c>
      <c r="D601" s="2" t="str">
        <f t="shared" si="83"/>
        <v>z2024314</v>
      </c>
      <c r="E601" s="2" t="str">
        <f>"乐欢"</f>
        <v>乐欢</v>
      </c>
      <c r="F601" s="2" t="str">
        <f>"男"</f>
        <v>男</v>
      </c>
      <c r="G601" s="1" t="str">
        <f>"大专"</f>
        <v>大专</v>
      </c>
      <c r="H601" s="1" t="str">
        <f t="shared" ref="H601:H613" si="86">"无"</f>
        <v>无</v>
      </c>
      <c r="I601" s="1" t="str">
        <f>"仙桃职业学院"</f>
        <v>仙桃职业学院</v>
      </c>
      <c r="J601" s="1" t="str">
        <f>"康复治疗技术"</f>
        <v>康复治疗技术</v>
      </c>
      <c r="K601" s="7"/>
    </row>
    <row r="602" spans="1:11" ht="36" customHeight="1">
      <c r="A602" s="7">
        <v>600</v>
      </c>
      <c r="B602" s="1" t="s">
        <v>24</v>
      </c>
      <c r="C602" s="1" t="s">
        <v>26</v>
      </c>
      <c r="D602" s="2" t="str">
        <f t="shared" si="83"/>
        <v>z2024314</v>
      </c>
      <c r="E602" s="2" t="str">
        <f>"张金刚"</f>
        <v>张金刚</v>
      </c>
      <c r="F602" s="2" t="str">
        <f>"男"</f>
        <v>男</v>
      </c>
      <c r="G602" s="1" t="str">
        <f>"大专"</f>
        <v>大专</v>
      </c>
      <c r="H602" s="1" t="str">
        <f t="shared" si="86"/>
        <v>无</v>
      </c>
      <c r="I602" s="1" t="str">
        <f>"湖北职业技术学院"</f>
        <v>湖北职业技术学院</v>
      </c>
      <c r="J602" s="1" t="str">
        <f>"康复治疗技术"</f>
        <v>康复治疗技术</v>
      </c>
      <c r="K602" s="7"/>
    </row>
    <row r="603" spans="1:11" ht="36" customHeight="1">
      <c r="A603" s="7">
        <v>601</v>
      </c>
      <c r="B603" s="1" t="s">
        <v>24</v>
      </c>
      <c r="C603" s="1" t="s">
        <v>26</v>
      </c>
      <c r="D603" s="2" t="str">
        <f t="shared" si="83"/>
        <v>z2024314</v>
      </c>
      <c r="E603" s="2" t="str">
        <f>"雷红霞"</f>
        <v>雷红霞</v>
      </c>
      <c r="F603" s="2" t="str">
        <f>"女"</f>
        <v>女</v>
      </c>
      <c r="G603" s="1" t="str">
        <f>"本科"</f>
        <v>本科</v>
      </c>
      <c r="H603" s="1" t="str">
        <f t="shared" si="86"/>
        <v>无</v>
      </c>
      <c r="I603" s="1" t="str">
        <f>"武汉轻工大学"</f>
        <v>武汉轻工大学</v>
      </c>
      <c r="J603" s="1" t="str">
        <f>"康复治疗学"</f>
        <v>康复治疗学</v>
      </c>
      <c r="K603" s="7"/>
    </row>
    <row r="604" spans="1:11" ht="36" customHeight="1">
      <c r="A604" s="7">
        <v>602</v>
      </c>
      <c r="B604" s="1" t="s">
        <v>24</v>
      </c>
      <c r="C604" s="1" t="s">
        <v>26</v>
      </c>
      <c r="D604" s="2" t="str">
        <f t="shared" si="83"/>
        <v>z2024314</v>
      </c>
      <c r="E604" s="2" t="str">
        <f>"罗婷"</f>
        <v>罗婷</v>
      </c>
      <c r="F604" s="2" t="str">
        <f>"女"</f>
        <v>女</v>
      </c>
      <c r="G604" s="1" t="str">
        <f>"大专"</f>
        <v>大专</v>
      </c>
      <c r="H604" s="1" t="str">
        <f t="shared" si="86"/>
        <v>无</v>
      </c>
      <c r="I604" s="1" t="str">
        <f>"湖北理工学院"</f>
        <v>湖北理工学院</v>
      </c>
      <c r="J604" s="1" t="str">
        <f>"康复治疗技术"</f>
        <v>康复治疗技术</v>
      </c>
      <c r="K604" s="7"/>
    </row>
    <row r="605" spans="1:11" ht="36" customHeight="1">
      <c r="A605" s="7">
        <v>603</v>
      </c>
      <c r="B605" s="1" t="s">
        <v>24</v>
      </c>
      <c r="C605" s="1" t="s">
        <v>26</v>
      </c>
      <c r="D605" s="2" t="str">
        <f t="shared" si="83"/>
        <v>z2024314</v>
      </c>
      <c r="E605" s="2" t="str">
        <f>"晏中正"</f>
        <v>晏中正</v>
      </c>
      <c r="F605" s="2" t="str">
        <f>"男"</f>
        <v>男</v>
      </c>
      <c r="G605" s="1" t="str">
        <f>"大专"</f>
        <v>大专</v>
      </c>
      <c r="H605" s="1" t="str">
        <f t="shared" si="86"/>
        <v>无</v>
      </c>
      <c r="I605" s="1" t="str">
        <f>"湖北医药学院"</f>
        <v>湖北医药学院</v>
      </c>
      <c r="J605" s="1" t="str">
        <f>"康复治疗技术"</f>
        <v>康复治疗技术</v>
      </c>
      <c r="K605" s="7"/>
    </row>
    <row r="606" spans="1:11" ht="36" customHeight="1">
      <c r="A606" s="7">
        <v>604</v>
      </c>
      <c r="B606" s="1" t="s">
        <v>24</v>
      </c>
      <c r="C606" s="1" t="s">
        <v>26</v>
      </c>
      <c r="D606" s="2" t="str">
        <f t="shared" si="83"/>
        <v>z2024314</v>
      </c>
      <c r="E606" s="2" t="str">
        <f>"严若霞"</f>
        <v>严若霞</v>
      </c>
      <c r="F606" s="2" t="str">
        <f>"女"</f>
        <v>女</v>
      </c>
      <c r="G606" s="1" t="str">
        <f>"本科"</f>
        <v>本科</v>
      </c>
      <c r="H606" s="1" t="str">
        <f t="shared" si="86"/>
        <v>无</v>
      </c>
      <c r="I606" s="1" t="str">
        <f>"湖北中医药学院"</f>
        <v>湖北中医药学院</v>
      </c>
      <c r="J606" s="1" t="str">
        <f>"康复治疗学"</f>
        <v>康复治疗学</v>
      </c>
      <c r="K606" s="7"/>
    </row>
    <row r="607" spans="1:11" ht="36" customHeight="1">
      <c r="A607" s="7">
        <v>605</v>
      </c>
      <c r="B607" s="1" t="s">
        <v>24</v>
      </c>
      <c r="C607" s="1" t="s">
        <v>26</v>
      </c>
      <c r="D607" s="2" t="str">
        <f t="shared" si="83"/>
        <v>z2024314</v>
      </c>
      <c r="E607" s="2" t="str">
        <f>"祁兴旺"</f>
        <v>祁兴旺</v>
      </c>
      <c r="F607" s="2" t="str">
        <f>"男"</f>
        <v>男</v>
      </c>
      <c r="G607" s="1" t="str">
        <f t="shared" ref="G607:G613" si="87">"大专"</f>
        <v>大专</v>
      </c>
      <c r="H607" s="1" t="str">
        <f t="shared" si="86"/>
        <v>无</v>
      </c>
      <c r="I607" s="1" t="str">
        <f>"湖北中医药高等专科学校"</f>
        <v>湖北中医药高等专科学校</v>
      </c>
      <c r="J607" s="1" t="str">
        <f>"中医学"</f>
        <v>中医学</v>
      </c>
      <c r="K607" s="7"/>
    </row>
    <row r="608" spans="1:11" ht="36" customHeight="1">
      <c r="A608" s="7">
        <v>606</v>
      </c>
      <c r="B608" s="1" t="s">
        <v>24</v>
      </c>
      <c r="C608" s="1" t="s">
        <v>26</v>
      </c>
      <c r="D608" s="2" t="str">
        <f t="shared" si="83"/>
        <v>z2024314</v>
      </c>
      <c r="E608" s="2" t="str">
        <f>"唐龙灿"</f>
        <v>唐龙灿</v>
      </c>
      <c r="F608" s="2" t="str">
        <f>"男"</f>
        <v>男</v>
      </c>
      <c r="G608" s="1" t="str">
        <f t="shared" si="87"/>
        <v>大专</v>
      </c>
      <c r="H608" s="1" t="str">
        <f t="shared" si="86"/>
        <v>无</v>
      </c>
      <c r="I608" s="1" t="str">
        <f>"仙桃职业学院"</f>
        <v>仙桃职业学院</v>
      </c>
      <c r="J608" s="1" t="str">
        <f>"康复治疗技术"</f>
        <v>康复治疗技术</v>
      </c>
      <c r="K608" s="7"/>
    </row>
    <row r="609" spans="1:11" ht="36" customHeight="1">
      <c r="A609" s="7">
        <v>607</v>
      </c>
      <c r="B609" s="1" t="s">
        <v>24</v>
      </c>
      <c r="C609" s="1" t="s">
        <v>26</v>
      </c>
      <c r="D609" s="2" t="str">
        <f t="shared" si="83"/>
        <v>z2024314</v>
      </c>
      <c r="E609" s="2" t="str">
        <f>"张洋"</f>
        <v>张洋</v>
      </c>
      <c r="F609" s="2" t="str">
        <f>"男"</f>
        <v>男</v>
      </c>
      <c r="G609" s="1" t="str">
        <f t="shared" si="87"/>
        <v>大专</v>
      </c>
      <c r="H609" s="1" t="str">
        <f t="shared" si="86"/>
        <v>无</v>
      </c>
      <c r="I609" s="1" t="str">
        <f>"鄂州职业大学"</f>
        <v>鄂州职业大学</v>
      </c>
      <c r="J609" s="1" t="str">
        <f>"康复治疗技术"</f>
        <v>康复治疗技术</v>
      </c>
      <c r="K609" s="7"/>
    </row>
    <row r="610" spans="1:11" ht="36" customHeight="1">
      <c r="A610" s="7">
        <v>608</v>
      </c>
      <c r="B610" s="1" t="s">
        <v>24</v>
      </c>
      <c r="C610" s="1" t="s">
        <v>26</v>
      </c>
      <c r="D610" s="2" t="str">
        <f t="shared" si="83"/>
        <v>z2024314</v>
      </c>
      <c r="E610" s="2" t="str">
        <f>"覃义源"</f>
        <v>覃义源</v>
      </c>
      <c r="F610" s="2" t="str">
        <f>"男"</f>
        <v>男</v>
      </c>
      <c r="G610" s="1" t="str">
        <f t="shared" si="87"/>
        <v>大专</v>
      </c>
      <c r="H610" s="1" t="str">
        <f t="shared" si="86"/>
        <v>无</v>
      </c>
      <c r="I610" s="1" t="str">
        <f>"湖北中医药高等专科学校"</f>
        <v>湖北中医药高等专科学校</v>
      </c>
      <c r="J610" s="1" t="str">
        <f>"针灸推拿学"</f>
        <v>针灸推拿学</v>
      </c>
      <c r="K610" s="7"/>
    </row>
    <row r="611" spans="1:11" ht="36" customHeight="1">
      <c r="A611" s="7">
        <v>609</v>
      </c>
      <c r="B611" s="1" t="s">
        <v>24</v>
      </c>
      <c r="C611" s="1" t="s">
        <v>26</v>
      </c>
      <c r="D611" s="2" t="str">
        <f t="shared" si="83"/>
        <v>z2024314</v>
      </c>
      <c r="E611" s="2" t="str">
        <f>"周宇涵"</f>
        <v>周宇涵</v>
      </c>
      <c r="F611" s="2" t="str">
        <f>"女"</f>
        <v>女</v>
      </c>
      <c r="G611" s="1" t="str">
        <f t="shared" si="87"/>
        <v>大专</v>
      </c>
      <c r="H611" s="1" t="str">
        <f t="shared" si="86"/>
        <v>无</v>
      </c>
      <c r="I611" s="1" t="str">
        <f>"天津医学高等专科学校"</f>
        <v>天津医学高等专科学校</v>
      </c>
      <c r="J611" s="1" t="str">
        <f>"康复治疗技术"</f>
        <v>康复治疗技术</v>
      </c>
      <c r="K611" s="7"/>
    </row>
    <row r="612" spans="1:11" ht="36" customHeight="1">
      <c r="A612" s="7">
        <v>610</v>
      </c>
      <c r="B612" s="1" t="s">
        <v>24</v>
      </c>
      <c r="C612" s="1" t="s">
        <v>26</v>
      </c>
      <c r="D612" s="2" t="str">
        <f t="shared" si="83"/>
        <v>z2024314</v>
      </c>
      <c r="E612" s="2" t="str">
        <f>"陈妻岗"</f>
        <v>陈妻岗</v>
      </c>
      <c r="F612" s="2" t="str">
        <f>"男"</f>
        <v>男</v>
      </c>
      <c r="G612" s="1" t="str">
        <f t="shared" si="87"/>
        <v>大专</v>
      </c>
      <c r="H612" s="1" t="str">
        <f t="shared" si="86"/>
        <v>无</v>
      </c>
      <c r="I612" s="1" t="str">
        <f>"鄂州职业大学"</f>
        <v>鄂州职业大学</v>
      </c>
      <c r="J612" s="1" t="str">
        <f>"康复治疗技术"</f>
        <v>康复治疗技术</v>
      </c>
      <c r="K612" s="7"/>
    </row>
    <row r="613" spans="1:11" ht="36" customHeight="1">
      <c r="A613" s="7">
        <v>611</v>
      </c>
      <c r="B613" s="1" t="s">
        <v>24</v>
      </c>
      <c r="C613" s="1" t="s">
        <v>26</v>
      </c>
      <c r="D613" s="2" t="str">
        <f t="shared" si="83"/>
        <v>z2024314</v>
      </c>
      <c r="E613" s="2" t="str">
        <f>"彭琦萍"</f>
        <v>彭琦萍</v>
      </c>
      <c r="F613" s="2" t="str">
        <f>"女"</f>
        <v>女</v>
      </c>
      <c r="G613" s="1" t="str">
        <f t="shared" si="87"/>
        <v>大专</v>
      </c>
      <c r="H613" s="1" t="str">
        <f t="shared" si="86"/>
        <v>无</v>
      </c>
      <c r="I613" s="1" t="str">
        <f>"随州职业技术学院"</f>
        <v>随州职业技术学院</v>
      </c>
      <c r="J613" s="1" t="str">
        <f>"康复治疗技术"</f>
        <v>康复治疗技术</v>
      </c>
      <c r="K613" s="7"/>
    </row>
    <row r="614" spans="1:11" ht="36" customHeight="1">
      <c r="A614" s="7">
        <v>612</v>
      </c>
      <c r="B614" s="1" t="s">
        <v>24</v>
      </c>
      <c r="C614" s="1" t="s">
        <v>26</v>
      </c>
      <c r="D614" s="2" t="str">
        <f t="shared" si="83"/>
        <v>z2024314</v>
      </c>
      <c r="E614" s="2" t="str">
        <f>"刘恒志"</f>
        <v>刘恒志</v>
      </c>
      <c r="F614" s="2" t="str">
        <f>"男"</f>
        <v>男</v>
      </c>
      <c r="G614" s="1" t="str">
        <f>"本科"</f>
        <v>本科</v>
      </c>
      <c r="H614" s="1" t="str">
        <f>"学士"</f>
        <v>学士</v>
      </c>
      <c r="I614" s="1" t="str">
        <f>"湖北民族学院"</f>
        <v>湖北民族学院</v>
      </c>
      <c r="J614" s="1" t="str">
        <f>"康复治疗学"</f>
        <v>康复治疗学</v>
      </c>
      <c r="K614" s="7"/>
    </row>
    <row r="615" spans="1:11" ht="36" customHeight="1">
      <c r="A615" s="7">
        <v>613</v>
      </c>
      <c r="B615" s="1" t="s">
        <v>24</v>
      </c>
      <c r="C615" s="1" t="s">
        <v>26</v>
      </c>
      <c r="D615" s="2" t="str">
        <f t="shared" si="83"/>
        <v>z2024314</v>
      </c>
      <c r="E615" s="2" t="str">
        <f>"官玉琳"</f>
        <v>官玉琳</v>
      </c>
      <c r="F615" s="2" t="str">
        <f>"男"</f>
        <v>男</v>
      </c>
      <c r="G615" s="1" t="str">
        <f>"大专"</f>
        <v>大专</v>
      </c>
      <c r="H615" s="1" t="str">
        <f>"无"</f>
        <v>无</v>
      </c>
      <c r="I615" s="1" t="str">
        <f>"仙桃职业学院"</f>
        <v>仙桃职业学院</v>
      </c>
      <c r="J615" s="1" t="str">
        <f>"康复治疗技术"</f>
        <v>康复治疗技术</v>
      </c>
      <c r="K615" s="7"/>
    </row>
    <row r="616" spans="1:11" ht="36" customHeight="1">
      <c r="A616" s="7">
        <v>614</v>
      </c>
      <c r="B616" s="1" t="s">
        <v>24</v>
      </c>
      <c r="C616" s="1" t="s">
        <v>26</v>
      </c>
      <c r="D616" s="2" t="str">
        <f t="shared" si="83"/>
        <v>z2024314</v>
      </c>
      <c r="E616" s="2" t="str">
        <f>"任娟娟"</f>
        <v>任娟娟</v>
      </c>
      <c r="F616" s="2" t="str">
        <f>"女"</f>
        <v>女</v>
      </c>
      <c r="G616" s="1" t="str">
        <f>"本科"</f>
        <v>本科</v>
      </c>
      <c r="H616" s="1" t="str">
        <f>"学士"</f>
        <v>学士</v>
      </c>
      <c r="I616" s="1" t="str">
        <f>"湖北民族大学"</f>
        <v>湖北民族大学</v>
      </c>
      <c r="J616" s="1" t="str">
        <f>"康复治疗学"</f>
        <v>康复治疗学</v>
      </c>
      <c r="K616" s="7"/>
    </row>
    <row r="617" spans="1:11" ht="36" customHeight="1">
      <c r="A617" s="7">
        <v>615</v>
      </c>
      <c r="B617" s="1" t="s">
        <v>24</v>
      </c>
      <c r="C617" s="1" t="s">
        <v>26</v>
      </c>
      <c r="D617" s="2" t="str">
        <f t="shared" si="83"/>
        <v>z2024314</v>
      </c>
      <c r="E617" s="2" t="str">
        <f>"杨堃"</f>
        <v>杨堃</v>
      </c>
      <c r="F617" s="2" t="str">
        <f>"男"</f>
        <v>男</v>
      </c>
      <c r="G617" s="1" t="str">
        <f>"大专"</f>
        <v>大专</v>
      </c>
      <c r="H617" s="1" t="str">
        <f>"无"</f>
        <v>无</v>
      </c>
      <c r="I617" s="1" t="str">
        <f>"鄂州职业大学"</f>
        <v>鄂州职业大学</v>
      </c>
      <c r="J617" s="1" t="str">
        <f>"康复治疗技术"</f>
        <v>康复治疗技术</v>
      </c>
      <c r="K617" s="7"/>
    </row>
    <row r="618" spans="1:11" ht="36" customHeight="1">
      <c r="A618" s="7">
        <v>616</v>
      </c>
      <c r="B618" s="1" t="s">
        <v>24</v>
      </c>
      <c r="C618" s="1" t="s">
        <v>26</v>
      </c>
      <c r="D618" s="2" t="str">
        <f t="shared" si="83"/>
        <v>z2024314</v>
      </c>
      <c r="E618" s="2" t="str">
        <f>"邓正洋"</f>
        <v>邓正洋</v>
      </c>
      <c r="F618" s="2" t="str">
        <f>"男"</f>
        <v>男</v>
      </c>
      <c r="G618" s="1" t="str">
        <f>"本科"</f>
        <v>本科</v>
      </c>
      <c r="H618" s="1" t="str">
        <f>"学士"</f>
        <v>学士</v>
      </c>
      <c r="I618" s="1" t="str">
        <f>"西安外事学院"</f>
        <v>西安外事学院</v>
      </c>
      <c r="J618" s="1" t="str">
        <f>"康复治疗学"</f>
        <v>康复治疗学</v>
      </c>
      <c r="K618" s="7"/>
    </row>
    <row r="619" spans="1:11" ht="36" customHeight="1">
      <c r="A619" s="7">
        <v>617</v>
      </c>
      <c r="B619" s="1" t="s">
        <v>24</v>
      </c>
      <c r="C619" s="1" t="s">
        <v>26</v>
      </c>
      <c r="D619" s="2" t="str">
        <f t="shared" si="83"/>
        <v>z2024314</v>
      </c>
      <c r="E619" s="2" t="str">
        <f>"邹雪"</f>
        <v>邹雪</v>
      </c>
      <c r="F619" s="2" t="str">
        <f>"女"</f>
        <v>女</v>
      </c>
      <c r="G619" s="1" t="str">
        <f>"本科"</f>
        <v>本科</v>
      </c>
      <c r="H619" s="1" t="str">
        <f>"学士"</f>
        <v>学士</v>
      </c>
      <c r="I619" s="1" t="str">
        <f>"荆楚理工学院"</f>
        <v>荆楚理工学院</v>
      </c>
      <c r="J619" s="1" t="str">
        <f>"康复治疗学"</f>
        <v>康复治疗学</v>
      </c>
      <c r="K619" s="7"/>
    </row>
    <row r="620" spans="1:11" ht="36" customHeight="1">
      <c r="A620" s="7">
        <v>618</v>
      </c>
      <c r="B620" s="1" t="s">
        <v>24</v>
      </c>
      <c r="C620" s="1" t="s">
        <v>26</v>
      </c>
      <c r="D620" s="2" t="str">
        <f t="shared" ref="D620:D639" si="88">"z2024314"</f>
        <v>z2024314</v>
      </c>
      <c r="E620" s="2" t="str">
        <f>"徐颖"</f>
        <v>徐颖</v>
      </c>
      <c r="F620" s="2" t="str">
        <f>"女"</f>
        <v>女</v>
      </c>
      <c r="G620" s="1" t="str">
        <f>"本科"</f>
        <v>本科</v>
      </c>
      <c r="H620" s="1" t="str">
        <f>"学士"</f>
        <v>学士</v>
      </c>
      <c r="I620" s="1" t="str">
        <f>"湖北民族大学"</f>
        <v>湖北民族大学</v>
      </c>
      <c r="J620" s="1" t="str">
        <f>"康复治疗学"</f>
        <v>康复治疗学</v>
      </c>
      <c r="K620" s="7"/>
    </row>
    <row r="621" spans="1:11" ht="36" customHeight="1">
      <c r="A621" s="7">
        <v>619</v>
      </c>
      <c r="B621" s="1" t="s">
        <v>24</v>
      </c>
      <c r="C621" s="1" t="s">
        <v>26</v>
      </c>
      <c r="D621" s="2" t="str">
        <f t="shared" si="88"/>
        <v>z2024314</v>
      </c>
      <c r="E621" s="2" t="str">
        <f>"陈彦君"</f>
        <v>陈彦君</v>
      </c>
      <c r="F621" s="2" t="str">
        <f>"男"</f>
        <v>男</v>
      </c>
      <c r="G621" s="1" t="str">
        <f>"本科"</f>
        <v>本科</v>
      </c>
      <c r="H621" s="1" t="str">
        <f>"学士"</f>
        <v>学士</v>
      </c>
      <c r="I621" s="1" t="str">
        <f>"湖北民族大学"</f>
        <v>湖北民族大学</v>
      </c>
      <c r="J621" s="1" t="str">
        <f>"康复治疗学"</f>
        <v>康复治疗学</v>
      </c>
      <c r="K621" s="7"/>
    </row>
    <row r="622" spans="1:11" ht="36" customHeight="1">
      <c r="A622" s="7">
        <v>620</v>
      </c>
      <c r="B622" s="1" t="s">
        <v>24</v>
      </c>
      <c r="C622" s="1" t="s">
        <v>26</v>
      </c>
      <c r="D622" s="2" t="str">
        <f t="shared" si="88"/>
        <v>z2024314</v>
      </c>
      <c r="E622" s="2" t="str">
        <f>"杨丹"</f>
        <v>杨丹</v>
      </c>
      <c r="F622" s="2" t="str">
        <f>"女"</f>
        <v>女</v>
      </c>
      <c r="G622" s="1" t="str">
        <f>"大专"</f>
        <v>大专</v>
      </c>
      <c r="H622" s="1" t="str">
        <f>"无"</f>
        <v>无</v>
      </c>
      <c r="I622" s="1" t="str">
        <f>"湖北职业技术学院"</f>
        <v>湖北职业技术学院</v>
      </c>
      <c r="J622" s="1" t="str">
        <f>"康复治疗技术"</f>
        <v>康复治疗技术</v>
      </c>
      <c r="K622" s="7"/>
    </row>
    <row r="623" spans="1:11" ht="36" customHeight="1">
      <c r="A623" s="7">
        <v>621</v>
      </c>
      <c r="B623" s="1" t="s">
        <v>24</v>
      </c>
      <c r="C623" s="1" t="s">
        <v>26</v>
      </c>
      <c r="D623" s="2" t="str">
        <f t="shared" si="88"/>
        <v>z2024314</v>
      </c>
      <c r="E623" s="2" t="str">
        <f>"罗欣"</f>
        <v>罗欣</v>
      </c>
      <c r="F623" s="2" t="str">
        <f>"女"</f>
        <v>女</v>
      </c>
      <c r="G623" s="1" t="str">
        <f>"大专"</f>
        <v>大专</v>
      </c>
      <c r="H623" s="1" t="str">
        <f>"无"</f>
        <v>无</v>
      </c>
      <c r="I623" s="1" t="str">
        <f>"湖南外国语职业学校"</f>
        <v>湖南外国语职业学校</v>
      </c>
      <c r="J623" s="1" t="str">
        <f>"中医康复技术"</f>
        <v>中医康复技术</v>
      </c>
      <c r="K623" s="7"/>
    </row>
    <row r="624" spans="1:11" ht="36" customHeight="1">
      <c r="A624" s="7">
        <v>622</v>
      </c>
      <c r="B624" s="1" t="s">
        <v>24</v>
      </c>
      <c r="C624" s="1" t="s">
        <v>26</v>
      </c>
      <c r="D624" s="2" t="str">
        <f t="shared" si="88"/>
        <v>z2024314</v>
      </c>
      <c r="E624" s="2" t="str">
        <f>"王新宇"</f>
        <v>王新宇</v>
      </c>
      <c r="F624" s="2" t="str">
        <f>"女"</f>
        <v>女</v>
      </c>
      <c r="G624" s="1" t="str">
        <f>"大专"</f>
        <v>大专</v>
      </c>
      <c r="H624" s="1" t="str">
        <f>"无"</f>
        <v>无</v>
      </c>
      <c r="I624" s="1" t="str">
        <f>"重庆护理职业学院"</f>
        <v>重庆护理职业学院</v>
      </c>
      <c r="J624" s="1" t="str">
        <f>"康复治疗技术"</f>
        <v>康复治疗技术</v>
      </c>
      <c r="K624" s="7"/>
    </row>
    <row r="625" spans="1:11" ht="36" customHeight="1">
      <c r="A625" s="7">
        <v>623</v>
      </c>
      <c r="B625" s="1" t="s">
        <v>24</v>
      </c>
      <c r="C625" s="1" t="s">
        <v>26</v>
      </c>
      <c r="D625" s="2" t="str">
        <f t="shared" si="88"/>
        <v>z2024314</v>
      </c>
      <c r="E625" s="2" t="str">
        <f>"殷铭"</f>
        <v>殷铭</v>
      </c>
      <c r="F625" s="2" t="str">
        <f>"男"</f>
        <v>男</v>
      </c>
      <c r="G625" s="1" t="str">
        <f>"本科"</f>
        <v>本科</v>
      </c>
      <c r="H625" s="1" t="str">
        <f>"学士"</f>
        <v>学士</v>
      </c>
      <c r="I625" s="1" t="str">
        <f>"湖北民族大学"</f>
        <v>湖北民族大学</v>
      </c>
      <c r="J625" s="1" t="str">
        <f>"康复治疗学"</f>
        <v>康复治疗学</v>
      </c>
      <c r="K625" s="7"/>
    </row>
    <row r="626" spans="1:11" ht="36" customHeight="1">
      <c r="A626" s="7">
        <v>624</v>
      </c>
      <c r="B626" s="1" t="s">
        <v>24</v>
      </c>
      <c r="C626" s="1" t="s">
        <v>26</v>
      </c>
      <c r="D626" s="2" t="str">
        <f t="shared" si="88"/>
        <v>z2024314</v>
      </c>
      <c r="E626" s="2" t="str">
        <f>"丁关庆"</f>
        <v>丁关庆</v>
      </c>
      <c r="F626" s="2" t="str">
        <f>"男"</f>
        <v>男</v>
      </c>
      <c r="G626" s="1" t="str">
        <f>"大专"</f>
        <v>大专</v>
      </c>
      <c r="H626" s="1" t="str">
        <f>"无"</f>
        <v>无</v>
      </c>
      <c r="I626" s="1" t="str">
        <f>"湖北工程职业学院"</f>
        <v>湖北工程职业学院</v>
      </c>
      <c r="J626" s="1" t="str">
        <f>"中医康复技术"</f>
        <v>中医康复技术</v>
      </c>
      <c r="K626" s="7"/>
    </row>
    <row r="627" spans="1:11" ht="36" customHeight="1">
      <c r="A627" s="7">
        <v>625</v>
      </c>
      <c r="B627" s="1" t="s">
        <v>24</v>
      </c>
      <c r="C627" s="1" t="s">
        <v>26</v>
      </c>
      <c r="D627" s="2" t="str">
        <f t="shared" si="88"/>
        <v>z2024314</v>
      </c>
      <c r="E627" s="2" t="str">
        <f>"孙健皓"</f>
        <v>孙健皓</v>
      </c>
      <c r="F627" s="2" t="str">
        <f>"男"</f>
        <v>男</v>
      </c>
      <c r="G627" s="1" t="str">
        <f>"大专"</f>
        <v>大专</v>
      </c>
      <c r="H627" s="1" t="str">
        <f>"无"</f>
        <v>无</v>
      </c>
      <c r="I627" s="1" t="str">
        <f>"石家庄医学高等专科学校"</f>
        <v>石家庄医学高等专科学校</v>
      </c>
      <c r="J627" s="1" t="str">
        <f>"针灸推拿"</f>
        <v>针灸推拿</v>
      </c>
      <c r="K627" s="7"/>
    </row>
    <row r="628" spans="1:11" ht="36" customHeight="1">
      <c r="A628" s="7">
        <v>626</v>
      </c>
      <c r="B628" s="1" t="s">
        <v>24</v>
      </c>
      <c r="C628" s="1" t="s">
        <v>26</v>
      </c>
      <c r="D628" s="2" t="str">
        <f t="shared" si="88"/>
        <v>z2024314</v>
      </c>
      <c r="E628" s="2" t="str">
        <f>"何婧荧"</f>
        <v>何婧荧</v>
      </c>
      <c r="F628" s="2" t="str">
        <f>"女"</f>
        <v>女</v>
      </c>
      <c r="G628" s="1" t="str">
        <f>"本科"</f>
        <v>本科</v>
      </c>
      <c r="H628" s="1" t="str">
        <f>"学士"</f>
        <v>学士</v>
      </c>
      <c r="I628" s="1" t="str">
        <f>"山西中医药大学"</f>
        <v>山西中医药大学</v>
      </c>
      <c r="J628" s="1" t="str">
        <f>"康复治疗学"</f>
        <v>康复治疗学</v>
      </c>
      <c r="K628" s="7"/>
    </row>
    <row r="629" spans="1:11" ht="36" customHeight="1">
      <c r="A629" s="7">
        <v>627</v>
      </c>
      <c r="B629" s="1" t="s">
        <v>24</v>
      </c>
      <c r="C629" s="1" t="s">
        <v>26</v>
      </c>
      <c r="D629" s="2" t="str">
        <f t="shared" si="88"/>
        <v>z2024314</v>
      </c>
      <c r="E629" s="2" t="str">
        <f>"吴霄峰"</f>
        <v>吴霄峰</v>
      </c>
      <c r="F629" s="2" t="str">
        <f>"男"</f>
        <v>男</v>
      </c>
      <c r="G629" s="1" t="str">
        <f>"大专"</f>
        <v>大专</v>
      </c>
      <c r="H629" s="1" t="str">
        <f t="shared" ref="H629:H636" si="89">"无"</f>
        <v>无</v>
      </c>
      <c r="I629" s="1" t="str">
        <f>"湖北中医药高等专科学校"</f>
        <v>湖北中医药高等专科学校</v>
      </c>
      <c r="J629" s="1" t="str">
        <f t="shared" ref="J629:J635" si="90">"康复治疗技术"</f>
        <v>康复治疗技术</v>
      </c>
      <c r="K629" s="7"/>
    </row>
    <row r="630" spans="1:11" ht="36" customHeight="1">
      <c r="A630" s="7">
        <v>628</v>
      </c>
      <c r="B630" s="1" t="s">
        <v>24</v>
      </c>
      <c r="C630" s="1" t="s">
        <v>26</v>
      </c>
      <c r="D630" s="2" t="str">
        <f t="shared" si="88"/>
        <v>z2024314</v>
      </c>
      <c r="E630" s="2" t="str">
        <f>"黄田"</f>
        <v>黄田</v>
      </c>
      <c r="F630" s="2" t="str">
        <f>"男"</f>
        <v>男</v>
      </c>
      <c r="G630" s="1" t="str">
        <f>"大专"</f>
        <v>大专</v>
      </c>
      <c r="H630" s="1" t="str">
        <f t="shared" si="89"/>
        <v>无</v>
      </c>
      <c r="I630" s="1" t="str">
        <f>"邵阳学院"</f>
        <v>邵阳学院</v>
      </c>
      <c r="J630" s="1" t="str">
        <f t="shared" si="90"/>
        <v>康复治疗技术</v>
      </c>
      <c r="K630" s="7"/>
    </row>
    <row r="631" spans="1:11" ht="36" customHeight="1">
      <c r="A631" s="7">
        <v>629</v>
      </c>
      <c r="B631" s="1" t="s">
        <v>24</v>
      </c>
      <c r="C631" s="1" t="s">
        <v>26</v>
      </c>
      <c r="D631" s="2" t="str">
        <f t="shared" si="88"/>
        <v>z2024314</v>
      </c>
      <c r="E631" s="2" t="str">
        <f>"曾丹"</f>
        <v>曾丹</v>
      </c>
      <c r="F631" s="2" t="str">
        <f>"女"</f>
        <v>女</v>
      </c>
      <c r="G631" s="1" t="str">
        <f>"本科"</f>
        <v>本科</v>
      </c>
      <c r="H631" s="1" t="str">
        <f t="shared" si="89"/>
        <v>无</v>
      </c>
      <c r="I631" s="1" t="str">
        <f>"荆楚理工学院"</f>
        <v>荆楚理工学院</v>
      </c>
      <c r="J631" s="1" t="str">
        <f t="shared" si="90"/>
        <v>康复治疗技术</v>
      </c>
      <c r="K631" s="7"/>
    </row>
    <row r="632" spans="1:11" ht="36" customHeight="1">
      <c r="A632" s="7">
        <v>630</v>
      </c>
      <c r="B632" s="1" t="s">
        <v>24</v>
      </c>
      <c r="C632" s="1" t="s">
        <v>26</v>
      </c>
      <c r="D632" s="2" t="str">
        <f t="shared" si="88"/>
        <v>z2024314</v>
      </c>
      <c r="E632" s="2" t="str">
        <f>"王英泽"</f>
        <v>王英泽</v>
      </c>
      <c r="F632" s="2" t="str">
        <f>"男"</f>
        <v>男</v>
      </c>
      <c r="G632" s="1" t="str">
        <f>"大专"</f>
        <v>大专</v>
      </c>
      <c r="H632" s="1" t="str">
        <f t="shared" si="89"/>
        <v>无</v>
      </c>
      <c r="I632" s="1" t="str">
        <f>"湖北中医药高等专科学校"</f>
        <v>湖北中医药高等专科学校</v>
      </c>
      <c r="J632" s="1" t="str">
        <f t="shared" si="90"/>
        <v>康复治疗技术</v>
      </c>
      <c r="K632" s="7"/>
    </row>
    <row r="633" spans="1:11" ht="36" customHeight="1">
      <c r="A633" s="7">
        <v>631</v>
      </c>
      <c r="B633" s="1" t="s">
        <v>24</v>
      </c>
      <c r="C633" s="1" t="s">
        <v>26</v>
      </c>
      <c r="D633" s="2" t="str">
        <f t="shared" si="88"/>
        <v>z2024314</v>
      </c>
      <c r="E633" s="2" t="str">
        <f>"蒋红"</f>
        <v>蒋红</v>
      </c>
      <c r="F633" s="2" t="str">
        <f>"女"</f>
        <v>女</v>
      </c>
      <c r="G633" s="1" t="str">
        <f>"大专"</f>
        <v>大专</v>
      </c>
      <c r="H633" s="1" t="str">
        <f t="shared" si="89"/>
        <v>无</v>
      </c>
      <c r="I633" s="1" t="str">
        <f>"鄂州职业大学"</f>
        <v>鄂州职业大学</v>
      </c>
      <c r="J633" s="1" t="str">
        <f t="shared" si="90"/>
        <v>康复治疗技术</v>
      </c>
      <c r="K633" s="7"/>
    </row>
    <row r="634" spans="1:11" ht="36" customHeight="1">
      <c r="A634" s="7">
        <v>632</v>
      </c>
      <c r="B634" s="1" t="s">
        <v>24</v>
      </c>
      <c r="C634" s="1" t="s">
        <v>26</v>
      </c>
      <c r="D634" s="2" t="str">
        <f t="shared" si="88"/>
        <v>z2024314</v>
      </c>
      <c r="E634" s="2" t="str">
        <f>"徐伟"</f>
        <v>徐伟</v>
      </c>
      <c r="F634" s="2" t="str">
        <f>"男"</f>
        <v>男</v>
      </c>
      <c r="G634" s="1" t="str">
        <f>"大专"</f>
        <v>大专</v>
      </c>
      <c r="H634" s="1" t="str">
        <f t="shared" si="89"/>
        <v>无</v>
      </c>
      <c r="I634" s="1" t="str">
        <f>"湖北三峡职业技术学院"</f>
        <v>湖北三峡职业技术学院</v>
      </c>
      <c r="J634" s="1" t="str">
        <f t="shared" si="90"/>
        <v>康复治疗技术</v>
      </c>
      <c r="K634" s="7"/>
    </row>
    <row r="635" spans="1:11" ht="36" customHeight="1">
      <c r="A635" s="7">
        <v>633</v>
      </c>
      <c r="B635" s="1" t="s">
        <v>24</v>
      </c>
      <c r="C635" s="1" t="s">
        <v>26</v>
      </c>
      <c r="D635" s="2" t="str">
        <f t="shared" si="88"/>
        <v>z2024314</v>
      </c>
      <c r="E635" s="2" t="str">
        <f>"喻阳"</f>
        <v>喻阳</v>
      </c>
      <c r="F635" s="2" t="str">
        <f>"男"</f>
        <v>男</v>
      </c>
      <c r="G635" s="1" t="str">
        <f>"大专"</f>
        <v>大专</v>
      </c>
      <c r="H635" s="1" t="str">
        <f t="shared" si="89"/>
        <v>无</v>
      </c>
      <c r="I635" s="1" t="str">
        <f>"湖北三峡职业技术学院"</f>
        <v>湖北三峡职业技术学院</v>
      </c>
      <c r="J635" s="1" t="str">
        <f t="shared" si="90"/>
        <v>康复治疗技术</v>
      </c>
      <c r="K635" s="7"/>
    </row>
    <row r="636" spans="1:11" ht="36" customHeight="1">
      <c r="A636" s="7">
        <v>634</v>
      </c>
      <c r="B636" s="1" t="s">
        <v>24</v>
      </c>
      <c r="C636" s="1" t="s">
        <v>26</v>
      </c>
      <c r="D636" s="2" t="str">
        <f t="shared" si="88"/>
        <v>z2024314</v>
      </c>
      <c r="E636" s="2" t="str">
        <f>"江亚雪"</f>
        <v>江亚雪</v>
      </c>
      <c r="F636" s="2" t="str">
        <f t="shared" ref="F636:F681" si="91">"女"</f>
        <v>女</v>
      </c>
      <c r="G636" s="1" t="str">
        <f>"本科"</f>
        <v>本科</v>
      </c>
      <c r="H636" s="1" t="str">
        <f t="shared" si="89"/>
        <v>无</v>
      </c>
      <c r="I636" s="1" t="str">
        <f>"武汉轻工大学"</f>
        <v>武汉轻工大学</v>
      </c>
      <c r="J636" s="1" t="str">
        <f>"康复治疗学"</f>
        <v>康复治疗学</v>
      </c>
      <c r="K636" s="7"/>
    </row>
    <row r="637" spans="1:11" ht="36" customHeight="1">
      <c r="A637" s="7">
        <v>635</v>
      </c>
      <c r="B637" s="1" t="s">
        <v>24</v>
      </c>
      <c r="C637" s="1" t="s">
        <v>26</v>
      </c>
      <c r="D637" s="2" t="str">
        <f t="shared" si="88"/>
        <v>z2024314</v>
      </c>
      <c r="E637" s="2" t="str">
        <f>"辛海怡"</f>
        <v>辛海怡</v>
      </c>
      <c r="F637" s="2" t="str">
        <f t="shared" si="91"/>
        <v>女</v>
      </c>
      <c r="G637" s="1" t="str">
        <f>"本科"</f>
        <v>本科</v>
      </c>
      <c r="H637" s="1" t="str">
        <f>"学士"</f>
        <v>学士</v>
      </c>
      <c r="I637" s="1" t="str">
        <f>"荆楚理工学院"</f>
        <v>荆楚理工学院</v>
      </c>
      <c r="J637" s="1" t="str">
        <f>"康复治疗学"</f>
        <v>康复治疗学</v>
      </c>
      <c r="K637" s="7"/>
    </row>
    <row r="638" spans="1:11" ht="36" customHeight="1">
      <c r="A638" s="7">
        <v>636</v>
      </c>
      <c r="B638" s="1" t="s">
        <v>24</v>
      </c>
      <c r="C638" s="1" t="s">
        <v>26</v>
      </c>
      <c r="D638" s="2" t="str">
        <f t="shared" si="88"/>
        <v>z2024314</v>
      </c>
      <c r="E638" s="2" t="str">
        <f>"李翠"</f>
        <v>李翠</v>
      </c>
      <c r="F638" s="2" t="str">
        <f t="shared" si="91"/>
        <v>女</v>
      </c>
      <c r="G638" s="1" t="str">
        <f>"本科"</f>
        <v>本科</v>
      </c>
      <c r="H638" s="1" t="str">
        <f>"无"</f>
        <v>无</v>
      </c>
      <c r="I638" s="1" t="str">
        <f>"湖北民族大学"</f>
        <v>湖北民族大学</v>
      </c>
      <c r="J638" s="1" t="str">
        <f>"中医学"</f>
        <v>中医学</v>
      </c>
      <c r="K638" s="7"/>
    </row>
    <row r="639" spans="1:11" ht="36" customHeight="1">
      <c r="A639" s="7">
        <v>637</v>
      </c>
      <c r="B639" s="1" t="s">
        <v>24</v>
      </c>
      <c r="C639" s="1" t="s">
        <v>26</v>
      </c>
      <c r="D639" s="2" t="str">
        <f t="shared" si="88"/>
        <v>z2024314</v>
      </c>
      <c r="E639" s="2" t="str">
        <f>"徐小芳"</f>
        <v>徐小芳</v>
      </c>
      <c r="F639" s="2" t="str">
        <f t="shared" si="91"/>
        <v>女</v>
      </c>
      <c r="G639" s="1" t="str">
        <f>"大专"</f>
        <v>大专</v>
      </c>
      <c r="H639" s="1" t="str">
        <f>"无"</f>
        <v>无</v>
      </c>
      <c r="I639" s="1" t="str">
        <f>"湖北理工学院"</f>
        <v>湖北理工学院</v>
      </c>
      <c r="J639" s="1" t="str">
        <f>"康复治疗技术"</f>
        <v>康复治疗技术</v>
      </c>
      <c r="K639" s="7"/>
    </row>
    <row r="640" spans="1:11" ht="36" customHeight="1">
      <c r="A640" s="7">
        <v>638</v>
      </c>
      <c r="B640" s="1" t="s">
        <v>28</v>
      </c>
      <c r="C640" s="1" t="s">
        <v>27</v>
      </c>
      <c r="D640" s="2" t="str">
        <f t="shared" ref="D640:D671" si="92">"z2024315"</f>
        <v>z2024315</v>
      </c>
      <c r="E640" s="2" t="str">
        <f>"谭瑞雪"</f>
        <v>谭瑞雪</v>
      </c>
      <c r="F640" s="2" t="str">
        <f t="shared" si="91"/>
        <v>女</v>
      </c>
      <c r="G640" s="1" t="str">
        <f>"硕士研究生"</f>
        <v>硕士研究生</v>
      </c>
      <c r="H640" s="1" t="str">
        <f>"硕士"</f>
        <v>硕士</v>
      </c>
      <c r="I640" s="1" t="str">
        <f>"广西大学"</f>
        <v>广西大学</v>
      </c>
      <c r="J640" s="1" t="str">
        <f>"中国语言文学"</f>
        <v>中国语言文学</v>
      </c>
      <c r="K640" s="7"/>
    </row>
    <row r="641" spans="1:11" ht="36" customHeight="1">
      <c r="A641" s="7">
        <v>639</v>
      </c>
      <c r="B641" s="1" t="s">
        <v>28</v>
      </c>
      <c r="C641" s="1" t="s">
        <v>27</v>
      </c>
      <c r="D641" s="2" t="str">
        <f t="shared" si="92"/>
        <v>z2024315</v>
      </c>
      <c r="E641" s="2" t="str">
        <f>"郑道及"</f>
        <v>郑道及</v>
      </c>
      <c r="F641" s="2" t="str">
        <f t="shared" si="91"/>
        <v>女</v>
      </c>
      <c r="G641" s="1" t="str">
        <f t="shared" ref="G641:G646" si="93">"本科"</f>
        <v>本科</v>
      </c>
      <c r="H641" s="1" t="str">
        <f t="shared" ref="H641:H646" si="94">"学士"</f>
        <v>学士</v>
      </c>
      <c r="I641" s="1" t="str">
        <f>"六盘水师范学院"</f>
        <v>六盘水师范学院</v>
      </c>
      <c r="J641" s="1" t="str">
        <f>"汉语言文学"</f>
        <v>汉语言文学</v>
      </c>
      <c r="K641" s="7"/>
    </row>
    <row r="642" spans="1:11" ht="36" customHeight="1">
      <c r="A642" s="7">
        <v>640</v>
      </c>
      <c r="B642" s="1" t="s">
        <v>28</v>
      </c>
      <c r="C642" s="1" t="s">
        <v>27</v>
      </c>
      <c r="D642" s="2" t="str">
        <f t="shared" si="92"/>
        <v>z2024315</v>
      </c>
      <c r="E642" s="2" t="str">
        <f>"熊佳玉"</f>
        <v>熊佳玉</v>
      </c>
      <c r="F642" s="2" t="str">
        <f t="shared" si="91"/>
        <v>女</v>
      </c>
      <c r="G642" s="1" t="str">
        <f t="shared" si="93"/>
        <v>本科</v>
      </c>
      <c r="H642" s="1" t="str">
        <f t="shared" si="94"/>
        <v>学士</v>
      </c>
      <c r="I642" s="1" t="str">
        <f>"文华学院"</f>
        <v>文华学院</v>
      </c>
      <c r="J642" s="1" t="str">
        <f>"汉语言文学"</f>
        <v>汉语言文学</v>
      </c>
      <c r="K642" s="7"/>
    </row>
    <row r="643" spans="1:11" ht="36" customHeight="1">
      <c r="A643" s="7">
        <v>641</v>
      </c>
      <c r="B643" s="1" t="s">
        <v>28</v>
      </c>
      <c r="C643" s="1" t="s">
        <v>27</v>
      </c>
      <c r="D643" s="2" t="str">
        <f t="shared" si="92"/>
        <v>z2024315</v>
      </c>
      <c r="E643" s="2" t="str">
        <f>"汪雅辉"</f>
        <v>汪雅辉</v>
      </c>
      <c r="F643" s="2" t="str">
        <f t="shared" si="91"/>
        <v>女</v>
      </c>
      <c r="G643" s="1" t="str">
        <f t="shared" si="93"/>
        <v>本科</v>
      </c>
      <c r="H643" s="1" t="str">
        <f t="shared" si="94"/>
        <v>学士</v>
      </c>
      <c r="I643" s="1" t="str">
        <f>"黄淮学院"</f>
        <v>黄淮学院</v>
      </c>
      <c r="J643" s="1" t="str">
        <f>"汉语言文学"</f>
        <v>汉语言文学</v>
      </c>
      <c r="K643" s="7"/>
    </row>
    <row r="644" spans="1:11" ht="36" customHeight="1">
      <c r="A644" s="7">
        <v>642</v>
      </c>
      <c r="B644" s="1" t="s">
        <v>28</v>
      </c>
      <c r="C644" s="1" t="s">
        <v>27</v>
      </c>
      <c r="D644" s="2" t="str">
        <f t="shared" si="92"/>
        <v>z2024315</v>
      </c>
      <c r="E644" s="2" t="str">
        <f>"刘星"</f>
        <v>刘星</v>
      </c>
      <c r="F644" s="2" t="str">
        <f t="shared" si="91"/>
        <v>女</v>
      </c>
      <c r="G644" s="1" t="str">
        <f t="shared" si="93"/>
        <v>本科</v>
      </c>
      <c r="H644" s="1" t="str">
        <f t="shared" si="94"/>
        <v>学士</v>
      </c>
      <c r="I644" s="1" t="str">
        <f>"长江大学"</f>
        <v>长江大学</v>
      </c>
      <c r="J644" s="1" t="str">
        <f>"汉语言文学"</f>
        <v>汉语言文学</v>
      </c>
      <c r="K644" s="7"/>
    </row>
    <row r="645" spans="1:11" ht="36" customHeight="1">
      <c r="A645" s="7">
        <v>643</v>
      </c>
      <c r="B645" s="1" t="s">
        <v>28</v>
      </c>
      <c r="C645" s="1" t="s">
        <v>27</v>
      </c>
      <c r="D645" s="2" t="str">
        <f t="shared" si="92"/>
        <v>z2024315</v>
      </c>
      <c r="E645" s="2" t="str">
        <f>"艾艳丽"</f>
        <v>艾艳丽</v>
      </c>
      <c r="F645" s="2" t="str">
        <f t="shared" si="91"/>
        <v>女</v>
      </c>
      <c r="G645" s="1" t="str">
        <f t="shared" si="93"/>
        <v>本科</v>
      </c>
      <c r="H645" s="1" t="str">
        <f t="shared" si="94"/>
        <v>学士</v>
      </c>
      <c r="I645" s="1" t="str">
        <f>"淮阴师范学院"</f>
        <v>淮阴师范学院</v>
      </c>
      <c r="J645" s="1" t="str">
        <f>"汉语言文学（师范）"</f>
        <v>汉语言文学（师范）</v>
      </c>
      <c r="K645" s="7"/>
    </row>
    <row r="646" spans="1:11" ht="36" customHeight="1">
      <c r="A646" s="7">
        <v>644</v>
      </c>
      <c r="B646" s="1" t="s">
        <v>28</v>
      </c>
      <c r="C646" s="1" t="s">
        <v>27</v>
      </c>
      <c r="D646" s="2" t="str">
        <f t="shared" si="92"/>
        <v>z2024315</v>
      </c>
      <c r="E646" s="2" t="str">
        <f>"覃蓉"</f>
        <v>覃蓉</v>
      </c>
      <c r="F646" s="2" t="str">
        <f t="shared" si="91"/>
        <v>女</v>
      </c>
      <c r="G646" s="1" t="str">
        <f t="shared" si="93"/>
        <v>本科</v>
      </c>
      <c r="H646" s="1" t="str">
        <f t="shared" si="94"/>
        <v>学士</v>
      </c>
      <c r="I646" s="1" t="str">
        <f>"黄冈师范学院"</f>
        <v>黄冈师范学院</v>
      </c>
      <c r="J646" s="1" t="str">
        <f>"汉语言文学"</f>
        <v>汉语言文学</v>
      </c>
      <c r="K646" s="7"/>
    </row>
    <row r="647" spans="1:11" ht="36" customHeight="1">
      <c r="A647" s="7">
        <v>645</v>
      </c>
      <c r="B647" s="1" t="s">
        <v>28</v>
      </c>
      <c r="C647" s="1" t="s">
        <v>27</v>
      </c>
      <c r="D647" s="2" t="str">
        <f t="shared" si="92"/>
        <v>z2024315</v>
      </c>
      <c r="E647" s="2" t="str">
        <f>"严冬嵬"</f>
        <v>严冬嵬</v>
      </c>
      <c r="F647" s="2" t="str">
        <f t="shared" si="91"/>
        <v>女</v>
      </c>
      <c r="G647" s="1" t="str">
        <f>"硕士研究生"</f>
        <v>硕士研究生</v>
      </c>
      <c r="H647" s="1" t="str">
        <f>"硕士"</f>
        <v>硕士</v>
      </c>
      <c r="I647" s="1" t="str">
        <f>"信阳师范大学"</f>
        <v>信阳师范大学</v>
      </c>
      <c r="J647" s="1" t="str">
        <f>"文艺学"</f>
        <v>文艺学</v>
      </c>
      <c r="K647" s="7"/>
    </row>
    <row r="648" spans="1:11" ht="36" customHeight="1">
      <c r="A648" s="7">
        <v>646</v>
      </c>
      <c r="B648" s="1" t="s">
        <v>28</v>
      </c>
      <c r="C648" s="1" t="s">
        <v>27</v>
      </c>
      <c r="D648" s="2" t="str">
        <f t="shared" si="92"/>
        <v>z2024315</v>
      </c>
      <c r="E648" s="2" t="str">
        <f>"胡艳"</f>
        <v>胡艳</v>
      </c>
      <c r="F648" s="2" t="str">
        <f t="shared" si="91"/>
        <v>女</v>
      </c>
      <c r="G648" s="1" t="str">
        <f>"本科"</f>
        <v>本科</v>
      </c>
      <c r="H648" s="1" t="str">
        <f>"学士"</f>
        <v>学士</v>
      </c>
      <c r="I648" s="1" t="str">
        <f>"湖北民族大学"</f>
        <v>湖北民族大学</v>
      </c>
      <c r="J648" s="1" t="str">
        <f>"汉语言文学"</f>
        <v>汉语言文学</v>
      </c>
      <c r="K648" s="7"/>
    </row>
    <row r="649" spans="1:11" ht="36" customHeight="1">
      <c r="A649" s="7">
        <v>647</v>
      </c>
      <c r="B649" s="1" t="s">
        <v>28</v>
      </c>
      <c r="C649" s="1" t="s">
        <v>27</v>
      </c>
      <c r="D649" s="2" t="str">
        <f t="shared" si="92"/>
        <v>z2024315</v>
      </c>
      <c r="E649" s="2" t="str">
        <f>"杨世娇"</f>
        <v>杨世娇</v>
      </c>
      <c r="F649" s="2" t="str">
        <f t="shared" si="91"/>
        <v>女</v>
      </c>
      <c r="G649" s="1" t="str">
        <f>"硕士研究生"</f>
        <v>硕士研究生</v>
      </c>
      <c r="H649" s="1" t="str">
        <f>"硕士"</f>
        <v>硕士</v>
      </c>
      <c r="I649" s="1" t="str">
        <f>"湖北大学"</f>
        <v>湖北大学</v>
      </c>
      <c r="J649" s="1" t="str">
        <f>"学科教学（语文）"</f>
        <v>学科教学（语文）</v>
      </c>
      <c r="K649" s="7"/>
    </row>
    <row r="650" spans="1:11" ht="36" customHeight="1">
      <c r="A650" s="7">
        <v>648</v>
      </c>
      <c r="B650" s="1" t="s">
        <v>28</v>
      </c>
      <c r="C650" s="1" t="s">
        <v>27</v>
      </c>
      <c r="D650" s="2" t="str">
        <f t="shared" si="92"/>
        <v>z2024315</v>
      </c>
      <c r="E650" s="2" t="str">
        <f>"杨冬平"</f>
        <v>杨冬平</v>
      </c>
      <c r="F650" s="2" t="str">
        <f t="shared" si="91"/>
        <v>女</v>
      </c>
      <c r="G650" s="1" t="str">
        <f t="shared" ref="G650:G675" si="95">"本科"</f>
        <v>本科</v>
      </c>
      <c r="H650" s="1" t="str">
        <f t="shared" ref="H650:H675" si="96">"学士"</f>
        <v>学士</v>
      </c>
      <c r="I650" s="1" t="str">
        <f>"湖北民族大学科技学院"</f>
        <v>湖北民族大学科技学院</v>
      </c>
      <c r="J650" s="1" t="str">
        <f>"汉语言文学"</f>
        <v>汉语言文学</v>
      </c>
      <c r="K650" s="7"/>
    </row>
    <row r="651" spans="1:11" ht="36" customHeight="1">
      <c r="A651" s="7">
        <v>649</v>
      </c>
      <c r="B651" s="1" t="s">
        <v>28</v>
      </c>
      <c r="C651" s="1" t="s">
        <v>27</v>
      </c>
      <c r="D651" s="2" t="str">
        <f t="shared" si="92"/>
        <v>z2024315</v>
      </c>
      <c r="E651" s="2" t="str">
        <f>"张亚玲"</f>
        <v>张亚玲</v>
      </c>
      <c r="F651" s="2" t="str">
        <f t="shared" si="91"/>
        <v>女</v>
      </c>
      <c r="G651" s="1" t="str">
        <f t="shared" si="95"/>
        <v>本科</v>
      </c>
      <c r="H651" s="1" t="str">
        <f t="shared" si="96"/>
        <v>学士</v>
      </c>
      <c r="I651" s="1" t="str">
        <f>"海南师范大学"</f>
        <v>海南师范大学</v>
      </c>
      <c r="J651" s="1" t="str">
        <f>"汉语言文学"</f>
        <v>汉语言文学</v>
      </c>
      <c r="K651" s="7"/>
    </row>
    <row r="652" spans="1:11" ht="36" customHeight="1">
      <c r="A652" s="7">
        <v>650</v>
      </c>
      <c r="B652" s="1" t="s">
        <v>28</v>
      </c>
      <c r="C652" s="1" t="s">
        <v>27</v>
      </c>
      <c r="D652" s="2" t="str">
        <f t="shared" si="92"/>
        <v>z2024315</v>
      </c>
      <c r="E652" s="2" t="str">
        <f>"刘晗"</f>
        <v>刘晗</v>
      </c>
      <c r="F652" s="2" t="str">
        <f t="shared" si="91"/>
        <v>女</v>
      </c>
      <c r="G652" s="1" t="str">
        <f t="shared" si="95"/>
        <v>本科</v>
      </c>
      <c r="H652" s="1" t="str">
        <f t="shared" si="96"/>
        <v>学士</v>
      </c>
      <c r="I652" s="1" t="str">
        <f>"湖北师范大学文理学院"</f>
        <v>湖北师范大学文理学院</v>
      </c>
      <c r="J652" s="1" t="str">
        <f>"汉语言文学"</f>
        <v>汉语言文学</v>
      </c>
      <c r="K652" s="7"/>
    </row>
    <row r="653" spans="1:11" ht="36" customHeight="1">
      <c r="A653" s="7">
        <v>651</v>
      </c>
      <c r="B653" s="1" t="s">
        <v>28</v>
      </c>
      <c r="C653" s="1" t="s">
        <v>27</v>
      </c>
      <c r="D653" s="2" t="str">
        <f t="shared" si="92"/>
        <v>z2024315</v>
      </c>
      <c r="E653" s="2" t="str">
        <f>"牟羽"</f>
        <v>牟羽</v>
      </c>
      <c r="F653" s="2" t="str">
        <f t="shared" si="91"/>
        <v>女</v>
      </c>
      <c r="G653" s="1" t="str">
        <f t="shared" si="95"/>
        <v>本科</v>
      </c>
      <c r="H653" s="1" t="str">
        <f t="shared" si="96"/>
        <v>学士</v>
      </c>
      <c r="I653" s="1" t="str">
        <f>"湖北师范大学"</f>
        <v>湖北师范大学</v>
      </c>
      <c r="J653" s="1" t="str">
        <f>"汉语国际教育"</f>
        <v>汉语国际教育</v>
      </c>
      <c r="K653" s="7"/>
    </row>
    <row r="654" spans="1:11" ht="36" customHeight="1">
      <c r="A654" s="7">
        <v>652</v>
      </c>
      <c r="B654" s="1" t="s">
        <v>28</v>
      </c>
      <c r="C654" s="1" t="s">
        <v>27</v>
      </c>
      <c r="D654" s="2" t="str">
        <f t="shared" si="92"/>
        <v>z2024315</v>
      </c>
      <c r="E654" s="2" t="str">
        <f>"谭丹红"</f>
        <v>谭丹红</v>
      </c>
      <c r="F654" s="2" t="str">
        <f t="shared" si="91"/>
        <v>女</v>
      </c>
      <c r="G654" s="1" t="str">
        <f t="shared" si="95"/>
        <v>本科</v>
      </c>
      <c r="H654" s="1" t="str">
        <f t="shared" si="96"/>
        <v>学士</v>
      </c>
      <c r="I654" s="1" t="str">
        <f>"湖北文理学院理工学院"</f>
        <v>湖北文理学院理工学院</v>
      </c>
      <c r="J654" s="1" t="str">
        <f t="shared" ref="J654:J666" si="97">"汉语言文学"</f>
        <v>汉语言文学</v>
      </c>
      <c r="K654" s="7"/>
    </row>
    <row r="655" spans="1:11" ht="36" customHeight="1">
      <c r="A655" s="7">
        <v>653</v>
      </c>
      <c r="B655" s="1" t="s">
        <v>28</v>
      </c>
      <c r="C655" s="1" t="s">
        <v>27</v>
      </c>
      <c r="D655" s="2" t="str">
        <f t="shared" si="92"/>
        <v>z2024315</v>
      </c>
      <c r="E655" s="2" t="str">
        <f>"孙绮"</f>
        <v>孙绮</v>
      </c>
      <c r="F655" s="2" t="str">
        <f t="shared" si="91"/>
        <v>女</v>
      </c>
      <c r="G655" s="1" t="str">
        <f t="shared" si="95"/>
        <v>本科</v>
      </c>
      <c r="H655" s="1" t="str">
        <f t="shared" si="96"/>
        <v>学士</v>
      </c>
      <c r="I655" s="1" t="str">
        <f>"江苏海洋大学"</f>
        <v>江苏海洋大学</v>
      </c>
      <c r="J655" s="1" t="str">
        <f t="shared" si="97"/>
        <v>汉语言文学</v>
      </c>
      <c r="K655" s="7"/>
    </row>
    <row r="656" spans="1:11" ht="36" customHeight="1">
      <c r="A656" s="7">
        <v>654</v>
      </c>
      <c r="B656" s="1" t="s">
        <v>28</v>
      </c>
      <c r="C656" s="1" t="s">
        <v>27</v>
      </c>
      <c r="D656" s="2" t="str">
        <f t="shared" si="92"/>
        <v>z2024315</v>
      </c>
      <c r="E656" s="2" t="str">
        <f>"李依甜"</f>
        <v>李依甜</v>
      </c>
      <c r="F656" s="2" t="str">
        <f t="shared" si="91"/>
        <v>女</v>
      </c>
      <c r="G656" s="1" t="str">
        <f t="shared" si="95"/>
        <v>本科</v>
      </c>
      <c r="H656" s="1" t="str">
        <f t="shared" si="96"/>
        <v>学士</v>
      </c>
      <c r="I656" s="1" t="str">
        <f>"河北师范大学"</f>
        <v>河北师范大学</v>
      </c>
      <c r="J656" s="1" t="str">
        <f t="shared" si="97"/>
        <v>汉语言文学</v>
      </c>
      <c r="K656" s="7"/>
    </row>
    <row r="657" spans="1:11" ht="36" customHeight="1">
      <c r="A657" s="7">
        <v>655</v>
      </c>
      <c r="B657" s="1" t="s">
        <v>28</v>
      </c>
      <c r="C657" s="1" t="s">
        <v>27</v>
      </c>
      <c r="D657" s="2" t="str">
        <f t="shared" si="92"/>
        <v>z2024315</v>
      </c>
      <c r="E657" s="2" t="str">
        <f>"陈思宇"</f>
        <v>陈思宇</v>
      </c>
      <c r="F657" s="2" t="str">
        <f t="shared" si="91"/>
        <v>女</v>
      </c>
      <c r="G657" s="1" t="str">
        <f t="shared" si="95"/>
        <v>本科</v>
      </c>
      <c r="H657" s="1" t="str">
        <f t="shared" si="96"/>
        <v>学士</v>
      </c>
      <c r="I657" s="1" t="str">
        <f>"汉口学院"</f>
        <v>汉口学院</v>
      </c>
      <c r="J657" s="1" t="str">
        <f t="shared" si="97"/>
        <v>汉语言文学</v>
      </c>
      <c r="K657" s="7"/>
    </row>
    <row r="658" spans="1:11" ht="36" customHeight="1">
      <c r="A658" s="7">
        <v>656</v>
      </c>
      <c r="B658" s="1" t="s">
        <v>28</v>
      </c>
      <c r="C658" s="1" t="s">
        <v>27</v>
      </c>
      <c r="D658" s="2" t="str">
        <f t="shared" si="92"/>
        <v>z2024315</v>
      </c>
      <c r="E658" s="2" t="str">
        <f>"魏璇"</f>
        <v>魏璇</v>
      </c>
      <c r="F658" s="2" t="str">
        <f t="shared" si="91"/>
        <v>女</v>
      </c>
      <c r="G658" s="1" t="str">
        <f t="shared" si="95"/>
        <v>本科</v>
      </c>
      <c r="H658" s="1" t="str">
        <f t="shared" si="96"/>
        <v>学士</v>
      </c>
      <c r="I658" s="1" t="str">
        <f>"湖北民族大学科技学院"</f>
        <v>湖北民族大学科技学院</v>
      </c>
      <c r="J658" s="1" t="str">
        <f t="shared" si="97"/>
        <v>汉语言文学</v>
      </c>
      <c r="K658" s="7"/>
    </row>
    <row r="659" spans="1:11" ht="36" customHeight="1">
      <c r="A659" s="7">
        <v>657</v>
      </c>
      <c r="B659" s="1" t="s">
        <v>28</v>
      </c>
      <c r="C659" s="1" t="s">
        <v>27</v>
      </c>
      <c r="D659" s="2" t="str">
        <f t="shared" si="92"/>
        <v>z2024315</v>
      </c>
      <c r="E659" s="2" t="str">
        <f>"张灿"</f>
        <v>张灿</v>
      </c>
      <c r="F659" s="2" t="str">
        <f t="shared" si="91"/>
        <v>女</v>
      </c>
      <c r="G659" s="1" t="str">
        <f t="shared" si="95"/>
        <v>本科</v>
      </c>
      <c r="H659" s="1" t="str">
        <f t="shared" si="96"/>
        <v>学士</v>
      </c>
      <c r="I659" s="1" t="str">
        <f>"湖北民族大学"</f>
        <v>湖北民族大学</v>
      </c>
      <c r="J659" s="1" t="str">
        <f t="shared" si="97"/>
        <v>汉语言文学</v>
      </c>
      <c r="K659" s="7"/>
    </row>
    <row r="660" spans="1:11" ht="36" customHeight="1">
      <c r="A660" s="7">
        <v>658</v>
      </c>
      <c r="B660" s="1" t="s">
        <v>28</v>
      </c>
      <c r="C660" s="1" t="s">
        <v>27</v>
      </c>
      <c r="D660" s="2" t="str">
        <f t="shared" si="92"/>
        <v>z2024315</v>
      </c>
      <c r="E660" s="2" t="str">
        <f>"陈国卫"</f>
        <v>陈国卫</v>
      </c>
      <c r="F660" s="2" t="str">
        <f t="shared" si="91"/>
        <v>女</v>
      </c>
      <c r="G660" s="1" t="str">
        <f t="shared" si="95"/>
        <v>本科</v>
      </c>
      <c r="H660" s="1" t="str">
        <f t="shared" si="96"/>
        <v>学士</v>
      </c>
      <c r="I660" s="1" t="str">
        <f>"湖北文理学院理工学院"</f>
        <v>湖北文理学院理工学院</v>
      </c>
      <c r="J660" s="1" t="str">
        <f t="shared" si="97"/>
        <v>汉语言文学</v>
      </c>
      <c r="K660" s="7"/>
    </row>
    <row r="661" spans="1:11" ht="36" customHeight="1">
      <c r="A661" s="7">
        <v>659</v>
      </c>
      <c r="B661" s="1" t="s">
        <v>28</v>
      </c>
      <c r="C661" s="1" t="s">
        <v>27</v>
      </c>
      <c r="D661" s="2" t="str">
        <f t="shared" si="92"/>
        <v>z2024315</v>
      </c>
      <c r="E661" s="2" t="str">
        <f>"朱霞"</f>
        <v>朱霞</v>
      </c>
      <c r="F661" s="2" t="str">
        <f t="shared" si="91"/>
        <v>女</v>
      </c>
      <c r="G661" s="1" t="str">
        <f t="shared" si="95"/>
        <v>本科</v>
      </c>
      <c r="H661" s="1" t="str">
        <f t="shared" si="96"/>
        <v>学士</v>
      </c>
      <c r="I661" s="1" t="str">
        <f>"西藏民族大学"</f>
        <v>西藏民族大学</v>
      </c>
      <c r="J661" s="1" t="str">
        <f t="shared" si="97"/>
        <v>汉语言文学</v>
      </c>
      <c r="K661" s="7"/>
    </row>
    <row r="662" spans="1:11" ht="36" customHeight="1">
      <c r="A662" s="7">
        <v>660</v>
      </c>
      <c r="B662" s="1" t="s">
        <v>28</v>
      </c>
      <c r="C662" s="1" t="s">
        <v>27</v>
      </c>
      <c r="D662" s="2" t="str">
        <f t="shared" si="92"/>
        <v>z2024315</v>
      </c>
      <c r="E662" s="2" t="str">
        <f>"杨珣"</f>
        <v>杨珣</v>
      </c>
      <c r="F662" s="2" t="str">
        <f t="shared" si="91"/>
        <v>女</v>
      </c>
      <c r="G662" s="1" t="str">
        <f t="shared" si="95"/>
        <v>本科</v>
      </c>
      <c r="H662" s="1" t="str">
        <f t="shared" si="96"/>
        <v>学士</v>
      </c>
      <c r="I662" s="1" t="str">
        <f>"湖北民族大学科技学院"</f>
        <v>湖北民族大学科技学院</v>
      </c>
      <c r="J662" s="1" t="str">
        <f t="shared" si="97"/>
        <v>汉语言文学</v>
      </c>
      <c r="K662" s="7"/>
    </row>
    <row r="663" spans="1:11" ht="36" customHeight="1">
      <c r="A663" s="7">
        <v>661</v>
      </c>
      <c r="B663" s="1" t="s">
        <v>28</v>
      </c>
      <c r="C663" s="1" t="s">
        <v>27</v>
      </c>
      <c r="D663" s="2" t="str">
        <f t="shared" si="92"/>
        <v>z2024315</v>
      </c>
      <c r="E663" s="2" t="str">
        <f>"邓露露"</f>
        <v>邓露露</v>
      </c>
      <c r="F663" s="2" t="str">
        <f t="shared" si="91"/>
        <v>女</v>
      </c>
      <c r="G663" s="1" t="str">
        <f t="shared" si="95"/>
        <v>本科</v>
      </c>
      <c r="H663" s="1" t="str">
        <f t="shared" si="96"/>
        <v>学士</v>
      </c>
      <c r="I663" s="1" t="str">
        <f>"湖北民族大学科技学院"</f>
        <v>湖北民族大学科技学院</v>
      </c>
      <c r="J663" s="1" t="str">
        <f t="shared" si="97"/>
        <v>汉语言文学</v>
      </c>
      <c r="K663" s="7"/>
    </row>
    <row r="664" spans="1:11" ht="36" customHeight="1">
      <c r="A664" s="7">
        <v>662</v>
      </c>
      <c r="B664" s="1" t="s">
        <v>28</v>
      </c>
      <c r="C664" s="1" t="s">
        <v>27</v>
      </c>
      <c r="D664" s="2" t="str">
        <f t="shared" si="92"/>
        <v>z2024315</v>
      </c>
      <c r="E664" s="2" t="str">
        <f>"韦英"</f>
        <v>韦英</v>
      </c>
      <c r="F664" s="2" t="str">
        <f t="shared" si="91"/>
        <v>女</v>
      </c>
      <c r="G664" s="1" t="str">
        <f t="shared" si="95"/>
        <v>本科</v>
      </c>
      <c r="H664" s="1" t="str">
        <f t="shared" si="96"/>
        <v>学士</v>
      </c>
      <c r="I664" s="1" t="str">
        <f>"湖北民族大学"</f>
        <v>湖北民族大学</v>
      </c>
      <c r="J664" s="1" t="str">
        <f t="shared" si="97"/>
        <v>汉语言文学</v>
      </c>
      <c r="K664" s="7"/>
    </row>
    <row r="665" spans="1:11" ht="36" customHeight="1">
      <c r="A665" s="7">
        <v>663</v>
      </c>
      <c r="B665" s="1" t="s">
        <v>28</v>
      </c>
      <c r="C665" s="1" t="s">
        <v>27</v>
      </c>
      <c r="D665" s="2" t="str">
        <f t="shared" si="92"/>
        <v>z2024315</v>
      </c>
      <c r="E665" s="2" t="str">
        <f>"滕娇燕"</f>
        <v>滕娇燕</v>
      </c>
      <c r="F665" s="2" t="str">
        <f t="shared" si="91"/>
        <v>女</v>
      </c>
      <c r="G665" s="1" t="str">
        <f t="shared" si="95"/>
        <v>本科</v>
      </c>
      <c r="H665" s="1" t="str">
        <f t="shared" si="96"/>
        <v>学士</v>
      </c>
      <c r="I665" s="1" t="str">
        <f>"湖北民族学院"</f>
        <v>湖北民族学院</v>
      </c>
      <c r="J665" s="1" t="str">
        <f t="shared" si="97"/>
        <v>汉语言文学</v>
      </c>
      <c r="K665" s="7"/>
    </row>
    <row r="666" spans="1:11" ht="36" customHeight="1">
      <c r="A666" s="7">
        <v>664</v>
      </c>
      <c r="B666" s="1" t="s">
        <v>28</v>
      </c>
      <c r="C666" s="1" t="s">
        <v>27</v>
      </c>
      <c r="D666" s="2" t="str">
        <f t="shared" si="92"/>
        <v>z2024315</v>
      </c>
      <c r="E666" s="2" t="str">
        <f>"张霞飞"</f>
        <v>张霞飞</v>
      </c>
      <c r="F666" s="2" t="str">
        <f t="shared" si="91"/>
        <v>女</v>
      </c>
      <c r="G666" s="1" t="str">
        <f t="shared" si="95"/>
        <v>本科</v>
      </c>
      <c r="H666" s="1" t="str">
        <f t="shared" si="96"/>
        <v>学士</v>
      </c>
      <c r="I666" s="1" t="str">
        <f>"湖北民族学院科技学院"</f>
        <v>湖北民族学院科技学院</v>
      </c>
      <c r="J666" s="1" t="str">
        <f t="shared" si="97"/>
        <v>汉语言文学</v>
      </c>
      <c r="K666" s="7"/>
    </row>
    <row r="667" spans="1:11" ht="36" customHeight="1">
      <c r="A667" s="7">
        <v>665</v>
      </c>
      <c r="B667" s="1" t="s">
        <v>28</v>
      </c>
      <c r="C667" s="1" t="s">
        <v>27</v>
      </c>
      <c r="D667" s="2" t="str">
        <f t="shared" si="92"/>
        <v>z2024315</v>
      </c>
      <c r="E667" s="2" t="str">
        <f>"余祥容"</f>
        <v>余祥容</v>
      </c>
      <c r="F667" s="2" t="str">
        <f t="shared" si="91"/>
        <v>女</v>
      </c>
      <c r="G667" s="1" t="str">
        <f t="shared" si="95"/>
        <v>本科</v>
      </c>
      <c r="H667" s="1" t="str">
        <f t="shared" si="96"/>
        <v>学士</v>
      </c>
      <c r="I667" s="1" t="str">
        <f>"湖北民族学院"</f>
        <v>湖北民族学院</v>
      </c>
      <c r="J667" s="1" t="str">
        <f>"汉语言文学专业"</f>
        <v>汉语言文学专业</v>
      </c>
      <c r="K667" s="7"/>
    </row>
    <row r="668" spans="1:11" ht="36" customHeight="1">
      <c r="A668" s="7">
        <v>666</v>
      </c>
      <c r="B668" s="1" t="s">
        <v>28</v>
      </c>
      <c r="C668" s="1" t="s">
        <v>27</v>
      </c>
      <c r="D668" s="2" t="str">
        <f t="shared" si="92"/>
        <v>z2024315</v>
      </c>
      <c r="E668" s="2" t="str">
        <f>"向鑫"</f>
        <v>向鑫</v>
      </c>
      <c r="F668" s="2" t="str">
        <f t="shared" si="91"/>
        <v>女</v>
      </c>
      <c r="G668" s="1" t="str">
        <f t="shared" si="95"/>
        <v>本科</v>
      </c>
      <c r="H668" s="1" t="str">
        <f t="shared" si="96"/>
        <v>学士</v>
      </c>
      <c r="I668" s="1" t="str">
        <f>"湖北民族大学"</f>
        <v>湖北民族大学</v>
      </c>
      <c r="J668" s="1" t="str">
        <f>"汉语言文学"</f>
        <v>汉语言文学</v>
      </c>
      <c r="K668" s="7"/>
    </row>
    <row r="669" spans="1:11" ht="36" customHeight="1">
      <c r="A669" s="7">
        <v>667</v>
      </c>
      <c r="B669" s="1" t="s">
        <v>28</v>
      </c>
      <c r="C669" s="1" t="s">
        <v>27</v>
      </c>
      <c r="D669" s="2" t="str">
        <f t="shared" si="92"/>
        <v>z2024315</v>
      </c>
      <c r="E669" s="2" t="str">
        <f>"李世姣"</f>
        <v>李世姣</v>
      </c>
      <c r="F669" s="2" t="str">
        <f t="shared" si="91"/>
        <v>女</v>
      </c>
      <c r="G669" s="1" t="str">
        <f t="shared" si="95"/>
        <v>本科</v>
      </c>
      <c r="H669" s="1" t="str">
        <f t="shared" si="96"/>
        <v>学士</v>
      </c>
      <c r="I669" s="1" t="str">
        <f>"汉口学院"</f>
        <v>汉口学院</v>
      </c>
      <c r="J669" s="1" t="str">
        <f>"汉语言文学"</f>
        <v>汉语言文学</v>
      </c>
      <c r="K669" s="7"/>
    </row>
    <row r="670" spans="1:11" ht="36" customHeight="1">
      <c r="A670" s="7">
        <v>668</v>
      </c>
      <c r="B670" s="1" t="s">
        <v>28</v>
      </c>
      <c r="C670" s="1" t="s">
        <v>27</v>
      </c>
      <c r="D670" s="2" t="str">
        <f t="shared" si="92"/>
        <v>z2024315</v>
      </c>
      <c r="E670" s="2" t="str">
        <f>"徐杨"</f>
        <v>徐杨</v>
      </c>
      <c r="F670" s="2" t="str">
        <f t="shared" si="91"/>
        <v>女</v>
      </c>
      <c r="G670" s="1" t="str">
        <f t="shared" si="95"/>
        <v>本科</v>
      </c>
      <c r="H670" s="1" t="str">
        <f t="shared" si="96"/>
        <v>学士</v>
      </c>
      <c r="I670" s="1" t="str">
        <f>"长江大学"</f>
        <v>长江大学</v>
      </c>
      <c r="J670" s="1" t="str">
        <f>"汉语言文学"</f>
        <v>汉语言文学</v>
      </c>
      <c r="K670" s="7"/>
    </row>
    <row r="671" spans="1:11" ht="36" customHeight="1">
      <c r="A671" s="7">
        <v>669</v>
      </c>
      <c r="B671" s="1" t="s">
        <v>28</v>
      </c>
      <c r="C671" s="1" t="s">
        <v>27</v>
      </c>
      <c r="D671" s="2" t="str">
        <f t="shared" si="92"/>
        <v>z2024315</v>
      </c>
      <c r="E671" s="2" t="str">
        <f>"徐洁"</f>
        <v>徐洁</v>
      </c>
      <c r="F671" s="2" t="str">
        <f t="shared" si="91"/>
        <v>女</v>
      </c>
      <c r="G671" s="1" t="str">
        <f t="shared" si="95"/>
        <v>本科</v>
      </c>
      <c r="H671" s="1" t="str">
        <f t="shared" si="96"/>
        <v>学士</v>
      </c>
      <c r="I671" s="1" t="str">
        <f>"湖北民族大学"</f>
        <v>湖北民族大学</v>
      </c>
      <c r="J671" s="1" t="str">
        <f>"汉语言文学"</f>
        <v>汉语言文学</v>
      </c>
      <c r="K671" s="7"/>
    </row>
    <row r="672" spans="1:11" ht="36" customHeight="1">
      <c r="A672" s="7">
        <v>670</v>
      </c>
      <c r="B672" s="1" t="s">
        <v>28</v>
      </c>
      <c r="C672" s="1" t="s">
        <v>27</v>
      </c>
      <c r="D672" s="2" t="str">
        <f t="shared" ref="D672:D703" si="98">"z2024315"</f>
        <v>z2024315</v>
      </c>
      <c r="E672" s="2" t="str">
        <f>"庹盛开"</f>
        <v>庹盛开</v>
      </c>
      <c r="F672" s="2" t="str">
        <f t="shared" si="91"/>
        <v>女</v>
      </c>
      <c r="G672" s="1" t="str">
        <f t="shared" si="95"/>
        <v>本科</v>
      </c>
      <c r="H672" s="1" t="str">
        <f t="shared" si="96"/>
        <v>学士</v>
      </c>
      <c r="I672" s="1" t="str">
        <f>"湖北民族大学科技学院"</f>
        <v>湖北民族大学科技学院</v>
      </c>
      <c r="J672" s="1" t="str">
        <f>"汉语言文学"</f>
        <v>汉语言文学</v>
      </c>
      <c r="K672" s="7"/>
    </row>
    <row r="673" spans="1:11" ht="36" customHeight="1">
      <c r="A673" s="7">
        <v>671</v>
      </c>
      <c r="B673" s="1" t="s">
        <v>28</v>
      </c>
      <c r="C673" s="1" t="s">
        <v>27</v>
      </c>
      <c r="D673" s="2" t="str">
        <f t="shared" si="98"/>
        <v>z2024315</v>
      </c>
      <c r="E673" s="2" t="str">
        <f>"吴开会"</f>
        <v>吴开会</v>
      </c>
      <c r="F673" s="2" t="str">
        <f t="shared" si="91"/>
        <v>女</v>
      </c>
      <c r="G673" s="1" t="str">
        <f t="shared" si="95"/>
        <v>本科</v>
      </c>
      <c r="H673" s="1" t="str">
        <f t="shared" si="96"/>
        <v>学士</v>
      </c>
      <c r="I673" s="1" t="str">
        <f>"湖北民族大学"</f>
        <v>湖北民族大学</v>
      </c>
      <c r="J673" s="1" t="str">
        <f>"汉语言文学专业"</f>
        <v>汉语言文学专业</v>
      </c>
      <c r="K673" s="7"/>
    </row>
    <row r="674" spans="1:11" ht="36" customHeight="1">
      <c r="A674" s="7">
        <v>672</v>
      </c>
      <c r="B674" s="1" t="s">
        <v>28</v>
      </c>
      <c r="C674" s="1" t="s">
        <v>27</v>
      </c>
      <c r="D674" s="2" t="str">
        <f t="shared" si="98"/>
        <v>z2024315</v>
      </c>
      <c r="E674" s="2" t="str">
        <f>"汪琬若"</f>
        <v>汪琬若</v>
      </c>
      <c r="F674" s="2" t="str">
        <f t="shared" si="91"/>
        <v>女</v>
      </c>
      <c r="G674" s="1" t="str">
        <f t="shared" si="95"/>
        <v>本科</v>
      </c>
      <c r="H674" s="1" t="str">
        <f t="shared" si="96"/>
        <v>学士</v>
      </c>
      <c r="I674" s="1" t="str">
        <f>"首都师范大学"</f>
        <v>首都师范大学</v>
      </c>
      <c r="J674" s="1" t="str">
        <f>"汉语言文学"</f>
        <v>汉语言文学</v>
      </c>
      <c r="K674" s="7"/>
    </row>
    <row r="675" spans="1:11" ht="36" customHeight="1">
      <c r="A675" s="7">
        <v>673</v>
      </c>
      <c r="B675" s="1" t="s">
        <v>28</v>
      </c>
      <c r="C675" s="1" t="s">
        <v>27</v>
      </c>
      <c r="D675" s="2" t="str">
        <f t="shared" si="98"/>
        <v>z2024315</v>
      </c>
      <c r="E675" s="2" t="str">
        <f>"黄立琼"</f>
        <v>黄立琼</v>
      </c>
      <c r="F675" s="2" t="str">
        <f t="shared" si="91"/>
        <v>女</v>
      </c>
      <c r="G675" s="1" t="str">
        <f t="shared" si="95"/>
        <v>本科</v>
      </c>
      <c r="H675" s="1" t="str">
        <f t="shared" si="96"/>
        <v>学士</v>
      </c>
      <c r="I675" s="1" t="str">
        <f>"湖北大学"</f>
        <v>湖北大学</v>
      </c>
      <c r="J675" s="1" t="str">
        <f>"汉语言文学"</f>
        <v>汉语言文学</v>
      </c>
      <c r="K675" s="7"/>
    </row>
    <row r="676" spans="1:11" ht="36" customHeight="1">
      <c r="A676" s="7">
        <v>674</v>
      </c>
      <c r="B676" s="1" t="s">
        <v>28</v>
      </c>
      <c r="C676" s="1" t="s">
        <v>27</v>
      </c>
      <c r="D676" s="2" t="str">
        <f t="shared" si="98"/>
        <v>z2024315</v>
      </c>
      <c r="E676" s="2" t="str">
        <f>"杨欣睿"</f>
        <v>杨欣睿</v>
      </c>
      <c r="F676" s="2" t="str">
        <f t="shared" si="91"/>
        <v>女</v>
      </c>
      <c r="G676" s="1" t="str">
        <f>"硕士研究生"</f>
        <v>硕士研究生</v>
      </c>
      <c r="H676" s="1" t="str">
        <f>"硕士"</f>
        <v>硕士</v>
      </c>
      <c r="I676" s="1" t="str">
        <f>"阜阳师范大学"</f>
        <v>阜阳师范大学</v>
      </c>
      <c r="J676" s="1" t="str">
        <f>"学科教学（语文）"</f>
        <v>学科教学（语文）</v>
      </c>
      <c r="K676" s="7"/>
    </row>
    <row r="677" spans="1:11" ht="36" customHeight="1">
      <c r="A677" s="7">
        <v>675</v>
      </c>
      <c r="B677" s="1" t="s">
        <v>28</v>
      </c>
      <c r="C677" s="1" t="s">
        <v>27</v>
      </c>
      <c r="D677" s="2" t="str">
        <f t="shared" si="98"/>
        <v>z2024315</v>
      </c>
      <c r="E677" s="2" t="str">
        <f>"龚际燕"</f>
        <v>龚际燕</v>
      </c>
      <c r="F677" s="2" t="str">
        <f t="shared" si="91"/>
        <v>女</v>
      </c>
      <c r="G677" s="1" t="str">
        <f t="shared" ref="G677:G689" si="99">"本科"</f>
        <v>本科</v>
      </c>
      <c r="H677" s="1" t="str">
        <f t="shared" ref="H677:H689" si="100">"学士"</f>
        <v>学士</v>
      </c>
      <c r="I677" s="1" t="str">
        <f>"湖北民族大学"</f>
        <v>湖北民族大学</v>
      </c>
      <c r="J677" s="1" t="str">
        <f>"汉语言文学"</f>
        <v>汉语言文学</v>
      </c>
      <c r="K677" s="7"/>
    </row>
    <row r="678" spans="1:11" ht="36" customHeight="1">
      <c r="A678" s="7">
        <v>676</v>
      </c>
      <c r="B678" s="1" t="s">
        <v>28</v>
      </c>
      <c r="C678" s="1" t="s">
        <v>27</v>
      </c>
      <c r="D678" s="2" t="str">
        <f t="shared" si="98"/>
        <v>z2024315</v>
      </c>
      <c r="E678" s="2" t="str">
        <f>"姚佳林"</f>
        <v>姚佳林</v>
      </c>
      <c r="F678" s="2" t="str">
        <f t="shared" si="91"/>
        <v>女</v>
      </c>
      <c r="G678" s="1" t="str">
        <f t="shared" si="99"/>
        <v>本科</v>
      </c>
      <c r="H678" s="1" t="str">
        <f t="shared" si="100"/>
        <v>学士</v>
      </c>
      <c r="I678" s="1" t="str">
        <f>"湖北恩施学院"</f>
        <v>湖北恩施学院</v>
      </c>
      <c r="J678" s="1" t="str">
        <f>"汉语言文学"</f>
        <v>汉语言文学</v>
      </c>
      <c r="K678" s="7"/>
    </row>
    <row r="679" spans="1:11" ht="36" customHeight="1">
      <c r="A679" s="7">
        <v>677</v>
      </c>
      <c r="B679" s="1" t="s">
        <v>28</v>
      </c>
      <c r="C679" s="1" t="s">
        <v>27</v>
      </c>
      <c r="D679" s="2" t="str">
        <f t="shared" si="98"/>
        <v>z2024315</v>
      </c>
      <c r="E679" s="2" t="str">
        <f>"吴倩兰"</f>
        <v>吴倩兰</v>
      </c>
      <c r="F679" s="2" t="str">
        <f t="shared" si="91"/>
        <v>女</v>
      </c>
      <c r="G679" s="1" t="str">
        <f t="shared" si="99"/>
        <v>本科</v>
      </c>
      <c r="H679" s="1" t="str">
        <f t="shared" si="100"/>
        <v>学士</v>
      </c>
      <c r="I679" s="1" t="str">
        <f>"湖北大学"</f>
        <v>湖北大学</v>
      </c>
      <c r="J679" s="1" t="str">
        <f>"汉语言文学（师范类）"</f>
        <v>汉语言文学（师范类）</v>
      </c>
      <c r="K679" s="7"/>
    </row>
    <row r="680" spans="1:11" ht="36" customHeight="1">
      <c r="A680" s="7">
        <v>678</v>
      </c>
      <c r="B680" s="1" t="s">
        <v>28</v>
      </c>
      <c r="C680" s="1" t="s">
        <v>27</v>
      </c>
      <c r="D680" s="2" t="str">
        <f t="shared" si="98"/>
        <v>z2024315</v>
      </c>
      <c r="E680" s="2" t="str">
        <f>"周雅志"</f>
        <v>周雅志</v>
      </c>
      <c r="F680" s="2" t="str">
        <f t="shared" si="91"/>
        <v>女</v>
      </c>
      <c r="G680" s="1" t="str">
        <f t="shared" si="99"/>
        <v>本科</v>
      </c>
      <c r="H680" s="1" t="str">
        <f t="shared" si="100"/>
        <v>学士</v>
      </c>
      <c r="I680" s="1" t="str">
        <f>"湖北民族学院"</f>
        <v>湖北民族学院</v>
      </c>
      <c r="J680" s="1" t="str">
        <f>"汉语言文学"</f>
        <v>汉语言文学</v>
      </c>
      <c r="K680" s="7"/>
    </row>
    <row r="681" spans="1:11" ht="36" customHeight="1">
      <c r="A681" s="7">
        <v>679</v>
      </c>
      <c r="B681" s="1" t="s">
        <v>28</v>
      </c>
      <c r="C681" s="1" t="s">
        <v>27</v>
      </c>
      <c r="D681" s="2" t="str">
        <f t="shared" si="98"/>
        <v>z2024315</v>
      </c>
      <c r="E681" s="2" t="str">
        <f>"曾丽"</f>
        <v>曾丽</v>
      </c>
      <c r="F681" s="2" t="str">
        <f t="shared" si="91"/>
        <v>女</v>
      </c>
      <c r="G681" s="1" t="str">
        <f t="shared" si="99"/>
        <v>本科</v>
      </c>
      <c r="H681" s="1" t="str">
        <f t="shared" si="100"/>
        <v>学士</v>
      </c>
      <c r="I681" s="1" t="str">
        <f>"信阳师范学院"</f>
        <v>信阳师范学院</v>
      </c>
      <c r="J681" s="1" t="str">
        <f>"汉语国际教育"</f>
        <v>汉语国际教育</v>
      </c>
      <c r="K681" s="7"/>
    </row>
    <row r="682" spans="1:11" ht="36" customHeight="1">
      <c r="A682" s="7">
        <v>680</v>
      </c>
      <c r="B682" s="1" t="s">
        <v>28</v>
      </c>
      <c r="C682" s="1" t="s">
        <v>27</v>
      </c>
      <c r="D682" s="2" t="str">
        <f t="shared" si="98"/>
        <v>z2024315</v>
      </c>
      <c r="E682" s="2" t="str">
        <f>"赵青"</f>
        <v>赵青</v>
      </c>
      <c r="F682" s="2" t="str">
        <f>"男"</f>
        <v>男</v>
      </c>
      <c r="G682" s="1" t="str">
        <f t="shared" si="99"/>
        <v>本科</v>
      </c>
      <c r="H682" s="1" t="str">
        <f t="shared" si="100"/>
        <v>学士</v>
      </c>
      <c r="I682" s="1" t="str">
        <f>"长江大学文理学院"</f>
        <v>长江大学文理学院</v>
      </c>
      <c r="J682" s="1" t="str">
        <f>"汉语言文学"</f>
        <v>汉语言文学</v>
      </c>
      <c r="K682" s="7"/>
    </row>
    <row r="683" spans="1:11" ht="36" customHeight="1">
      <c r="A683" s="7">
        <v>681</v>
      </c>
      <c r="B683" s="1" t="s">
        <v>28</v>
      </c>
      <c r="C683" s="1" t="s">
        <v>27</v>
      </c>
      <c r="D683" s="2" t="str">
        <f t="shared" si="98"/>
        <v>z2024315</v>
      </c>
      <c r="E683" s="2" t="str">
        <f>"杨富茸"</f>
        <v>杨富茸</v>
      </c>
      <c r="F683" s="2" t="str">
        <f t="shared" ref="F683:F693" si="101">"女"</f>
        <v>女</v>
      </c>
      <c r="G683" s="1" t="str">
        <f t="shared" si="99"/>
        <v>本科</v>
      </c>
      <c r="H683" s="1" t="str">
        <f t="shared" si="100"/>
        <v>学士</v>
      </c>
      <c r="I683" s="1" t="str">
        <f>"湖北大学"</f>
        <v>湖北大学</v>
      </c>
      <c r="J683" s="1" t="str">
        <f>"汉语言文学（师范类）"</f>
        <v>汉语言文学（师范类）</v>
      </c>
      <c r="K683" s="7"/>
    </row>
    <row r="684" spans="1:11" ht="36" customHeight="1">
      <c r="A684" s="7">
        <v>682</v>
      </c>
      <c r="B684" s="1" t="s">
        <v>28</v>
      </c>
      <c r="C684" s="1" t="s">
        <v>27</v>
      </c>
      <c r="D684" s="2" t="str">
        <f t="shared" si="98"/>
        <v>z2024315</v>
      </c>
      <c r="E684" s="2" t="str">
        <f>"谭怡"</f>
        <v>谭怡</v>
      </c>
      <c r="F684" s="2" t="str">
        <f t="shared" si="101"/>
        <v>女</v>
      </c>
      <c r="G684" s="1" t="str">
        <f t="shared" si="99"/>
        <v>本科</v>
      </c>
      <c r="H684" s="1" t="str">
        <f t="shared" si="100"/>
        <v>学士</v>
      </c>
      <c r="I684" s="1" t="str">
        <f>"北方民族大学"</f>
        <v>北方民族大学</v>
      </c>
      <c r="J684" s="1" t="str">
        <f>"汉语言文学"</f>
        <v>汉语言文学</v>
      </c>
      <c r="K684" s="7"/>
    </row>
    <row r="685" spans="1:11" ht="36" customHeight="1">
      <c r="A685" s="7">
        <v>683</v>
      </c>
      <c r="B685" s="1" t="s">
        <v>28</v>
      </c>
      <c r="C685" s="1" t="s">
        <v>27</v>
      </c>
      <c r="D685" s="2" t="str">
        <f t="shared" si="98"/>
        <v>z2024315</v>
      </c>
      <c r="E685" s="2" t="str">
        <f>"陈章"</f>
        <v>陈章</v>
      </c>
      <c r="F685" s="2" t="str">
        <f t="shared" si="101"/>
        <v>女</v>
      </c>
      <c r="G685" s="1" t="str">
        <f t="shared" si="99"/>
        <v>本科</v>
      </c>
      <c r="H685" s="1" t="str">
        <f t="shared" si="100"/>
        <v>学士</v>
      </c>
      <c r="I685" s="1" t="str">
        <f>"湖北民族大学"</f>
        <v>湖北民族大学</v>
      </c>
      <c r="J685" s="1" t="str">
        <f>"汉语言文学"</f>
        <v>汉语言文学</v>
      </c>
      <c r="K685" s="7"/>
    </row>
    <row r="686" spans="1:11" ht="36" customHeight="1">
      <c r="A686" s="7">
        <v>684</v>
      </c>
      <c r="B686" s="1" t="s">
        <v>28</v>
      </c>
      <c r="C686" s="1" t="s">
        <v>27</v>
      </c>
      <c r="D686" s="2" t="str">
        <f t="shared" si="98"/>
        <v>z2024315</v>
      </c>
      <c r="E686" s="2" t="str">
        <f>"雷月"</f>
        <v>雷月</v>
      </c>
      <c r="F686" s="2" t="str">
        <f t="shared" si="101"/>
        <v>女</v>
      </c>
      <c r="G686" s="1" t="str">
        <f t="shared" si="99"/>
        <v>本科</v>
      </c>
      <c r="H686" s="1" t="str">
        <f t="shared" si="100"/>
        <v>学士</v>
      </c>
      <c r="I686" s="1" t="str">
        <f>"长江大学文理学院"</f>
        <v>长江大学文理学院</v>
      </c>
      <c r="J686" s="1" t="str">
        <f>"汉语言文学"</f>
        <v>汉语言文学</v>
      </c>
      <c r="K686" s="7"/>
    </row>
    <row r="687" spans="1:11" ht="36" customHeight="1">
      <c r="A687" s="7">
        <v>685</v>
      </c>
      <c r="B687" s="1" t="s">
        <v>28</v>
      </c>
      <c r="C687" s="1" t="s">
        <v>27</v>
      </c>
      <c r="D687" s="2" t="str">
        <f t="shared" si="98"/>
        <v>z2024315</v>
      </c>
      <c r="E687" s="2" t="str">
        <f>"卢灿"</f>
        <v>卢灿</v>
      </c>
      <c r="F687" s="2" t="str">
        <f t="shared" si="101"/>
        <v>女</v>
      </c>
      <c r="G687" s="1" t="str">
        <f t="shared" si="99"/>
        <v>本科</v>
      </c>
      <c r="H687" s="1" t="str">
        <f t="shared" si="100"/>
        <v>学士</v>
      </c>
      <c r="I687" s="1" t="str">
        <f>"淮阴师范学院"</f>
        <v>淮阴师范学院</v>
      </c>
      <c r="J687" s="1" t="str">
        <f>"汉语言文学（师范）"</f>
        <v>汉语言文学（师范）</v>
      </c>
      <c r="K687" s="7"/>
    </row>
    <row r="688" spans="1:11" ht="36" customHeight="1">
      <c r="A688" s="7">
        <v>686</v>
      </c>
      <c r="B688" s="1" t="s">
        <v>28</v>
      </c>
      <c r="C688" s="1" t="s">
        <v>27</v>
      </c>
      <c r="D688" s="2" t="str">
        <f t="shared" si="98"/>
        <v>z2024315</v>
      </c>
      <c r="E688" s="2" t="str">
        <f>"朱煜"</f>
        <v>朱煜</v>
      </c>
      <c r="F688" s="2" t="str">
        <f t="shared" si="101"/>
        <v>女</v>
      </c>
      <c r="G688" s="1" t="str">
        <f t="shared" si="99"/>
        <v>本科</v>
      </c>
      <c r="H688" s="1" t="str">
        <f t="shared" si="100"/>
        <v>学士</v>
      </c>
      <c r="I688" s="1" t="str">
        <f>"湖北民族大学"</f>
        <v>湖北民族大学</v>
      </c>
      <c r="J688" s="1" t="str">
        <f>"汉语言文学"</f>
        <v>汉语言文学</v>
      </c>
      <c r="K688" s="7"/>
    </row>
    <row r="689" spans="1:11" ht="36" customHeight="1">
      <c r="A689" s="7">
        <v>687</v>
      </c>
      <c r="B689" s="1" t="s">
        <v>28</v>
      </c>
      <c r="C689" s="1" t="s">
        <v>27</v>
      </c>
      <c r="D689" s="2" t="str">
        <f t="shared" si="98"/>
        <v>z2024315</v>
      </c>
      <c r="E689" s="2" t="str">
        <f>"袁玮嫔"</f>
        <v>袁玮嫔</v>
      </c>
      <c r="F689" s="2" t="str">
        <f t="shared" si="101"/>
        <v>女</v>
      </c>
      <c r="G689" s="1" t="str">
        <f t="shared" si="99"/>
        <v>本科</v>
      </c>
      <c r="H689" s="1" t="str">
        <f t="shared" si="100"/>
        <v>学士</v>
      </c>
      <c r="I689" s="1" t="str">
        <f>"湖北民族学院科技学院"</f>
        <v>湖北民族学院科技学院</v>
      </c>
      <c r="J689" s="1" t="str">
        <f>"汉语言文学"</f>
        <v>汉语言文学</v>
      </c>
      <c r="K689" s="7"/>
    </row>
    <row r="690" spans="1:11" ht="36" customHeight="1">
      <c r="A690" s="7">
        <v>688</v>
      </c>
      <c r="B690" s="1" t="s">
        <v>28</v>
      </c>
      <c r="C690" s="1" t="s">
        <v>27</v>
      </c>
      <c r="D690" s="2" t="str">
        <f t="shared" si="98"/>
        <v>z2024315</v>
      </c>
      <c r="E690" s="2" t="str">
        <f>"潘娅琴"</f>
        <v>潘娅琴</v>
      </c>
      <c r="F690" s="2" t="str">
        <f t="shared" si="101"/>
        <v>女</v>
      </c>
      <c r="G690" s="1" t="str">
        <f>"硕士研究生"</f>
        <v>硕士研究生</v>
      </c>
      <c r="H690" s="1" t="str">
        <f>"硕士"</f>
        <v>硕士</v>
      </c>
      <c r="I690" s="1" t="str">
        <f>"沈阳师范大学"</f>
        <v>沈阳师范大学</v>
      </c>
      <c r="J690" s="1" t="str">
        <f>"汉语国际教育"</f>
        <v>汉语国际教育</v>
      </c>
      <c r="K690" s="7"/>
    </row>
    <row r="691" spans="1:11" ht="36" customHeight="1">
      <c r="A691" s="7">
        <v>689</v>
      </c>
      <c r="B691" s="1" t="s">
        <v>28</v>
      </c>
      <c r="C691" s="1" t="s">
        <v>27</v>
      </c>
      <c r="D691" s="2" t="str">
        <f t="shared" si="98"/>
        <v>z2024315</v>
      </c>
      <c r="E691" s="2" t="str">
        <f>"向新渝"</f>
        <v>向新渝</v>
      </c>
      <c r="F691" s="2" t="str">
        <f t="shared" si="101"/>
        <v>女</v>
      </c>
      <c r="G691" s="1" t="str">
        <f>"本科"</f>
        <v>本科</v>
      </c>
      <c r="H691" s="1" t="str">
        <f>"学士"</f>
        <v>学士</v>
      </c>
      <c r="I691" s="1" t="str">
        <f>"重庆人文科技学院"</f>
        <v>重庆人文科技学院</v>
      </c>
      <c r="J691" s="1" t="str">
        <f>"汉语言文学"</f>
        <v>汉语言文学</v>
      </c>
      <c r="K691" s="7"/>
    </row>
    <row r="692" spans="1:11" ht="36" customHeight="1">
      <c r="A692" s="7">
        <v>690</v>
      </c>
      <c r="B692" s="1" t="s">
        <v>28</v>
      </c>
      <c r="C692" s="1" t="s">
        <v>27</v>
      </c>
      <c r="D692" s="2" t="str">
        <f t="shared" si="98"/>
        <v>z2024315</v>
      </c>
      <c r="E692" s="2" t="str">
        <f>"贺雯"</f>
        <v>贺雯</v>
      </c>
      <c r="F692" s="2" t="str">
        <f t="shared" si="101"/>
        <v>女</v>
      </c>
      <c r="G692" s="1" t="str">
        <f>"本科"</f>
        <v>本科</v>
      </c>
      <c r="H692" s="1" t="str">
        <f>"学士"</f>
        <v>学士</v>
      </c>
      <c r="I692" s="1" t="str">
        <f>"荆楚理工学院"</f>
        <v>荆楚理工学院</v>
      </c>
      <c r="J692" s="1" t="str">
        <f>"汉语言文学"</f>
        <v>汉语言文学</v>
      </c>
      <c r="K692" s="7"/>
    </row>
    <row r="693" spans="1:11" ht="36" customHeight="1">
      <c r="A693" s="7">
        <v>691</v>
      </c>
      <c r="B693" s="1" t="s">
        <v>28</v>
      </c>
      <c r="C693" s="1" t="s">
        <v>27</v>
      </c>
      <c r="D693" s="2" t="str">
        <f t="shared" si="98"/>
        <v>z2024315</v>
      </c>
      <c r="E693" s="2" t="str">
        <f>"陈密"</f>
        <v>陈密</v>
      </c>
      <c r="F693" s="2" t="str">
        <f t="shared" si="101"/>
        <v>女</v>
      </c>
      <c r="G693" s="1" t="str">
        <f>"硕士研究生"</f>
        <v>硕士研究生</v>
      </c>
      <c r="H693" s="1" t="str">
        <f>"硕士"</f>
        <v>硕士</v>
      </c>
      <c r="I693" s="1" t="str">
        <f>"长江大学"</f>
        <v>长江大学</v>
      </c>
      <c r="J693" s="1" t="str">
        <f>"学科教学（语文）"</f>
        <v>学科教学（语文）</v>
      </c>
      <c r="K693" s="7"/>
    </row>
    <row r="694" spans="1:11" ht="36" customHeight="1">
      <c r="A694" s="7">
        <v>692</v>
      </c>
      <c r="B694" s="1" t="s">
        <v>28</v>
      </c>
      <c r="C694" s="1" t="s">
        <v>27</v>
      </c>
      <c r="D694" s="2" t="str">
        <f t="shared" si="98"/>
        <v>z2024315</v>
      </c>
      <c r="E694" s="2" t="str">
        <f>"谭利明"</f>
        <v>谭利明</v>
      </c>
      <c r="F694" s="2" t="str">
        <f>"男"</f>
        <v>男</v>
      </c>
      <c r="G694" s="1" t="str">
        <f>"本科"</f>
        <v>本科</v>
      </c>
      <c r="H694" s="1" t="str">
        <f>"学士"</f>
        <v>学士</v>
      </c>
      <c r="I694" s="1" t="str">
        <f>"吉首大学"</f>
        <v>吉首大学</v>
      </c>
      <c r="J694" s="1" t="str">
        <f>"汉语言文学（师范）"</f>
        <v>汉语言文学（师范）</v>
      </c>
      <c r="K694" s="7"/>
    </row>
    <row r="695" spans="1:11" ht="36" customHeight="1">
      <c r="A695" s="7">
        <v>693</v>
      </c>
      <c r="B695" s="1" t="s">
        <v>28</v>
      </c>
      <c r="C695" s="1" t="s">
        <v>27</v>
      </c>
      <c r="D695" s="2" t="str">
        <f t="shared" si="98"/>
        <v>z2024315</v>
      </c>
      <c r="E695" s="2" t="str">
        <f>"李柯慧"</f>
        <v>李柯慧</v>
      </c>
      <c r="F695" s="2" t="str">
        <f t="shared" ref="F695:F726" si="102">"女"</f>
        <v>女</v>
      </c>
      <c r="G695" s="1" t="str">
        <f>"本科"</f>
        <v>本科</v>
      </c>
      <c r="H695" s="1" t="str">
        <f>"学士"</f>
        <v>学士</v>
      </c>
      <c r="I695" s="1" t="str">
        <f>"广西民族大学相思湖学院"</f>
        <v>广西民族大学相思湖学院</v>
      </c>
      <c r="J695" s="1" t="str">
        <f>"汉语言文学"</f>
        <v>汉语言文学</v>
      </c>
      <c r="K695" s="7"/>
    </row>
    <row r="696" spans="1:11" ht="36" customHeight="1">
      <c r="A696" s="7">
        <v>694</v>
      </c>
      <c r="B696" s="1" t="s">
        <v>28</v>
      </c>
      <c r="C696" s="1" t="s">
        <v>27</v>
      </c>
      <c r="D696" s="2" t="str">
        <f t="shared" si="98"/>
        <v>z2024315</v>
      </c>
      <c r="E696" s="2" t="str">
        <f>"左杰"</f>
        <v>左杰</v>
      </c>
      <c r="F696" s="2" t="str">
        <f t="shared" si="102"/>
        <v>女</v>
      </c>
      <c r="G696" s="1" t="str">
        <f>"本科"</f>
        <v>本科</v>
      </c>
      <c r="H696" s="1" t="str">
        <f>"学士"</f>
        <v>学士</v>
      </c>
      <c r="I696" s="1" t="str">
        <f>"湖北民族学院"</f>
        <v>湖北民族学院</v>
      </c>
      <c r="J696" s="1" t="str">
        <f>"汉语言文学"</f>
        <v>汉语言文学</v>
      </c>
      <c r="K696" s="7"/>
    </row>
    <row r="697" spans="1:11" ht="36" customHeight="1">
      <c r="A697" s="7">
        <v>695</v>
      </c>
      <c r="B697" s="1" t="s">
        <v>28</v>
      </c>
      <c r="C697" s="1" t="s">
        <v>27</v>
      </c>
      <c r="D697" s="2" t="str">
        <f t="shared" si="98"/>
        <v>z2024315</v>
      </c>
      <c r="E697" s="2" t="str">
        <f>"周建华"</f>
        <v>周建华</v>
      </c>
      <c r="F697" s="2" t="str">
        <f t="shared" si="102"/>
        <v>女</v>
      </c>
      <c r="G697" s="1" t="str">
        <f>"本科"</f>
        <v>本科</v>
      </c>
      <c r="H697" s="1" t="str">
        <f>"学士"</f>
        <v>学士</v>
      </c>
      <c r="I697" s="1" t="str">
        <f>"湖北恩施学院"</f>
        <v>湖北恩施学院</v>
      </c>
      <c r="J697" s="1" t="str">
        <f>"汉语言文学"</f>
        <v>汉语言文学</v>
      </c>
      <c r="K697" s="7"/>
    </row>
    <row r="698" spans="1:11" ht="36" customHeight="1">
      <c r="A698" s="7">
        <v>696</v>
      </c>
      <c r="B698" s="1" t="s">
        <v>28</v>
      </c>
      <c r="C698" s="1" t="s">
        <v>27</v>
      </c>
      <c r="D698" s="2" t="str">
        <f t="shared" si="98"/>
        <v>z2024315</v>
      </c>
      <c r="E698" s="2" t="str">
        <f>"吴思其"</f>
        <v>吴思其</v>
      </c>
      <c r="F698" s="2" t="str">
        <f t="shared" si="102"/>
        <v>女</v>
      </c>
      <c r="G698" s="1" t="str">
        <f>"硕士研究生"</f>
        <v>硕士研究生</v>
      </c>
      <c r="H698" s="1" t="str">
        <f>"硕士"</f>
        <v>硕士</v>
      </c>
      <c r="I698" s="1" t="str">
        <f>"西华师范大学"</f>
        <v>西华师范大学</v>
      </c>
      <c r="J698" s="1" t="str">
        <f>"学科教学（语文）"</f>
        <v>学科教学（语文）</v>
      </c>
      <c r="K698" s="7"/>
    </row>
    <row r="699" spans="1:11" ht="36" customHeight="1">
      <c r="A699" s="7">
        <v>697</v>
      </c>
      <c r="B699" s="1" t="s">
        <v>28</v>
      </c>
      <c r="C699" s="1" t="s">
        <v>27</v>
      </c>
      <c r="D699" s="2" t="str">
        <f t="shared" si="98"/>
        <v>z2024315</v>
      </c>
      <c r="E699" s="2" t="str">
        <f>"黄文英"</f>
        <v>黄文英</v>
      </c>
      <c r="F699" s="2" t="str">
        <f t="shared" si="102"/>
        <v>女</v>
      </c>
      <c r="G699" s="1" t="str">
        <f>"硕士研究生"</f>
        <v>硕士研究生</v>
      </c>
      <c r="H699" s="1" t="str">
        <f>"硕士"</f>
        <v>硕士</v>
      </c>
      <c r="I699" s="1" t="str">
        <f>"宁夏大学"</f>
        <v>宁夏大学</v>
      </c>
      <c r="J699" s="1" t="str">
        <f>"学科教学（语文）"</f>
        <v>学科教学（语文）</v>
      </c>
      <c r="K699" s="7"/>
    </row>
    <row r="700" spans="1:11" ht="36" customHeight="1">
      <c r="A700" s="7">
        <v>698</v>
      </c>
      <c r="B700" s="1" t="s">
        <v>28</v>
      </c>
      <c r="C700" s="1" t="s">
        <v>27</v>
      </c>
      <c r="D700" s="2" t="str">
        <f t="shared" si="98"/>
        <v>z2024315</v>
      </c>
      <c r="E700" s="2" t="str">
        <f>"向妮华"</f>
        <v>向妮华</v>
      </c>
      <c r="F700" s="2" t="str">
        <f t="shared" si="102"/>
        <v>女</v>
      </c>
      <c r="G700" s="1" t="str">
        <f>"硕士研究生"</f>
        <v>硕士研究生</v>
      </c>
      <c r="H700" s="1" t="str">
        <f>"硕士"</f>
        <v>硕士</v>
      </c>
      <c r="I700" s="1" t="str">
        <f>"长江大学"</f>
        <v>长江大学</v>
      </c>
      <c r="J700" s="1" t="str">
        <f>"学科教学（语文）"</f>
        <v>学科教学（语文）</v>
      </c>
      <c r="K700" s="7"/>
    </row>
    <row r="701" spans="1:11" ht="36" customHeight="1">
      <c r="A701" s="7">
        <v>699</v>
      </c>
      <c r="B701" s="1" t="s">
        <v>28</v>
      </c>
      <c r="C701" s="1" t="s">
        <v>27</v>
      </c>
      <c r="D701" s="2" t="str">
        <f t="shared" si="98"/>
        <v>z2024315</v>
      </c>
      <c r="E701" s="2" t="str">
        <f>"谭倩"</f>
        <v>谭倩</v>
      </c>
      <c r="F701" s="2" t="str">
        <f t="shared" si="102"/>
        <v>女</v>
      </c>
      <c r="G701" s="1" t="str">
        <f>"本科"</f>
        <v>本科</v>
      </c>
      <c r="H701" s="1" t="str">
        <f>"学士"</f>
        <v>学士</v>
      </c>
      <c r="I701" s="1" t="str">
        <f>"江汉大学"</f>
        <v>江汉大学</v>
      </c>
      <c r="J701" s="1" t="str">
        <f>"汉语言文学"</f>
        <v>汉语言文学</v>
      </c>
      <c r="K701" s="7"/>
    </row>
    <row r="702" spans="1:11" ht="36" customHeight="1">
      <c r="A702" s="7">
        <v>700</v>
      </c>
      <c r="B702" s="1" t="s">
        <v>28</v>
      </c>
      <c r="C702" s="1" t="s">
        <v>27</v>
      </c>
      <c r="D702" s="2" t="str">
        <f t="shared" si="98"/>
        <v>z2024315</v>
      </c>
      <c r="E702" s="2" t="str">
        <f>"祝睿"</f>
        <v>祝睿</v>
      </c>
      <c r="F702" s="2" t="str">
        <f t="shared" si="102"/>
        <v>女</v>
      </c>
      <c r="G702" s="1" t="str">
        <f>"本科"</f>
        <v>本科</v>
      </c>
      <c r="H702" s="1" t="str">
        <f>"学士"</f>
        <v>学士</v>
      </c>
      <c r="I702" s="1" t="str">
        <f>"湖北民族大学科技学院"</f>
        <v>湖北民族大学科技学院</v>
      </c>
      <c r="J702" s="1" t="str">
        <f>"汉语言文学"</f>
        <v>汉语言文学</v>
      </c>
      <c r="K702" s="7"/>
    </row>
    <row r="703" spans="1:11" ht="36" customHeight="1">
      <c r="A703" s="7">
        <v>701</v>
      </c>
      <c r="B703" s="1" t="s">
        <v>28</v>
      </c>
      <c r="C703" s="1" t="s">
        <v>27</v>
      </c>
      <c r="D703" s="2" t="str">
        <f t="shared" si="98"/>
        <v>z2024315</v>
      </c>
      <c r="E703" s="2" t="str">
        <f>"向飞艳"</f>
        <v>向飞艳</v>
      </c>
      <c r="F703" s="2" t="str">
        <f t="shared" si="102"/>
        <v>女</v>
      </c>
      <c r="G703" s="1" t="str">
        <f>"本科"</f>
        <v>本科</v>
      </c>
      <c r="H703" s="1" t="str">
        <f>"学士"</f>
        <v>学士</v>
      </c>
      <c r="I703" s="1" t="str">
        <f>"黄冈师范学院"</f>
        <v>黄冈师范学院</v>
      </c>
      <c r="J703" s="1" t="str">
        <f>"汉语言文学"</f>
        <v>汉语言文学</v>
      </c>
      <c r="K703" s="7"/>
    </row>
    <row r="704" spans="1:11" ht="36" customHeight="1">
      <c r="A704" s="7">
        <v>702</v>
      </c>
      <c r="B704" s="1" t="s">
        <v>28</v>
      </c>
      <c r="C704" s="1" t="s">
        <v>27</v>
      </c>
      <c r="D704" s="2" t="str">
        <f t="shared" ref="D704:D735" si="103">"z2024315"</f>
        <v>z2024315</v>
      </c>
      <c r="E704" s="2" t="str">
        <f>"易子琴"</f>
        <v>易子琴</v>
      </c>
      <c r="F704" s="2" t="str">
        <f t="shared" si="102"/>
        <v>女</v>
      </c>
      <c r="G704" s="1" t="str">
        <f>"硕士研究生"</f>
        <v>硕士研究生</v>
      </c>
      <c r="H704" s="1" t="str">
        <f>"硕士"</f>
        <v>硕士</v>
      </c>
      <c r="I704" s="1" t="str">
        <f>"三峡大学"</f>
        <v>三峡大学</v>
      </c>
      <c r="J704" s="1" t="str">
        <f>"学科教学（语文）"</f>
        <v>学科教学（语文）</v>
      </c>
      <c r="K704" s="7"/>
    </row>
    <row r="705" spans="1:11" ht="36" customHeight="1">
      <c r="A705" s="7">
        <v>703</v>
      </c>
      <c r="B705" s="1" t="s">
        <v>28</v>
      </c>
      <c r="C705" s="1" t="s">
        <v>27</v>
      </c>
      <c r="D705" s="2" t="str">
        <f t="shared" si="103"/>
        <v>z2024315</v>
      </c>
      <c r="E705" s="2" t="str">
        <f>"冉怿"</f>
        <v>冉怿</v>
      </c>
      <c r="F705" s="2" t="str">
        <f t="shared" si="102"/>
        <v>女</v>
      </c>
      <c r="G705" s="1" t="str">
        <f>"本科"</f>
        <v>本科</v>
      </c>
      <c r="H705" s="1" t="str">
        <f>"学士"</f>
        <v>学士</v>
      </c>
      <c r="I705" s="1" t="str">
        <f>"吉首大学"</f>
        <v>吉首大学</v>
      </c>
      <c r="J705" s="1" t="str">
        <f>"汉语言文学"</f>
        <v>汉语言文学</v>
      </c>
      <c r="K705" s="7"/>
    </row>
    <row r="706" spans="1:11" ht="36" customHeight="1">
      <c r="A706" s="7">
        <v>704</v>
      </c>
      <c r="B706" s="1" t="s">
        <v>28</v>
      </c>
      <c r="C706" s="1" t="s">
        <v>27</v>
      </c>
      <c r="D706" s="2" t="str">
        <f t="shared" si="103"/>
        <v>z2024315</v>
      </c>
      <c r="E706" s="2" t="str">
        <f>"任明俊"</f>
        <v>任明俊</v>
      </c>
      <c r="F706" s="2" t="str">
        <f t="shared" si="102"/>
        <v>女</v>
      </c>
      <c r="G706" s="1" t="str">
        <f>"本科"</f>
        <v>本科</v>
      </c>
      <c r="H706" s="1" t="str">
        <f>"学士"</f>
        <v>学士</v>
      </c>
      <c r="I706" s="1" t="str">
        <f>"湖北民族大学科技学院"</f>
        <v>湖北民族大学科技学院</v>
      </c>
      <c r="J706" s="1" t="str">
        <f>"汉语言文学"</f>
        <v>汉语言文学</v>
      </c>
      <c r="K706" s="7"/>
    </row>
    <row r="707" spans="1:11" ht="36" customHeight="1">
      <c r="A707" s="7">
        <v>705</v>
      </c>
      <c r="B707" s="1" t="s">
        <v>28</v>
      </c>
      <c r="C707" s="1" t="s">
        <v>27</v>
      </c>
      <c r="D707" s="2" t="str">
        <f t="shared" si="103"/>
        <v>z2024315</v>
      </c>
      <c r="E707" s="2" t="str">
        <f>"刘昶"</f>
        <v>刘昶</v>
      </c>
      <c r="F707" s="2" t="str">
        <f t="shared" si="102"/>
        <v>女</v>
      </c>
      <c r="G707" s="1" t="str">
        <f>"硕士研究生"</f>
        <v>硕士研究生</v>
      </c>
      <c r="H707" s="1" t="str">
        <f>"硕士"</f>
        <v>硕士</v>
      </c>
      <c r="I707" s="1" t="str">
        <f>"湖北大学"</f>
        <v>湖北大学</v>
      </c>
      <c r="J707" s="1" t="str">
        <f>"学科教学（语文）"</f>
        <v>学科教学（语文）</v>
      </c>
      <c r="K707" s="7"/>
    </row>
    <row r="708" spans="1:11" ht="36" customHeight="1">
      <c r="A708" s="7">
        <v>706</v>
      </c>
      <c r="B708" s="1" t="s">
        <v>28</v>
      </c>
      <c r="C708" s="1" t="s">
        <v>27</v>
      </c>
      <c r="D708" s="2" t="str">
        <f t="shared" si="103"/>
        <v>z2024315</v>
      </c>
      <c r="E708" s="2" t="str">
        <f>"梁菲"</f>
        <v>梁菲</v>
      </c>
      <c r="F708" s="2" t="str">
        <f t="shared" si="102"/>
        <v>女</v>
      </c>
      <c r="G708" s="1" t="str">
        <f>"本科"</f>
        <v>本科</v>
      </c>
      <c r="H708" s="1" t="str">
        <f>"无"</f>
        <v>无</v>
      </c>
      <c r="I708" s="1" t="str">
        <f>"湖南科技学院"</f>
        <v>湖南科技学院</v>
      </c>
      <c r="J708" s="1" t="str">
        <f>"汉语言文学（师范）"</f>
        <v>汉语言文学（师范）</v>
      </c>
      <c r="K708" s="7"/>
    </row>
    <row r="709" spans="1:11" ht="36" customHeight="1">
      <c r="A709" s="7">
        <v>707</v>
      </c>
      <c r="B709" s="1" t="s">
        <v>28</v>
      </c>
      <c r="C709" s="1" t="s">
        <v>27</v>
      </c>
      <c r="D709" s="2" t="str">
        <f t="shared" si="103"/>
        <v>z2024315</v>
      </c>
      <c r="E709" s="2" t="str">
        <f>"李兴艳"</f>
        <v>李兴艳</v>
      </c>
      <c r="F709" s="2" t="str">
        <f t="shared" si="102"/>
        <v>女</v>
      </c>
      <c r="G709" s="1" t="str">
        <f>"本科"</f>
        <v>本科</v>
      </c>
      <c r="H709" s="1" t="str">
        <f>"学士"</f>
        <v>学士</v>
      </c>
      <c r="I709" s="1" t="str">
        <f>"邵阳学院"</f>
        <v>邵阳学院</v>
      </c>
      <c r="J709" s="1" t="str">
        <f>"汉语言文学"</f>
        <v>汉语言文学</v>
      </c>
      <c r="K709" s="7"/>
    </row>
    <row r="710" spans="1:11" ht="36" customHeight="1">
      <c r="A710" s="7">
        <v>708</v>
      </c>
      <c r="B710" s="1" t="s">
        <v>28</v>
      </c>
      <c r="C710" s="1" t="s">
        <v>27</v>
      </c>
      <c r="D710" s="2" t="str">
        <f t="shared" si="103"/>
        <v>z2024315</v>
      </c>
      <c r="E710" s="2" t="str">
        <f>"吴抒鸿"</f>
        <v>吴抒鸿</v>
      </c>
      <c r="F710" s="2" t="str">
        <f t="shared" si="102"/>
        <v>女</v>
      </c>
      <c r="G710" s="1" t="str">
        <f>"硕士研究生"</f>
        <v>硕士研究生</v>
      </c>
      <c r="H710" s="1" t="str">
        <f>"硕士"</f>
        <v>硕士</v>
      </c>
      <c r="I710" s="1" t="str">
        <f>"英国诺丁汉大学"</f>
        <v>英国诺丁汉大学</v>
      </c>
      <c r="J710" s="1" t="str">
        <f>"对外汉语教学"</f>
        <v>对外汉语教学</v>
      </c>
      <c r="K710" s="7"/>
    </row>
    <row r="711" spans="1:11" ht="36" customHeight="1">
      <c r="A711" s="7">
        <v>709</v>
      </c>
      <c r="B711" s="1" t="s">
        <v>28</v>
      </c>
      <c r="C711" s="1" t="s">
        <v>27</v>
      </c>
      <c r="D711" s="2" t="str">
        <f t="shared" si="103"/>
        <v>z2024315</v>
      </c>
      <c r="E711" s="2" t="str">
        <f>"张言"</f>
        <v>张言</v>
      </c>
      <c r="F711" s="2" t="str">
        <f t="shared" si="102"/>
        <v>女</v>
      </c>
      <c r="G711" s="1" t="str">
        <f t="shared" ref="G711:G723" si="104">"本科"</f>
        <v>本科</v>
      </c>
      <c r="H711" s="1" t="str">
        <f t="shared" ref="H711:H723" si="105">"学士"</f>
        <v>学士</v>
      </c>
      <c r="I711" s="1" t="str">
        <f>"华中师范大学"</f>
        <v>华中师范大学</v>
      </c>
      <c r="J711" s="1" t="str">
        <f t="shared" ref="J711:J719" si="106">"汉语言文学"</f>
        <v>汉语言文学</v>
      </c>
      <c r="K711" s="7"/>
    </row>
    <row r="712" spans="1:11" ht="36" customHeight="1">
      <c r="A712" s="7">
        <v>710</v>
      </c>
      <c r="B712" s="1" t="s">
        <v>28</v>
      </c>
      <c r="C712" s="1" t="s">
        <v>27</v>
      </c>
      <c r="D712" s="2" t="str">
        <f t="shared" si="103"/>
        <v>z2024315</v>
      </c>
      <c r="E712" s="2" t="str">
        <f>"杨丽"</f>
        <v>杨丽</v>
      </c>
      <c r="F712" s="2" t="str">
        <f t="shared" si="102"/>
        <v>女</v>
      </c>
      <c r="G712" s="1" t="str">
        <f t="shared" si="104"/>
        <v>本科</v>
      </c>
      <c r="H712" s="1" t="str">
        <f t="shared" si="105"/>
        <v>学士</v>
      </c>
      <c r="I712" s="1" t="str">
        <f>"长江大学"</f>
        <v>长江大学</v>
      </c>
      <c r="J712" s="1" t="str">
        <f t="shared" si="106"/>
        <v>汉语言文学</v>
      </c>
      <c r="K712" s="7"/>
    </row>
    <row r="713" spans="1:11" ht="36" customHeight="1">
      <c r="A713" s="7">
        <v>711</v>
      </c>
      <c r="B713" s="1" t="s">
        <v>28</v>
      </c>
      <c r="C713" s="1" t="s">
        <v>27</v>
      </c>
      <c r="D713" s="2" t="str">
        <f t="shared" si="103"/>
        <v>z2024315</v>
      </c>
      <c r="E713" s="2" t="str">
        <f>"段娅苹"</f>
        <v>段娅苹</v>
      </c>
      <c r="F713" s="2" t="str">
        <f t="shared" si="102"/>
        <v>女</v>
      </c>
      <c r="G713" s="1" t="str">
        <f t="shared" si="104"/>
        <v>本科</v>
      </c>
      <c r="H713" s="1" t="str">
        <f t="shared" si="105"/>
        <v>学士</v>
      </c>
      <c r="I713" s="1" t="str">
        <f>"湖北民族大学科技学院"</f>
        <v>湖北民族大学科技学院</v>
      </c>
      <c r="J713" s="1" t="str">
        <f t="shared" si="106"/>
        <v>汉语言文学</v>
      </c>
      <c r="K713" s="7"/>
    </row>
    <row r="714" spans="1:11" ht="36" customHeight="1">
      <c r="A714" s="7">
        <v>712</v>
      </c>
      <c r="B714" s="1" t="s">
        <v>28</v>
      </c>
      <c r="C714" s="1" t="s">
        <v>27</v>
      </c>
      <c r="D714" s="2" t="str">
        <f t="shared" si="103"/>
        <v>z2024315</v>
      </c>
      <c r="E714" s="2" t="str">
        <f>"陶小芹"</f>
        <v>陶小芹</v>
      </c>
      <c r="F714" s="2" t="str">
        <f t="shared" si="102"/>
        <v>女</v>
      </c>
      <c r="G714" s="1" t="str">
        <f t="shared" si="104"/>
        <v>本科</v>
      </c>
      <c r="H714" s="1" t="str">
        <f t="shared" si="105"/>
        <v>学士</v>
      </c>
      <c r="I714" s="1" t="str">
        <f>"山西大同大学"</f>
        <v>山西大同大学</v>
      </c>
      <c r="J714" s="1" t="str">
        <f t="shared" si="106"/>
        <v>汉语言文学</v>
      </c>
      <c r="K714" s="7"/>
    </row>
    <row r="715" spans="1:11" ht="36" customHeight="1">
      <c r="A715" s="7">
        <v>713</v>
      </c>
      <c r="B715" s="1" t="s">
        <v>28</v>
      </c>
      <c r="C715" s="1" t="s">
        <v>27</v>
      </c>
      <c r="D715" s="2" t="str">
        <f t="shared" si="103"/>
        <v>z2024315</v>
      </c>
      <c r="E715" s="2" t="str">
        <f>"郭英"</f>
        <v>郭英</v>
      </c>
      <c r="F715" s="2" t="str">
        <f t="shared" si="102"/>
        <v>女</v>
      </c>
      <c r="G715" s="1" t="str">
        <f t="shared" si="104"/>
        <v>本科</v>
      </c>
      <c r="H715" s="1" t="str">
        <f t="shared" si="105"/>
        <v>学士</v>
      </c>
      <c r="I715" s="1" t="str">
        <f>"湖北第二师范学院"</f>
        <v>湖北第二师范学院</v>
      </c>
      <c r="J715" s="1" t="str">
        <f t="shared" si="106"/>
        <v>汉语言文学</v>
      </c>
      <c r="K715" s="7"/>
    </row>
    <row r="716" spans="1:11" ht="36" customHeight="1">
      <c r="A716" s="7">
        <v>714</v>
      </c>
      <c r="B716" s="1" t="s">
        <v>28</v>
      </c>
      <c r="C716" s="1" t="s">
        <v>27</v>
      </c>
      <c r="D716" s="2" t="str">
        <f t="shared" si="103"/>
        <v>z2024315</v>
      </c>
      <c r="E716" s="2" t="str">
        <f>"李晶晶"</f>
        <v>李晶晶</v>
      </c>
      <c r="F716" s="2" t="str">
        <f t="shared" si="102"/>
        <v>女</v>
      </c>
      <c r="G716" s="1" t="str">
        <f t="shared" si="104"/>
        <v>本科</v>
      </c>
      <c r="H716" s="1" t="str">
        <f t="shared" si="105"/>
        <v>学士</v>
      </c>
      <c r="I716" s="1" t="str">
        <f>"汉江师范学院"</f>
        <v>汉江师范学院</v>
      </c>
      <c r="J716" s="1" t="str">
        <f t="shared" si="106"/>
        <v>汉语言文学</v>
      </c>
      <c r="K716" s="7"/>
    </row>
    <row r="717" spans="1:11" ht="36" customHeight="1">
      <c r="A717" s="7">
        <v>715</v>
      </c>
      <c r="B717" s="1" t="s">
        <v>28</v>
      </c>
      <c r="C717" s="1" t="s">
        <v>27</v>
      </c>
      <c r="D717" s="2" t="str">
        <f t="shared" si="103"/>
        <v>z2024315</v>
      </c>
      <c r="E717" s="2" t="str">
        <f>"黄柳"</f>
        <v>黄柳</v>
      </c>
      <c r="F717" s="2" t="str">
        <f t="shared" si="102"/>
        <v>女</v>
      </c>
      <c r="G717" s="1" t="str">
        <f t="shared" si="104"/>
        <v>本科</v>
      </c>
      <c r="H717" s="1" t="str">
        <f t="shared" si="105"/>
        <v>学士</v>
      </c>
      <c r="I717" s="1" t="str">
        <f>"长江大学文理学院"</f>
        <v>长江大学文理学院</v>
      </c>
      <c r="J717" s="1" t="str">
        <f t="shared" si="106"/>
        <v>汉语言文学</v>
      </c>
      <c r="K717" s="7"/>
    </row>
    <row r="718" spans="1:11" ht="36" customHeight="1">
      <c r="A718" s="7">
        <v>716</v>
      </c>
      <c r="B718" s="1" t="s">
        <v>28</v>
      </c>
      <c r="C718" s="1" t="s">
        <v>27</v>
      </c>
      <c r="D718" s="2" t="str">
        <f t="shared" si="103"/>
        <v>z2024315</v>
      </c>
      <c r="E718" s="2" t="str">
        <f>"田柳"</f>
        <v>田柳</v>
      </c>
      <c r="F718" s="2" t="str">
        <f t="shared" si="102"/>
        <v>女</v>
      </c>
      <c r="G718" s="1" t="str">
        <f t="shared" si="104"/>
        <v>本科</v>
      </c>
      <c r="H718" s="1" t="str">
        <f t="shared" si="105"/>
        <v>学士</v>
      </c>
      <c r="I718" s="1" t="str">
        <f>"湖北民族大学科技学院"</f>
        <v>湖北民族大学科技学院</v>
      </c>
      <c r="J718" s="1" t="str">
        <f t="shared" si="106"/>
        <v>汉语言文学</v>
      </c>
      <c r="K718" s="7"/>
    </row>
    <row r="719" spans="1:11" ht="36" customHeight="1">
      <c r="A719" s="7">
        <v>717</v>
      </c>
      <c r="B719" s="1" t="s">
        <v>28</v>
      </c>
      <c r="C719" s="1" t="s">
        <v>27</v>
      </c>
      <c r="D719" s="2" t="str">
        <f t="shared" si="103"/>
        <v>z2024315</v>
      </c>
      <c r="E719" s="2" t="str">
        <f>"焦琴尧"</f>
        <v>焦琴尧</v>
      </c>
      <c r="F719" s="2" t="str">
        <f t="shared" si="102"/>
        <v>女</v>
      </c>
      <c r="G719" s="1" t="str">
        <f t="shared" si="104"/>
        <v>本科</v>
      </c>
      <c r="H719" s="1" t="str">
        <f t="shared" si="105"/>
        <v>学士</v>
      </c>
      <c r="I719" s="1" t="str">
        <f>"湖北师范大学文理学院"</f>
        <v>湖北师范大学文理学院</v>
      </c>
      <c r="J719" s="1" t="str">
        <f t="shared" si="106"/>
        <v>汉语言文学</v>
      </c>
      <c r="K719" s="7"/>
    </row>
    <row r="720" spans="1:11" ht="36" customHeight="1">
      <c r="A720" s="7">
        <v>718</v>
      </c>
      <c r="B720" s="1" t="s">
        <v>28</v>
      </c>
      <c r="C720" s="1" t="s">
        <v>27</v>
      </c>
      <c r="D720" s="2" t="str">
        <f t="shared" si="103"/>
        <v>z2024315</v>
      </c>
      <c r="E720" s="2" t="str">
        <f>"李姣"</f>
        <v>李姣</v>
      </c>
      <c r="F720" s="2" t="str">
        <f t="shared" si="102"/>
        <v>女</v>
      </c>
      <c r="G720" s="1" t="str">
        <f t="shared" si="104"/>
        <v>本科</v>
      </c>
      <c r="H720" s="1" t="str">
        <f t="shared" si="105"/>
        <v>学士</v>
      </c>
      <c r="I720" s="1" t="str">
        <f>"长春大学"</f>
        <v>长春大学</v>
      </c>
      <c r="J720" s="1" t="str">
        <f>"汉语国际教育"</f>
        <v>汉语国际教育</v>
      </c>
      <c r="K720" s="7"/>
    </row>
    <row r="721" spans="1:11" ht="36" customHeight="1">
      <c r="A721" s="7">
        <v>719</v>
      </c>
      <c r="B721" s="1" t="s">
        <v>28</v>
      </c>
      <c r="C721" s="1" t="s">
        <v>27</v>
      </c>
      <c r="D721" s="2" t="str">
        <f t="shared" si="103"/>
        <v>z2024315</v>
      </c>
      <c r="E721" s="2" t="str">
        <f>"肖宇星"</f>
        <v>肖宇星</v>
      </c>
      <c r="F721" s="2" t="str">
        <f t="shared" si="102"/>
        <v>女</v>
      </c>
      <c r="G721" s="1" t="str">
        <f t="shared" si="104"/>
        <v>本科</v>
      </c>
      <c r="H721" s="1" t="str">
        <f t="shared" si="105"/>
        <v>学士</v>
      </c>
      <c r="I721" s="1" t="str">
        <f>"长江大学文理学院"</f>
        <v>长江大学文理学院</v>
      </c>
      <c r="J721" s="1" t="str">
        <f>"汉语言文学专业"</f>
        <v>汉语言文学专业</v>
      </c>
      <c r="K721" s="7"/>
    </row>
    <row r="722" spans="1:11" ht="36" customHeight="1">
      <c r="A722" s="7">
        <v>720</v>
      </c>
      <c r="B722" s="1" t="s">
        <v>28</v>
      </c>
      <c r="C722" s="1" t="s">
        <v>27</v>
      </c>
      <c r="D722" s="2" t="str">
        <f t="shared" si="103"/>
        <v>z2024315</v>
      </c>
      <c r="E722" s="2" t="str">
        <f>"李冰锋"</f>
        <v>李冰锋</v>
      </c>
      <c r="F722" s="2" t="str">
        <f t="shared" si="102"/>
        <v>女</v>
      </c>
      <c r="G722" s="1" t="str">
        <f t="shared" si="104"/>
        <v>本科</v>
      </c>
      <c r="H722" s="1" t="str">
        <f t="shared" si="105"/>
        <v>学士</v>
      </c>
      <c r="I722" s="1" t="str">
        <f>"湖北民族大学"</f>
        <v>湖北民族大学</v>
      </c>
      <c r="J722" s="1" t="str">
        <f>"汉语言文学"</f>
        <v>汉语言文学</v>
      </c>
      <c r="K722" s="7"/>
    </row>
    <row r="723" spans="1:11" ht="36" customHeight="1">
      <c r="A723" s="7">
        <v>721</v>
      </c>
      <c r="B723" s="1" t="s">
        <v>28</v>
      </c>
      <c r="C723" s="1" t="s">
        <v>27</v>
      </c>
      <c r="D723" s="2" t="str">
        <f t="shared" si="103"/>
        <v>z2024315</v>
      </c>
      <c r="E723" s="2" t="str">
        <f>"雷婷"</f>
        <v>雷婷</v>
      </c>
      <c r="F723" s="2" t="str">
        <f t="shared" si="102"/>
        <v>女</v>
      </c>
      <c r="G723" s="1" t="str">
        <f t="shared" si="104"/>
        <v>本科</v>
      </c>
      <c r="H723" s="1" t="str">
        <f t="shared" si="105"/>
        <v>学士</v>
      </c>
      <c r="I723" s="1" t="str">
        <f>"湖北民族大学"</f>
        <v>湖北民族大学</v>
      </c>
      <c r="J723" s="1" t="str">
        <f>"汉语言文学专业"</f>
        <v>汉语言文学专业</v>
      </c>
      <c r="K723" s="7"/>
    </row>
    <row r="724" spans="1:11" ht="36" customHeight="1">
      <c r="A724" s="7">
        <v>722</v>
      </c>
      <c r="B724" s="1" t="s">
        <v>28</v>
      </c>
      <c r="C724" s="1" t="s">
        <v>27</v>
      </c>
      <c r="D724" s="2" t="str">
        <f t="shared" si="103"/>
        <v>z2024315</v>
      </c>
      <c r="E724" s="2" t="str">
        <f>"唐雅溱"</f>
        <v>唐雅溱</v>
      </c>
      <c r="F724" s="2" t="str">
        <f t="shared" si="102"/>
        <v>女</v>
      </c>
      <c r="G724" s="1" t="str">
        <f>"硕士研究生"</f>
        <v>硕士研究生</v>
      </c>
      <c r="H724" s="1" t="str">
        <f>"硕士"</f>
        <v>硕士</v>
      </c>
      <c r="I724" s="1" t="str">
        <f>"湖北大学"</f>
        <v>湖北大学</v>
      </c>
      <c r="J724" s="1" t="str">
        <f>"中国语言文学"</f>
        <v>中国语言文学</v>
      </c>
      <c r="K724" s="7"/>
    </row>
    <row r="725" spans="1:11" ht="36" customHeight="1">
      <c r="A725" s="7">
        <v>723</v>
      </c>
      <c r="B725" s="1" t="s">
        <v>28</v>
      </c>
      <c r="C725" s="1" t="s">
        <v>27</v>
      </c>
      <c r="D725" s="2" t="str">
        <f t="shared" si="103"/>
        <v>z2024315</v>
      </c>
      <c r="E725" s="2" t="str">
        <f>"万开红"</f>
        <v>万开红</v>
      </c>
      <c r="F725" s="2" t="str">
        <f t="shared" si="102"/>
        <v>女</v>
      </c>
      <c r="G725" s="1" t="str">
        <f>"本科"</f>
        <v>本科</v>
      </c>
      <c r="H725" s="1" t="str">
        <f>"学士"</f>
        <v>学士</v>
      </c>
      <c r="I725" s="1" t="str">
        <f>"长江大学文理学院"</f>
        <v>长江大学文理学院</v>
      </c>
      <c r="J725" s="1" t="str">
        <f>"中国语言文学（师范类）"</f>
        <v>中国语言文学（师范类）</v>
      </c>
      <c r="K725" s="7"/>
    </row>
    <row r="726" spans="1:11" ht="36" customHeight="1">
      <c r="A726" s="7">
        <v>724</v>
      </c>
      <c r="B726" s="1" t="s">
        <v>28</v>
      </c>
      <c r="C726" s="1" t="s">
        <v>27</v>
      </c>
      <c r="D726" s="2" t="str">
        <f t="shared" si="103"/>
        <v>z2024315</v>
      </c>
      <c r="E726" s="2" t="str">
        <f>"唐小红"</f>
        <v>唐小红</v>
      </c>
      <c r="F726" s="2" t="str">
        <f t="shared" si="102"/>
        <v>女</v>
      </c>
      <c r="G726" s="1" t="str">
        <f>"硕士研究生"</f>
        <v>硕士研究生</v>
      </c>
      <c r="H726" s="1" t="str">
        <f>"硕士"</f>
        <v>硕士</v>
      </c>
      <c r="I726" s="1" t="str">
        <f>"山西师范大学"</f>
        <v>山西师范大学</v>
      </c>
      <c r="J726" s="1" t="str">
        <f>"中国语言文学（中国现当代文学）"</f>
        <v>中国语言文学（中国现当代文学）</v>
      </c>
      <c r="K726" s="7"/>
    </row>
    <row r="727" spans="1:11" ht="36" customHeight="1">
      <c r="A727" s="7">
        <v>725</v>
      </c>
      <c r="B727" s="1" t="s">
        <v>28</v>
      </c>
      <c r="C727" s="1" t="s">
        <v>27</v>
      </c>
      <c r="D727" s="2" t="str">
        <f t="shared" si="103"/>
        <v>z2024315</v>
      </c>
      <c r="E727" s="2" t="str">
        <f>"郑敏"</f>
        <v>郑敏</v>
      </c>
      <c r="F727" s="2" t="str">
        <f t="shared" ref="F727:F745" si="107">"女"</f>
        <v>女</v>
      </c>
      <c r="G727" s="1" t="str">
        <f>"本科"</f>
        <v>本科</v>
      </c>
      <c r="H727" s="1" t="str">
        <f>"学士"</f>
        <v>学士</v>
      </c>
      <c r="I727" s="1" t="str">
        <f>"湖北民族大学"</f>
        <v>湖北民族大学</v>
      </c>
      <c r="J727" s="1" t="str">
        <f>"汉语言文学"</f>
        <v>汉语言文学</v>
      </c>
      <c r="K727" s="7"/>
    </row>
    <row r="728" spans="1:11" ht="36" customHeight="1">
      <c r="A728" s="7">
        <v>726</v>
      </c>
      <c r="B728" s="1" t="s">
        <v>28</v>
      </c>
      <c r="C728" s="1" t="s">
        <v>27</v>
      </c>
      <c r="D728" s="2" t="str">
        <f t="shared" si="103"/>
        <v>z2024315</v>
      </c>
      <c r="E728" s="2" t="str">
        <f>"饶志彩"</f>
        <v>饶志彩</v>
      </c>
      <c r="F728" s="2" t="str">
        <f t="shared" si="107"/>
        <v>女</v>
      </c>
      <c r="G728" s="1" t="str">
        <f>"本科"</f>
        <v>本科</v>
      </c>
      <c r="H728" s="1" t="str">
        <f>"学士"</f>
        <v>学士</v>
      </c>
      <c r="I728" s="1" t="str">
        <f>"长江大学文理学院"</f>
        <v>长江大学文理学院</v>
      </c>
      <c r="J728" s="1" t="str">
        <f>"汉语言文学（师范类）"</f>
        <v>汉语言文学（师范类）</v>
      </c>
      <c r="K728" s="7"/>
    </row>
    <row r="729" spans="1:11" ht="36" customHeight="1">
      <c r="A729" s="7">
        <v>727</v>
      </c>
      <c r="B729" s="1" t="s">
        <v>28</v>
      </c>
      <c r="C729" s="1" t="s">
        <v>27</v>
      </c>
      <c r="D729" s="2" t="str">
        <f t="shared" si="103"/>
        <v>z2024315</v>
      </c>
      <c r="E729" s="2" t="str">
        <f>"田雅文"</f>
        <v>田雅文</v>
      </c>
      <c r="F729" s="2" t="str">
        <f t="shared" si="107"/>
        <v>女</v>
      </c>
      <c r="G729" s="1" t="str">
        <f>"本科"</f>
        <v>本科</v>
      </c>
      <c r="H729" s="1" t="str">
        <f>"学士"</f>
        <v>学士</v>
      </c>
      <c r="I729" s="1" t="str">
        <f>"汉口学院"</f>
        <v>汉口学院</v>
      </c>
      <c r="J729" s="1" t="str">
        <f>"汉语言文学"</f>
        <v>汉语言文学</v>
      </c>
      <c r="K729" s="7"/>
    </row>
    <row r="730" spans="1:11" ht="36" customHeight="1">
      <c r="A730" s="7">
        <v>728</v>
      </c>
      <c r="B730" s="1" t="s">
        <v>28</v>
      </c>
      <c r="C730" s="1" t="s">
        <v>27</v>
      </c>
      <c r="D730" s="2" t="str">
        <f t="shared" si="103"/>
        <v>z2024315</v>
      </c>
      <c r="E730" s="2" t="str">
        <f>"周亚男"</f>
        <v>周亚男</v>
      </c>
      <c r="F730" s="2" t="str">
        <f t="shared" si="107"/>
        <v>女</v>
      </c>
      <c r="G730" s="1" t="str">
        <f>"本科"</f>
        <v>本科</v>
      </c>
      <c r="H730" s="1" t="str">
        <f>"学士"</f>
        <v>学士</v>
      </c>
      <c r="I730" s="1" t="str">
        <f>"湖北民族大学科技学院"</f>
        <v>湖北民族大学科技学院</v>
      </c>
      <c r="J730" s="1" t="str">
        <f>"汉语言文学"</f>
        <v>汉语言文学</v>
      </c>
      <c r="K730" s="7"/>
    </row>
    <row r="731" spans="1:11" ht="36" customHeight="1">
      <c r="A731" s="7">
        <v>729</v>
      </c>
      <c r="B731" s="1" t="s">
        <v>28</v>
      </c>
      <c r="C731" s="1" t="s">
        <v>27</v>
      </c>
      <c r="D731" s="2" t="str">
        <f t="shared" si="103"/>
        <v>z2024315</v>
      </c>
      <c r="E731" s="2" t="str">
        <f>"石玮玮"</f>
        <v>石玮玮</v>
      </c>
      <c r="F731" s="2" t="str">
        <f t="shared" si="107"/>
        <v>女</v>
      </c>
      <c r="G731" s="1" t="str">
        <f>"硕士研究生"</f>
        <v>硕士研究生</v>
      </c>
      <c r="H731" s="1" t="str">
        <f>"硕士"</f>
        <v>硕士</v>
      </c>
      <c r="I731" s="1" t="str">
        <f>"南京师范大学"</f>
        <v>南京师范大学</v>
      </c>
      <c r="J731" s="1" t="str">
        <f>"学科教学（语文）"</f>
        <v>学科教学（语文）</v>
      </c>
      <c r="K731" s="7"/>
    </row>
    <row r="732" spans="1:11" ht="36" customHeight="1">
      <c r="A732" s="7">
        <v>730</v>
      </c>
      <c r="B732" s="1" t="s">
        <v>28</v>
      </c>
      <c r="C732" s="1" t="s">
        <v>27</v>
      </c>
      <c r="D732" s="2" t="str">
        <f t="shared" si="103"/>
        <v>z2024315</v>
      </c>
      <c r="E732" s="2" t="str">
        <f>"黄麒颖"</f>
        <v>黄麒颖</v>
      </c>
      <c r="F732" s="2" t="str">
        <f t="shared" si="107"/>
        <v>女</v>
      </c>
      <c r="G732" s="1" t="str">
        <f t="shared" ref="G732:G752" si="108">"本科"</f>
        <v>本科</v>
      </c>
      <c r="H732" s="1" t="str">
        <f t="shared" ref="H732:H752" si="109">"学士"</f>
        <v>学士</v>
      </c>
      <c r="I732" s="1" t="str">
        <f>"汉江师范学院"</f>
        <v>汉江师范学院</v>
      </c>
      <c r="J732" s="1" t="str">
        <f>"汉语言文学"</f>
        <v>汉语言文学</v>
      </c>
      <c r="K732" s="7"/>
    </row>
    <row r="733" spans="1:11" ht="36" customHeight="1">
      <c r="A733" s="7">
        <v>731</v>
      </c>
      <c r="B733" s="1" t="s">
        <v>28</v>
      </c>
      <c r="C733" s="1" t="s">
        <v>27</v>
      </c>
      <c r="D733" s="2" t="str">
        <f t="shared" si="103"/>
        <v>z2024315</v>
      </c>
      <c r="E733" s="2" t="str">
        <f>"杨春琴"</f>
        <v>杨春琴</v>
      </c>
      <c r="F733" s="2" t="str">
        <f t="shared" si="107"/>
        <v>女</v>
      </c>
      <c r="G733" s="1" t="str">
        <f t="shared" si="108"/>
        <v>本科</v>
      </c>
      <c r="H733" s="1" t="str">
        <f t="shared" si="109"/>
        <v>学士</v>
      </c>
      <c r="I733" s="1" t="str">
        <f>"湖北民族学院"</f>
        <v>湖北民族学院</v>
      </c>
      <c r="J733" s="1" t="str">
        <f>"汉语言文学"</f>
        <v>汉语言文学</v>
      </c>
      <c r="K733" s="7"/>
    </row>
    <row r="734" spans="1:11" ht="36" customHeight="1">
      <c r="A734" s="7">
        <v>732</v>
      </c>
      <c r="B734" s="1" t="s">
        <v>28</v>
      </c>
      <c r="C734" s="1" t="s">
        <v>27</v>
      </c>
      <c r="D734" s="2" t="str">
        <f t="shared" si="103"/>
        <v>z2024315</v>
      </c>
      <c r="E734" s="2" t="str">
        <f>"秦媛媛"</f>
        <v>秦媛媛</v>
      </c>
      <c r="F734" s="2" t="str">
        <f t="shared" si="107"/>
        <v>女</v>
      </c>
      <c r="G734" s="1" t="str">
        <f t="shared" si="108"/>
        <v>本科</v>
      </c>
      <c r="H734" s="1" t="str">
        <f t="shared" si="109"/>
        <v>学士</v>
      </c>
      <c r="I734" s="1" t="str">
        <f>"闽南师范大学"</f>
        <v>闽南师范大学</v>
      </c>
      <c r="J734" s="1" t="str">
        <f>"汉语国际教育"</f>
        <v>汉语国际教育</v>
      </c>
      <c r="K734" s="7"/>
    </row>
    <row r="735" spans="1:11" ht="36" customHeight="1">
      <c r="A735" s="7">
        <v>733</v>
      </c>
      <c r="B735" s="1" t="s">
        <v>28</v>
      </c>
      <c r="C735" s="1" t="s">
        <v>27</v>
      </c>
      <c r="D735" s="2" t="str">
        <f t="shared" si="103"/>
        <v>z2024315</v>
      </c>
      <c r="E735" s="2" t="str">
        <f>"田进"</f>
        <v>田进</v>
      </c>
      <c r="F735" s="2" t="str">
        <f t="shared" si="107"/>
        <v>女</v>
      </c>
      <c r="G735" s="1" t="str">
        <f t="shared" si="108"/>
        <v>本科</v>
      </c>
      <c r="H735" s="1" t="str">
        <f t="shared" si="109"/>
        <v>学士</v>
      </c>
      <c r="I735" s="1" t="str">
        <f>"湖北科技学院"</f>
        <v>湖北科技学院</v>
      </c>
      <c r="J735" s="1" t="str">
        <f>"汉语言文学"</f>
        <v>汉语言文学</v>
      </c>
      <c r="K735" s="7"/>
    </row>
    <row r="736" spans="1:11" ht="36" customHeight="1">
      <c r="A736" s="7">
        <v>734</v>
      </c>
      <c r="B736" s="1" t="s">
        <v>28</v>
      </c>
      <c r="C736" s="1" t="s">
        <v>27</v>
      </c>
      <c r="D736" s="2" t="str">
        <f t="shared" ref="D736:D745" si="110">"z2024315"</f>
        <v>z2024315</v>
      </c>
      <c r="E736" s="2" t="str">
        <f>"向珊珊"</f>
        <v>向珊珊</v>
      </c>
      <c r="F736" s="2" t="str">
        <f t="shared" si="107"/>
        <v>女</v>
      </c>
      <c r="G736" s="1" t="str">
        <f t="shared" si="108"/>
        <v>本科</v>
      </c>
      <c r="H736" s="1" t="str">
        <f t="shared" si="109"/>
        <v>学士</v>
      </c>
      <c r="I736" s="1" t="str">
        <f>"湖北民族学院"</f>
        <v>湖北民族学院</v>
      </c>
      <c r="J736" s="1" t="str">
        <f>"汉语言文学（师范类）"</f>
        <v>汉语言文学（师范类）</v>
      </c>
      <c r="K736" s="7"/>
    </row>
    <row r="737" spans="1:11" ht="36" customHeight="1">
      <c r="A737" s="7">
        <v>735</v>
      </c>
      <c r="B737" s="1" t="s">
        <v>28</v>
      </c>
      <c r="C737" s="1" t="s">
        <v>27</v>
      </c>
      <c r="D737" s="2" t="str">
        <f t="shared" si="110"/>
        <v>z2024315</v>
      </c>
      <c r="E737" s="2" t="str">
        <f>"李静"</f>
        <v>李静</v>
      </c>
      <c r="F737" s="2" t="str">
        <f t="shared" si="107"/>
        <v>女</v>
      </c>
      <c r="G737" s="1" t="str">
        <f t="shared" si="108"/>
        <v>本科</v>
      </c>
      <c r="H737" s="1" t="str">
        <f t="shared" si="109"/>
        <v>学士</v>
      </c>
      <c r="I737" s="1" t="str">
        <f>"湖北民族大学"</f>
        <v>湖北民族大学</v>
      </c>
      <c r="J737" s="1" t="str">
        <f>"汉语言文学"</f>
        <v>汉语言文学</v>
      </c>
      <c r="K737" s="7"/>
    </row>
    <row r="738" spans="1:11" ht="36" customHeight="1">
      <c r="A738" s="7">
        <v>736</v>
      </c>
      <c r="B738" s="1" t="s">
        <v>28</v>
      </c>
      <c r="C738" s="1" t="s">
        <v>27</v>
      </c>
      <c r="D738" s="2" t="str">
        <f t="shared" si="110"/>
        <v>z2024315</v>
      </c>
      <c r="E738" s="2" t="str">
        <f>"曾薪宁"</f>
        <v>曾薪宁</v>
      </c>
      <c r="F738" s="2" t="str">
        <f t="shared" si="107"/>
        <v>女</v>
      </c>
      <c r="G738" s="1" t="str">
        <f t="shared" si="108"/>
        <v>本科</v>
      </c>
      <c r="H738" s="1" t="str">
        <f t="shared" si="109"/>
        <v>学士</v>
      </c>
      <c r="I738" s="1" t="str">
        <f>"湖北民族学院科技学院"</f>
        <v>湖北民族学院科技学院</v>
      </c>
      <c r="J738" s="1" t="str">
        <f>"汉语言文学"</f>
        <v>汉语言文学</v>
      </c>
      <c r="K738" s="7"/>
    </row>
    <row r="739" spans="1:11" ht="36" customHeight="1">
      <c r="A739" s="7">
        <v>737</v>
      </c>
      <c r="B739" s="1" t="s">
        <v>28</v>
      </c>
      <c r="C739" s="1" t="s">
        <v>27</v>
      </c>
      <c r="D739" s="2" t="str">
        <f t="shared" si="110"/>
        <v>z2024315</v>
      </c>
      <c r="E739" s="2" t="str">
        <f>"向婉笛"</f>
        <v>向婉笛</v>
      </c>
      <c r="F739" s="2" t="str">
        <f t="shared" si="107"/>
        <v>女</v>
      </c>
      <c r="G739" s="1" t="str">
        <f t="shared" si="108"/>
        <v>本科</v>
      </c>
      <c r="H739" s="1" t="str">
        <f t="shared" si="109"/>
        <v>学士</v>
      </c>
      <c r="I739" s="1" t="str">
        <f>"汉口学院"</f>
        <v>汉口学院</v>
      </c>
      <c r="J739" s="1" t="str">
        <f>"汉语言文学"</f>
        <v>汉语言文学</v>
      </c>
      <c r="K739" s="7"/>
    </row>
    <row r="740" spans="1:11" ht="36" customHeight="1">
      <c r="A740" s="7">
        <v>738</v>
      </c>
      <c r="B740" s="1" t="s">
        <v>28</v>
      </c>
      <c r="C740" s="1" t="s">
        <v>27</v>
      </c>
      <c r="D740" s="2" t="str">
        <f t="shared" si="110"/>
        <v>z2024315</v>
      </c>
      <c r="E740" s="2" t="str">
        <f>"吕金熠"</f>
        <v>吕金熠</v>
      </c>
      <c r="F740" s="2" t="str">
        <f t="shared" si="107"/>
        <v>女</v>
      </c>
      <c r="G740" s="1" t="str">
        <f t="shared" si="108"/>
        <v>本科</v>
      </c>
      <c r="H740" s="1" t="str">
        <f t="shared" si="109"/>
        <v>学士</v>
      </c>
      <c r="I740" s="1" t="str">
        <f>"三峡大学"</f>
        <v>三峡大学</v>
      </c>
      <c r="J740" s="1" t="str">
        <f>"汉语言文学"</f>
        <v>汉语言文学</v>
      </c>
      <c r="K740" s="7"/>
    </row>
    <row r="741" spans="1:11" ht="36" customHeight="1">
      <c r="A741" s="7">
        <v>739</v>
      </c>
      <c r="B741" s="1" t="s">
        <v>28</v>
      </c>
      <c r="C741" s="1" t="s">
        <v>27</v>
      </c>
      <c r="D741" s="2" t="str">
        <f t="shared" si="110"/>
        <v>z2024315</v>
      </c>
      <c r="E741" s="2" t="str">
        <f>"张凯越"</f>
        <v>张凯越</v>
      </c>
      <c r="F741" s="2" t="str">
        <f t="shared" si="107"/>
        <v>女</v>
      </c>
      <c r="G741" s="1" t="str">
        <f t="shared" si="108"/>
        <v>本科</v>
      </c>
      <c r="H741" s="1" t="str">
        <f t="shared" si="109"/>
        <v>学士</v>
      </c>
      <c r="I741" s="1" t="str">
        <f>"湖北师范大学"</f>
        <v>湖北师范大学</v>
      </c>
      <c r="J741" s="1" t="str">
        <f>"汉语言文学专业"</f>
        <v>汉语言文学专业</v>
      </c>
      <c r="K741" s="7"/>
    </row>
    <row r="742" spans="1:11" ht="36" customHeight="1">
      <c r="A742" s="7">
        <v>740</v>
      </c>
      <c r="B742" s="1" t="s">
        <v>28</v>
      </c>
      <c r="C742" s="1" t="s">
        <v>27</v>
      </c>
      <c r="D742" s="2" t="str">
        <f t="shared" si="110"/>
        <v>z2024315</v>
      </c>
      <c r="E742" s="2" t="str">
        <f>"皮楷琴"</f>
        <v>皮楷琴</v>
      </c>
      <c r="F742" s="2" t="str">
        <f t="shared" si="107"/>
        <v>女</v>
      </c>
      <c r="G742" s="1" t="str">
        <f t="shared" si="108"/>
        <v>本科</v>
      </c>
      <c r="H742" s="1" t="str">
        <f t="shared" si="109"/>
        <v>学士</v>
      </c>
      <c r="I742" s="1" t="str">
        <f>"湖北民族大学"</f>
        <v>湖北民族大学</v>
      </c>
      <c r="J742" s="1" t="str">
        <f>"汉语言文学"</f>
        <v>汉语言文学</v>
      </c>
      <c r="K742" s="7"/>
    </row>
    <row r="743" spans="1:11" ht="36" customHeight="1">
      <c r="A743" s="7">
        <v>741</v>
      </c>
      <c r="B743" s="1" t="s">
        <v>28</v>
      </c>
      <c r="C743" s="1" t="s">
        <v>27</v>
      </c>
      <c r="D743" s="2" t="str">
        <f t="shared" si="110"/>
        <v>z2024315</v>
      </c>
      <c r="E743" s="2" t="str">
        <f>"刘蓉"</f>
        <v>刘蓉</v>
      </c>
      <c r="F743" s="2" t="str">
        <f t="shared" si="107"/>
        <v>女</v>
      </c>
      <c r="G743" s="1" t="str">
        <f t="shared" si="108"/>
        <v>本科</v>
      </c>
      <c r="H743" s="1" t="str">
        <f t="shared" si="109"/>
        <v>学士</v>
      </c>
      <c r="I743" s="1" t="str">
        <f>"长江大学文理学院"</f>
        <v>长江大学文理学院</v>
      </c>
      <c r="J743" s="1" t="str">
        <f>"汉语言文学"</f>
        <v>汉语言文学</v>
      </c>
      <c r="K743" s="7"/>
    </row>
    <row r="744" spans="1:11" ht="36" customHeight="1">
      <c r="A744" s="7">
        <v>742</v>
      </c>
      <c r="B744" s="1" t="s">
        <v>28</v>
      </c>
      <c r="C744" s="1" t="s">
        <v>27</v>
      </c>
      <c r="D744" s="2" t="str">
        <f t="shared" si="110"/>
        <v>z2024315</v>
      </c>
      <c r="E744" s="2" t="str">
        <f>"田瑶"</f>
        <v>田瑶</v>
      </c>
      <c r="F744" s="2" t="str">
        <f t="shared" si="107"/>
        <v>女</v>
      </c>
      <c r="G744" s="1" t="str">
        <f t="shared" si="108"/>
        <v>本科</v>
      </c>
      <c r="H744" s="1" t="str">
        <f t="shared" si="109"/>
        <v>学士</v>
      </c>
      <c r="I744" s="1" t="str">
        <f>"三峡大学"</f>
        <v>三峡大学</v>
      </c>
      <c r="J744" s="1" t="str">
        <f>"汉语言文学"</f>
        <v>汉语言文学</v>
      </c>
      <c r="K744" s="7"/>
    </row>
    <row r="745" spans="1:11" ht="36" customHeight="1">
      <c r="A745" s="7">
        <v>743</v>
      </c>
      <c r="B745" s="1" t="s">
        <v>28</v>
      </c>
      <c r="C745" s="1" t="s">
        <v>27</v>
      </c>
      <c r="D745" s="2" t="str">
        <f t="shared" si="110"/>
        <v>z2024315</v>
      </c>
      <c r="E745" s="2" t="str">
        <f>"杨苗"</f>
        <v>杨苗</v>
      </c>
      <c r="F745" s="2" t="str">
        <f t="shared" si="107"/>
        <v>女</v>
      </c>
      <c r="G745" s="1" t="str">
        <f t="shared" si="108"/>
        <v>本科</v>
      </c>
      <c r="H745" s="1" t="str">
        <f t="shared" si="109"/>
        <v>学士</v>
      </c>
      <c r="I745" s="1" t="str">
        <f>"三峡大学"</f>
        <v>三峡大学</v>
      </c>
      <c r="J745" s="1" t="str">
        <f>"汉语言文学"</f>
        <v>汉语言文学</v>
      </c>
      <c r="K745" s="7"/>
    </row>
    <row r="746" spans="1:11" ht="36" customHeight="1">
      <c r="A746" s="7">
        <v>744</v>
      </c>
      <c r="B746" s="1" t="s">
        <v>28</v>
      </c>
      <c r="C746" s="1" t="s">
        <v>29</v>
      </c>
      <c r="D746" s="2" t="str">
        <f t="shared" ref="D746:D763" si="111">"z2024316"</f>
        <v>z2024316</v>
      </c>
      <c r="E746" s="2" t="str">
        <f>"谭作瑜"</f>
        <v>谭作瑜</v>
      </c>
      <c r="F746" s="2" t="str">
        <f>"男"</f>
        <v>男</v>
      </c>
      <c r="G746" s="1" t="str">
        <f t="shared" si="108"/>
        <v>本科</v>
      </c>
      <c r="H746" s="1" t="str">
        <f t="shared" si="109"/>
        <v>学士</v>
      </c>
      <c r="I746" s="1" t="str">
        <f>"辽宁师范大学"</f>
        <v>辽宁师范大学</v>
      </c>
      <c r="J746" s="1" t="str">
        <f>"数学与应用数学（师范）"</f>
        <v>数学与应用数学（师范）</v>
      </c>
      <c r="K746" s="7"/>
    </row>
    <row r="747" spans="1:11" ht="36" customHeight="1">
      <c r="A747" s="7">
        <v>745</v>
      </c>
      <c r="B747" s="1" t="s">
        <v>28</v>
      </c>
      <c r="C747" s="1" t="s">
        <v>29</v>
      </c>
      <c r="D747" s="2" t="str">
        <f t="shared" si="111"/>
        <v>z2024316</v>
      </c>
      <c r="E747" s="2" t="str">
        <f>"汤润"</f>
        <v>汤润</v>
      </c>
      <c r="F747" s="2" t="str">
        <f>"男"</f>
        <v>男</v>
      </c>
      <c r="G747" s="1" t="str">
        <f t="shared" si="108"/>
        <v>本科</v>
      </c>
      <c r="H747" s="1" t="str">
        <f t="shared" si="109"/>
        <v>学士</v>
      </c>
      <c r="I747" s="1" t="str">
        <f>"湖北民族学院"</f>
        <v>湖北民族学院</v>
      </c>
      <c r="J747" s="1" t="str">
        <f t="shared" ref="J747:J752" si="112">"数学与应用数学"</f>
        <v>数学与应用数学</v>
      </c>
      <c r="K747" s="7"/>
    </row>
    <row r="748" spans="1:11" ht="36" customHeight="1">
      <c r="A748" s="7">
        <v>746</v>
      </c>
      <c r="B748" s="1" t="s">
        <v>28</v>
      </c>
      <c r="C748" s="1" t="s">
        <v>29</v>
      </c>
      <c r="D748" s="2" t="str">
        <f t="shared" si="111"/>
        <v>z2024316</v>
      </c>
      <c r="E748" s="2" t="str">
        <f>"罗涛"</f>
        <v>罗涛</v>
      </c>
      <c r="F748" s="2" t="str">
        <f>"男"</f>
        <v>男</v>
      </c>
      <c r="G748" s="1" t="str">
        <f t="shared" si="108"/>
        <v>本科</v>
      </c>
      <c r="H748" s="1" t="str">
        <f t="shared" si="109"/>
        <v>学士</v>
      </c>
      <c r="I748" s="1" t="str">
        <f>"石家庄大学"</f>
        <v>石家庄大学</v>
      </c>
      <c r="J748" s="1" t="str">
        <f t="shared" si="112"/>
        <v>数学与应用数学</v>
      </c>
      <c r="K748" s="7"/>
    </row>
    <row r="749" spans="1:11" ht="36" customHeight="1">
      <c r="A749" s="7">
        <v>747</v>
      </c>
      <c r="B749" s="1" t="s">
        <v>28</v>
      </c>
      <c r="C749" s="1" t="s">
        <v>29</v>
      </c>
      <c r="D749" s="2" t="str">
        <f t="shared" si="111"/>
        <v>z2024316</v>
      </c>
      <c r="E749" s="2" t="str">
        <f>"周伟韬"</f>
        <v>周伟韬</v>
      </c>
      <c r="F749" s="2" t="str">
        <f>"男"</f>
        <v>男</v>
      </c>
      <c r="G749" s="1" t="str">
        <f t="shared" si="108"/>
        <v>本科</v>
      </c>
      <c r="H749" s="1" t="str">
        <f t="shared" si="109"/>
        <v>学士</v>
      </c>
      <c r="I749" s="1" t="str">
        <f>"湖北民族大学"</f>
        <v>湖北民族大学</v>
      </c>
      <c r="J749" s="1" t="str">
        <f t="shared" si="112"/>
        <v>数学与应用数学</v>
      </c>
      <c r="K749" s="7"/>
    </row>
    <row r="750" spans="1:11" ht="36" customHeight="1">
      <c r="A750" s="7">
        <v>748</v>
      </c>
      <c r="B750" s="1" t="s">
        <v>28</v>
      </c>
      <c r="C750" s="1" t="s">
        <v>29</v>
      </c>
      <c r="D750" s="2" t="str">
        <f t="shared" si="111"/>
        <v>z2024316</v>
      </c>
      <c r="E750" s="2" t="str">
        <f>"卢胜乐"</f>
        <v>卢胜乐</v>
      </c>
      <c r="F750" s="2" t="str">
        <f>"女"</f>
        <v>女</v>
      </c>
      <c r="G750" s="1" t="str">
        <f t="shared" si="108"/>
        <v>本科</v>
      </c>
      <c r="H750" s="1" t="str">
        <f t="shared" si="109"/>
        <v>学士</v>
      </c>
      <c r="I750" s="1" t="str">
        <f>"湖北工程学院"</f>
        <v>湖北工程学院</v>
      </c>
      <c r="J750" s="1" t="str">
        <f t="shared" si="112"/>
        <v>数学与应用数学</v>
      </c>
      <c r="K750" s="7"/>
    </row>
    <row r="751" spans="1:11" ht="36" customHeight="1">
      <c r="A751" s="7">
        <v>749</v>
      </c>
      <c r="B751" s="1" t="s">
        <v>28</v>
      </c>
      <c r="C751" s="1" t="s">
        <v>29</v>
      </c>
      <c r="D751" s="2" t="str">
        <f t="shared" si="111"/>
        <v>z2024316</v>
      </c>
      <c r="E751" s="2" t="str">
        <f>"张洁"</f>
        <v>张洁</v>
      </c>
      <c r="F751" s="2" t="str">
        <f>"女"</f>
        <v>女</v>
      </c>
      <c r="G751" s="1" t="str">
        <f t="shared" si="108"/>
        <v>本科</v>
      </c>
      <c r="H751" s="1" t="str">
        <f t="shared" si="109"/>
        <v>学士</v>
      </c>
      <c r="I751" s="1" t="str">
        <f>"湖北民族学院"</f>
        <v>湖北民族学院</v>
      </c>
      <c r="J751" s="1" t="str">
        <f t="shared" si="112"/>
        <v>数学与应用数学</v>
      </c>
      <c r="K751" s="7"/>
    </row>
    <row r="752" spans="1:11" ht="36" customHeight="1">
      <c r="A752" s="7">
        <v>750</v>
      </c>
      <c r="B752" s="1" t="s">
        <v>28</v>
      </c>
      <c r="C752" s="1" t="s">
        <v>29</v>
      </c>
      <c r="D752" s="2" t="str">
        <f t="shared" si="111"/>
        <v>z2024316</v>
      </c>
      <c r="E752" s="2" t="str">
        <f>"严应胧"</f>
        <v>严应胧</v>
      </c>
      <c r="F752" s="2" t="str">
        <f>"男"</f>
        <v>男</v>
      </c>
      <c r="G752" s="1" t="str">
        <f t="shared" si="108"/>
        <v>本科</v>
      </c>
      <c r="H752" s="1" t="str">
        <f t="shared" si="109"/>
        <v>学士</v>
      </c>
      <c r="I752" s="1" t="str">
        <f>"重庆人文科技学院"</f>
        <v>重庆人文科技学院</v>
      </c>
      <c r="J752" s="1" t="str">
        <f t="shared" si="112"/>
        <v>数学与应用数学</v>
      </c>
      <c r="K752" s="7"/>
    </row>
    <row r="753" spans="1:11" ht="36" customHeight="1">
      <c r="A753" s="7">
        <v>751</v>
      </c>
      <c r="B753" s="1" t="s">
        <v>28</v>
      </c>
      <c r="C753" s="1" t="s">
        <v>29</v>
      </c>
      <c r="D753" s="2" t="str">
        <f t="shared" si="111"/>
        <v>z2024316</v>
      </c>
      <c r="E753" s="2" t="str">
        <f>"刘清源"</f>
        <v>刘清源</v>
      </c>
      <c r="F753" s="2" t="str">
        <f>"女"</f>
        <v>女</v>
      </c>
      <c r="G753" s="1" t="str">
        <f>"硕士研究生"</f>
        <v>硕士研究生</v>
      </c>
      <c r="H753" s="1" t="str">
        <f>"硕士"</f>
        <v>硕士</v>
      </c>
      <c r="I753" s="1" t="str">
        <f>"湖北大学"</f>
        <v>湖北大学</v>
      </c>
      <c r="J753" s="1" t="str">
        <f>"数学"</f>
        <v>数学</v>
      </c>
      <c r="K753" s="7"/>
    </row>
    <row r="754" spans="1:11" ht="36" customHeight="1">
      <c r="A754" s="7">
        <v>752</v>
      </c>
      <c r="B754" s="1" t="s">
        <v>28</v>
      </c>
      <c r="C754" s="1" t="s">
        <v>29</v>
      </c>
      <c r="D754" s="2" t="str">
        <f t="shared" si="111"/>
        <v>z2024316</v>
      </c>
      <c r="E754" s="2" t="str">
        <f>"谢成涛"</f>
        <v>谢成涛</v>
      </c>
      <c r="F754" s="2" t="str">
        <f>"男"</f>
        <v>男</v>
      </c>
      <c r="G754" s="1" t="str">
        <f t="shared" ref="G754:G768" si="113">"本科"</f>
        <v>本科</v>
      </c>
      <c r="H754" s="1" t="str">
        <f t="shared" ref="H754:H765" si="114">"学士"</f>
        <v>学士</v>
      </c>
      <c r="I754" s="1" t="str">
        <f>"湖北大学"</f>
        <v>湖北大学</v>
      </c>
      <c r="J754" s="1" t="str">
        <f t="shared" ref="J754:J763" si="115">"数学与应用数学"</f>
        <v>数学与应用数学</v>
      </c>
      <c r="K754" s="7"/>
    </row>
    <row r="755" spans="1:11" ht="36" customHeight="1">
      <c r="A755" s="7">
        <v>753</v>
      </c>
      <c r="B755" s="1" t="s">
        <v>28</v>
      </c>
      <c r="C755" s="1" t="s">
        <v>29</v>
      </c>
      <c r="D755" s="2" t="str">
        <f t="shared" si="111"/>
        <v>z2024316</v>
      </c>
      <c r="E755" s="2" t="str">
        <f>"曾悦"</f>
        <v>曾悦</v>
      </c>
      <c r="F755" s="2" t="str">
        <f>"女"</f>
        <v>女</v>
      </c>
      <c r="G755" s="1" t="str">
        <f t="shared" si="113"/>
        <v>本科</v>
      </c>
      <c r="H755" s="1" t="str">
        <f t="shared" si="114"/>
        <v>学士</v>
      </c>
      <c r="I755" s="1" t="str">
        <f>"湖北师范大学文理学院"</f>
        <v>湖北师范大学文理学院</v>
      </c>
      <c r="J755" s="1" t="str">
        <f t="shared" si="115"/>
        <v>数学与应用数学</v>
      </c>
      <c r="K755" s="7"/>
    </row>
    <row r="756" spans="1:11" ht="36" customHeight="1">
      <c r="A756" s="7">
        <v>754</v>
      </c>
      <c r="B756" s="1" t="s">
        <v>28</v>
      </c>
      <c r="C756" s="1" t="s">
        <v>29</v>
      </c>
      <c r="D756" s="2" t="str">
        <f t="shared" si="111"/>
        <v>z2024316</v>
      </c>
      <c r="E756" s="2" t="str">
        <f>"龚奇慧"</f>
        <v>龚奇慧</v>
      </c>
      <c r="F756" s="2" t="str">
        <f>"女"</f>
        <v>女</v>
      </c>
      <c r="G756" s="1" t="str">
        <f t="shared" si="113"/>
        <v>本科</v>
      </c>
      <c r="H756" s="1" t="str">
        <f t="shared" si="114"/>
        <v>学士</v>
      </c>
      <c r="I756" s="1" t="str">
        <f>"长江大学"</f>
        <v>长江大学</v>
      </c>
      <c r="J756" s="1" t="str">
        <f t="shared" si="115"/>
        <v>数学与应用数学</v>
      </c>
      <c r="K756" s="7"/>
    </row>
    <row r="757" spans="1:11" ht="36" customHeight="1">
      <c r="A757" s="7">
        <v>755</v>
      </c>
      <c r="B757" s="1" t="s">
        <v>28</v>
      </c>
      <c r="C757" s="1" t="s">
        <v>29</v>
      </c>
      <c r="D757" s="2" t="str">
        <f t="shared" si="111"/>
        <v>z2024316</v>
      </c>
      <c r="E757" s="2" t="str">
        <f>"赵文嘉"</f>
        <v>赵文嘉</v>
      </c>
      <c r="F757" s="2" t="str">
        <f>"女"</f>
        <v>女</v>
      </c>
      <c r="G757" s="1" t="str">
        <f t="shared" si="113"/>
        <v>本科</v>
      </c>
      <c r="H757" s="1" t="str">
        <f t="shared" si="114"/>
        <v>学士</v>
      </c>
      <c r="I757" s="1" t="str">
        <f>"黄冈师范学院"</f>
        <v>黄冈师范学院</v>
      </c>
      <c r="J757" s="1" t="str">
        <f t="shared" si="115"/>
        <v>数学与应用数学</v>
      </c>
      <c r="K757" s="7"/>
    </row>
    <row r="758" spans="1:11" ht="36" customHeight="1">
      <c r="A758" s="7">
        <v>756</v>
      </c>
      <c r="B758" s="1" t="s">
        <v>28</v>
      </c>
      <c r="C758" s="1" t="s">
        <v>29</v>
      </c>
      <c r="D758" s="2" t="str">
        <f t="shared" si="111"/>
        <v>z2024316</v>
      </c>
      <c r="E758" s="2" t="str">
        <f>"郑成苗"</f>
        <v>郑成苗</v>
      </c>
      <c r="F758" s="2" t="str">
        <f>"女"</f>
        <v>女</v>
      </c>
      <c r="G758" s="1" t="str">
        <f t="shared" si="113"/>
        <v>本科</v>
      </c>
      <c r="H758" s="1" t="str">
        <f t="shared" si="114"/>
        <v>学士</v>
      </c>
      <c r="I758" s="1" t="str">
        <f>"汉江师范学院"</f>
        <v>汉江师范学院</v>
      </c>
      <c r="J758" s="1" t="str">
        <f t="shared" si="115"/>
        <v>数学与应用数学</v>
      </c>
      <c r="K758" s="7"/>
    </row>
    <row r="759" spans="1:11" ht="36" customHeight="1">
      <c r="A759" s="7">
        <v>757</v>
      </c>
      <c r="B759" s="1" t="s">
        <v>28</v>
      </c>
      <c r="C759" s="1" t="s">
        <v>29</v>
      </c>
      <c r="D759" s="2" t="str">
        <f t="shared" si="111"/>
        <v>z2024316</v>
      </c>
      <c r="E759" s="2" t="str">
        <f>"邓莲元"</f>
        <v>邓莲元</v>
      </c>
      <c r="F759" s="2" t="str">
        <f>"女"</f>
        <v>女</v>
      </c>
      <c r="G759" s="1" t="str">
        <f t="shared" si="113"/>
        <v>本科</v>
      </c>
      <c r="H759" s="1" t="str">
        <f t="shared" si="114"/>
        <v>学士</v>
      </c>
      <c r="I759" s="1" t="str">
        <f>"中南民族大学"</f>
        <v>中南民族大学</v>
      </c>
      <c r="J759" s="1" t="str">
        <f t="shared" si="115"/>
        <v>数学与应用数学</v>
      </c>
      <c r="K759" s="7"/>
    </row>
    <row r="760" spans="1:11" ht="36" customHeight="1">
      <c r="A760" s="7">
        <v>758</v>
      </c>
      <c r="B760" s="1" t="s">
        <v>28</v>
      </c>
      <c r="C760" s="1" t="s">
        <v>29</v>
      </c>
      <c r="D760" s="2" t="str">
        <f t="shared" si="111"/>
        <v>z2024316</v>
      </c>
      <c r="E760" s="2" t="str">
        <f>"朱仲谱"</f>
        <v>朱仲谱</v>
      </c>
      <c r="F760" s="2" t="str">
        <f>"男"</f>
        <v>男</v>
      </c>
      <c r="G760" s="1" t="str">
        <f t="shared" si="113"/>
        <v>本科</v>
      </c>
      <c r="H760" s="1" t="str">
        <f t="shared" si="114"/>
        <v>学士</v>
      </c>
      <c r="I760" s="1" t="str">
        <f>"甘肃民族师范学院"</f>
        <v>甘肃民族师范学院</v>
      </c>
      <c r="J760" s="1" t="str">
        <f t="shared" si="115"/>
        <v>数学与应用数学</v>
      </c>
      <c r="K760" s="7"/>
    </row>
    <row r="761" spans="1:11" ht="36" customHeight="1">
      <c r="A761" s="7">
        <v>759</v>
      </c>
      <c r="B761" s="1" t="s">
        <v>28</v>
      </c>
      <c r="C761" s="1" t="s">
        <v>29</v>
      </c>
      <c r="D761" s="2" t="str">
        <f t="shared" si="111"/>
        <v>z2024316</v>
      </c>
      <c r="E761" s="2" t="str">
        <f>"宋佳"</f>
        <v>宋佳</v>
      </c>
      <c r="F761" s="2" t="str">
        <f t="shared" ref="F761:F769" si="116">"女"</f>
        <v>女</v>
      </c>
      <c r="G761" s="1" t="str">
        <f t="shared" si="113"/>
        <v>本科</v>
      </c>
      <c r="H761" s="1" t="str">
        <f t="shared" si="114"/>
        <v>学士</v>
      </c>
      <c r="I761" s="1" t="str">
        <f>"湖北民族大学"</f>
        <v>湖北民族大学</v>
      </c>
      <c r="J761" s="1" t="str">
        <f t="shared" si="115"/>
        <v>数学与应用数学</v>
      </c>
      <c r="K761" s="7"/>
    </row>
    <row r="762" spans="1:11" ht="36" customHeight="1">
      <c r="A762" s="7">
        <v>760</v>
      </c>
      <c r="B762" s="1" t="s">
        <v>28</v>
      </c>
      <c r="C762" s="1" t="s">
        <v>29</v>
      </c>
      <c r="D762" s="2" t="str">
        <f t="shared" si="111"/>
        <v>z2024316</v>
      </c>
      <c r="E762" s="2" t="str">
        <f>"黄亚"</f>
        <v>黄亚</v>
      </c>
      <c r="F762" s="2" t="str">
        <f t="shared" si="116"/>
        <v>女</v>
      </c>
      <c r="G762" s="1" t="str">
        <f t="shared" si="113"/>
        <v>本科</v>
      </c>
      <c r="H762" s="1" t="str">
        <f t="shared" si="114"/>
        <v>学士</v>
      </c>
      <c r="I762" s="1" t="str">
        <f>"黄冈师范学院"</f>
        <v>黄冈师范学院</v>
      </c>
      <c r="J762" s="1" t="str">
        <f t="shared" si="115"/>
        <v>数学与应用数学</v>
      </c>
      <c r="K762" s="7"/>
    </row>
    <row r="763" spans="1:11" ht="36" customHeight="1">
      <c r="A763" s="7">
        <v>761</v>
      </c>
      <c r="B763" s="1" t="s">
        <v>28</v>
      </c>
      <c r="C763" s="1" t="s">
        <v>29</v>
      </c>
      <c r="D763" s="2" t="str">
        <f t="shared" si="111"/>
        <v>z2024316</v>
      </c>
      <c r="E763" s="2" t="str">
        <f>"李林欣"</f>
        <v>李林欣</v>
      </c>
      <c r="F763" s="2" t="str">
        <f t="shared" si="116"/>
        <v>女</v>
      </c>
      <c r="G763" s="1" t="str">
        <f t="shared" si="113"/>
        <v>本科</v>
      </c>
      <c r="H763" s="1" t="str">
        <f t="shared" si="114"/>
        <v>学士</v>
      </c>
      <c r="I763" s="1" t="str">
        <f>"湖北师范大学文理学院"</f>
        <v>湖北师范大学文理学院</v>
      </c>
      <c r="J763" s="1" t="str">
        <f t="shared" si="115"/>
        <v>数学与应用数学</v>
      </c>
      <c r="K763" s="7"/>
    </row>
    <row r="764" spans="1:11" ht="36" customHeight="1">
      <c r="A764" s="7">
        <v>762</v>
      </c>
      <c r="B764" s="1" t="s">
        <v>28</v>
      </c>
      <c r="C764" s="1" t="s">
        <v>30</v>
      </c>
      <c r="D764" s="2" t="str">
        <f t="shared" ref="D764:D776" si="117">"z2024317"</f>
        <v>z2024317</v>
      </c>
      <c r="E764" s="2" t="str">
        <f>"曾楚雯"</f>
        <v>曾楚雯</v>
      </c>
      <c r="F764" s="2" t="str">
        <f t="shared" si="116"/>
        <v>女</v>
      </c>
      <c r="G764" s="1" t="str">
        <f t="shared" si="113"/>
        <v>本科</v>
      </c>
      <c r="H764" s="1" t="str">
        <f t="shared" si="114"/>
        <v>学士</v>
      </c>
      <c r="I764" s="1" t="str">
        <f>"长江大学文理学院"</f>
        <v>长江大学文理学院</v>
      </c>
      <c r="J764" s="1" t="str">
        <f>"应用心理学"</f>
        <v>应用心理学</v>
      </c>
      <c r="K764" s="7"/>
    </row>
    <row r="765" spans="1:11" ht="36" customHeight="1">
      <c r="A765" s="7">
        <v>763</v>
      </c>
      <c r="B765" s="1" t="s">
        <v>28</v>
      </c>
      <c r="C765" s="1" t="s">
        <v>30</v>
      </c>
      <c r="D765" s="2" t="str">
        <f t="shared" si="117"/>
        <v>z2024317</v>
      </c>
      <c r="E765" s="2" t="str">
        <f>"何苗"</f>
        <v>何苗</v>
      </c>
      <c r="F765" s="2" t="str">
        <f t="shared" si="116"/>
        <v>女</v>
      </c>
      <c r="G765" s="1" t="str">
        <f t="shared" si="113"/>
        <v>本科</v>
      </c>
      <c r="H765" s="1" t="str">
        <f t="shared" si="114"/>
        <v>学士</v>
      </c>
      <c r="I765" s="1" t="str">
        <f>"长江大学"</f>
        <v>长江大学</v>
      </c>
      <c r="J765" s="1" t="str">
        <f>"应用心理学"</f>
        <v>应用心理学</v>
      </c>
      <c r="K765" s="7"/>
    </row>
    <row r="766" spans="1:11" ht="36" customHeight="1">
      <c r="A766" s="7">
        <v>764</v>
      </c>
      <c r="B766" s="1" t="s">
        <v>28</v>
      </c>
      <c r="C766" s="1" t="s">
        <v>30</v>
      </c>
      <c r="D766" s="2" t="str">
        <f t="shared" si="117"/>
        <v>z2024317</v>
      </c>
      <c r="E766" s="2" t="str">
        <f>"周诗佳"</f>
        <v>周诗佳</v>
      </c>
      <c r="F766" s="2" t="str">
        <f t="shared" si="116"/>
        <v>女</v>
      </c>
      <c r="G766" s="1" t="str">
        <f t="shared" si="113"/>
        <v>本科</v>
      </c>
      <c r="H766" s="1" t="str">
        <f>"无"</f>
        <v>无</v>
      </c>
      <c r="I766" s="1" t="str">
        <f>"湖北第二师范学院"</f>
        <v>湖北第二师范学院</v>
      </c>
      <c r="J766" s="1" t="str">
        <f>"应用心理学"</f>
        <v>应用心理学</v>
      </c>
      <c r="K766" s="7"/>
    </row>
    <row r="767" spans="1:11" ht="36" customHeight="1">
      <c r="A767" s="7">
        <v>765</v>
      </c>
      <c r="B767" s="1" t="s">
        <v>28</v>
      </c>
      <c r="C767" s="1" t="s">
        <v>30</v>
      </c>
      <c r="D767" s="2" t="str">
        <f t="shared" si="117"/>
        <v>z2024317</v>
      </c>
      <c r="E767" s="2" t="str">
        <f>"陈力瑞"</f>
        <v>陈力瑞</v>
      </c>
      <c r="F767" s="2" t="str">
        <f t="shared" si="116"/>
        <v>女</v>
      </c>
      <c r="G767" s="1" t="str">
        <f t="shared" si="113"/>
        <v>本科</v>
      </c>
      <c r="H767" s="1" t="str">
        <f>"学士"</f>
        <v>学士</v>
      </c>
      <c r="I767" s="1" t="str">
        <f>"中南民族大学"</f>
        <v>中南民族大学</v>
      </c>
      <c r="J767" s="1" t="str">
        <f>"应用心理学"</f>
        <v>应用心理学</v>
      </c>
      <c r="K767" s="7"/>
    </row>
    <row r="768" spans="1:11" ht="36" customHeight="1">
      <c r="A768" s="7">
        <v>766</v>
      </c>
      <c r="B768" s="1" t="s">
        <v>28</v>
      </c>
      <c r="C768" s="1" t="s">
        <v>30</v>
      </c>
      <c r="D768" s="2" t="str">
        <f t="shared" si="117"/>
        <v>z2024317</v>
      </c>
      <c r="E768" s="2" t="str">
        <f>"梁瀚文"</f>
        <v>梁瀚文</v>
      </c>
      <c r="F768" s="2" t="str">
        <f t="shared" si="116"/>
        <v>女</v>
      </c>
      <c r="G768" s="1" t="str">
        <f t="shared" si="113"/>
        <v>本科</v>
      </c>
      <c r="H768" s="1" t="str">
        <f>"学士"</f>
        <v>学士</v>
      </c>
      <c r="I768" s="1" t="str">
        <f>"重庆师范大学"</f>
        <v>重庆师范大学</v>
      </c>
      <c r="J768" s="1" t="str">
        <f>"应用心理学"</f>
        <v>应用心理学</v>
      </c>
      <c r="K768" s="7"/>
    </row>
    <row r="769" spans="1:11" ht="36" customHeight="1">
      <c r="A769" s="7">
        <v>767</v>
      </c>
      <c r="B769" s="1" t="s">
        <v>28</v>
      </c>
      <c r="C769" s="1" t="s">
        <v>30</v>
      </c>
      <c r="D769" s="2" t="str">
        <f t="shared" si="117"/>
        <v>z2024317</v>
      </c>
      <c r="E769" s="2" t="str">
        <f>"张鑫"</f>
        <v>张鑫</v>
      </c>
      <c r="F769" s="2" t="str">
        <f t="shared" si="116"/>
        <v>女</v>
      </c>
      <c r="G769" s="1" t="str">
        <f>"硕士研究生"</f>
        <v>硕士研究生</v>
      </c>
      <c r="H769" s="1" t="str">
        <f>"硕士"</f>
        <v>硕士</v>
      </c>
      <c r="I769" s="1" t="str">
        <f>"中南民族大学"</f>
        <v>中南民族大学</v>
      </c>
      <c r="J769" s="1" t="str">
        <f>"心理健康教育"</f>
        <v>心理健康教育</v>
      </c>
      <c r="K769" s="7"/>
    </row>
    <row r="770" spans="1:11" ht="36" customHeight="1">
      <c r="A770" s="7">
        <v>768</v>
      </c>
      <c r="B770" s="1" t="s">
        <v>28</v>
      </c>
      <c r="C770" s="1" t="s">
        <v>30</v>
      </c>
      <c r="D770" s="2" t="str">
        <f t="shared" si="117"/>
        <v>z2024317</v>
      </c>
      <c r="E770" s="2" t="str">
        <f>"冉涵汛"</f>
        <v>冉涵汛</v>
      </c>
      <c r="F770" s="2" t="str">
        <f>"男"</f>
        <v>男</v>
      </c>
      <c r="G770" s="1" t="str">
        <f t="shared" ref="G770:G780" si="118">"本科"</f>
        <v>本科</v>
      </c>
      <c r="H770" s="1" t="str">
        <f t="shared" ref="H770:H780" si="119">"学士"</f>
        <v>学士</v>
      </c>
      <c r="I770" s="1" t="str">
        <f>"延边大学"</f>
        <v>延边大学</v>
      </c>
      <c r="J770" s="1" t="str">
        <f>"心理学"</f>
        <v>心理学</v>
      </c>
      <c r="K770" s="7"/>
    </row>
    <row r="771" spans="1:11" ht="36" customHeight="1">
      <c r="A771" s="7">
        <v>769</v>
      </c>
      <c r="B771" s="1" t="s">
        <v>28</v>
      </c>
      <c r="C771" s="1" t="s">
        <v>30</v>
      </c>
      <c r="D771" s="2" t="str">
        <f t="shared" si="117"/>
        <v>z2024317</v>
      </c>
      <c r="E771" s="2" t="str">
        <f>"汤红秀"</f>
        <v>汤红秀</v>
      </c>
      <c r="F771" s="2" t="str">
        <f t="shared" ref="F771:F777" si="120">"女"</f>
        <v>女</v>
      </c>
      <c r="G771" s="1" t="str">
        <f t="shared" si="118"/>
        <v>本科</v>
      </c>
      <c r="H771" s="1" t="str">
        <f t="shared" si="119"/>
        <v>学士</v>
      </c>
      <c r="I771" s="1" t="str">
        <f>"长江大学"</f>
        <v>长江大学</v>
      </c>
      <c r="J771" s="1" t="str">
        <f t="shared" ref="J771:J776" si="121">"应用心理学"</f>
        <v>应用心理学</v>
      </c>
      <c r="K771" s="7"/>
    </row>
    <row r="772" spans="1:11" ht="36" customHeight="1">
      <c r="A772" s="7">
        <v>770</v>
      </c>
      <c r="B772" s="1" t="s">
        <v>28</v>
      </c>
      <c r="C772" s="1" t="s">
        <v>30</v>
      </c>
      <c r="D772" s="2" t="str">
        <f t="shared" si="117"/>
        <v>z2024317</v>
      </c>
      <c r="E772" s="2" t="str">
        <f>"钱沁沂"</f>
        <v>钱沁沂</v>
      </c>
      <c r="F772" s="2" t="str">
        <f t="shared" si="120"/>
        <v>女</v>
      </c>
      <c r="G772" s="1" t="str">
        <f t="shared" si="118"/>
        <v>本科</v>
      </c>
      <c r="H772" s="1" t="str">
        <f t="shared" si="119"/>
        <v>学士</v>
      </c>
      <c r="I772" s="1" t="str">
        <f>"中华女子学院"</f>
        <v>中华女子学院</v>
      </c>
      <c r="J772" s="1" t="str">
        <f t="shared" si="121"/>
        <v>应用心理学</v>
      </c>
      <c r="K772" s="7"/>
    </row>
    <row r="773" spans="1:11" ht="36" customHeight="1">
      <c r="A773" s="7">
        <v>771</v>
      </c>
      <c r="B773" s="1" t="s">
        <v>28</v>
      </c>
      <c r="C773" s="1" t="s">
        <v>30</v>
      </c>
      <c r="D773" s="2" t="str">
        <f t="shared" si="117"/>
        <v>z2024317</v>
      </c>
      <c r="E773" s="2" t="str">
        <f>"杨沁澜"</f>
        <v>杨沁澜</v>
      </c>
      <c r="F773" s="2" t="str">
        <f t="shared" si="120"/>
        <v>女</v>
      </c>
      <c r="G773" s="1" t="str">
        <f t="shared" si="118"/>
        <v>本科</v>
      </c>
      <c r="H773" s="1" t="str">
        <f t="shared" si="119"/>
        <v>学士</v>
      </c>
      <c r="I773" s="1" t="str">
        <f>"贵州中医药大学时珍学院"</f>
        <v>贵州中医药大学时珍学院</v>
      </c>
      <c r="J773" s="1" t="str">
        <f t="shared" si="121"/>
        <v>应用心理学</v>
      </c>
      <c r="K773" s="7"/>
    </row>
    <row r="774" spans="1:11" ht="36" customHeight="1">
      <c r="A774" s="7">
        <v>772</v>
      </c>
      <c r="B774" s="1" t="s">
        <v>28</v>
      </c>
      <c r="C774" s="1" t="s">
        <v>30</v>
      </c>
      <c r="D774" s="2" t="str">
        <f t="shared" si="117"/>
        <v>z2024317</v>
      </c>
      <c r="E774" s="2" t="str">
        <f>"许利东"</f>
        <v>许利东</v>
      </c>
      <c r="F774" s="2" t="str">
        <f t="shared" si="120"/>
        <v>女</v>
      </c>
      <c r="G774" s="1" t="str">
        <f t="shared" si="118"/>
        <v>本科</v>
      </c>
      <c r="H774" s="1" t="str">
        <f t="shared" si="119"/>
        <v>学士</v>
      </c>
      <c r="I774" s="1" t="str">
        <f>"西昌学院"</f>
        <v>西昌学院</v>
      </c>
      <c r="J774" s="1" t="str">
        <f t="shared" si="121"/>
        <v>应用心理学</v>
      </c>
      <c r="K774" s="7"/>
    </row>
    <row r="775" spans="1:11" ht="36" customHeight="1">
      <c r="A775" s="7">
        <v>773</v>
      </c>
      <c r="B775" s="1" t="s">
        <v>28</v>
      </c>
      <c r="C775" s="1" t="s">
        <v>30</v>
      </c>
      <c r="D775" s="2" t="str">
        <f t="shared" si="117"/>
        <v>z2024317</v>
      </c>
      <c r="E775" s="2" t="str">
        <f>"刘雨萌"</f>
        <v>刘雨萌</v>
      </c>
      <c r="F775" s="2" t="str">
        <f t="shared" si="120"/>
        <v>女</v>
      </c>
      <c r="G775" s="1" t="str">
        <f t="shared" si="118"/>
        <v>本科</v>
      </c>
      <c r="H775" s="1" t="str">
        <f t="shared" si="119"/>
        <v>学士</v>
      </c>
      <c r="I775" s="1" t="str">
        <f>"湖北医药学院"</f>
        <v>湖北医药学院</v>
      </c>
      <c r="J775" s="1" t="str">
        <f t="shared" si="121"/>
        <v>应用心理学</v>
      </c>
      <c r="K775" s="7"/>
    </row>
    <row r="776" spans="1:11" ht="36" customHeight="1">
      <c r="A776" s="7">
        <v>774</v>
      </c>
      <c r="B776" s="1" t="s">
        <v>28</v>
      </c>
      <c r="C776" s="1" t="s">
        <v>30</v>
      </c>
      <c r="D776" s="2" t="str">
        <f t="shared" si="117"/>
        <v>z2024317</v>
      </c>
      <c r="E776" s="2" t="str">
        <f>"杨丽"</f>
        <v>杨丽</v>
      </c>
      <c r="F776" s="2" t="str">
        <f t="shared" si="120"/>
        <v>女</v>
      </c>
      <c r="G776" s="1" t="str">
        <f t="shared" si="118"/>
        <v>本科</v>
      </c>
      <c r="H776" s="1" t="str">
        <f t="shared" si="119"/>
        <v>学士</v>
      </c>
      <c r="I776" s="1" t="str">
        <f>"西南大学"</f>
        <v>西南大学</v>
      </c>
      <c r="J776" s="1" t="str">
        <f t="shared" si="121"/>
        <v>应用心理学</v>
      </c>
      <c r="K776" s="7"/>
    </row>
    <row r="777" spans="1:11" ht="36" customHeight="1">
      <c r="A777" s="7">
        <v>775</v>
      </c>
      <c r="B777" s="1" t="s">
        <v>28</v>
      </c>
      <c r="C777" s="1" t="s">
        <v>31</v>
      </c>
      <c r="D777" s="2" t="str">
        <f t="shared" ref="D777:D783" si="122">"z2024320"</f>
        <v>z2024320</v>
      </c>
      <c r="E777" s="2" t="str">
        <f>"田玉珍"</f>
        <v>田玉珍</v>
      </c>
      <c r="F777" s="2" t="str">
        <f t="shared" si="120"/>
        <v>女</v>
      </c>
      <c r="G777" s="1" t="str">
        <f t="shared" si="118"/>
        <v>本科</v>
      </c>
      <c r="H777" s="1" t="str">
        <f t="shared" si="119"/>
        <v>学士</v>
      </c>
      <c r="I777" s="1" t="str">
        <f>"武汉科技大学城市学院"</f>
        <v>武汉科技大学城市学院</v>
      </c>
      <c r="J777" s="1" t="str">
        <f>"软件工程"</f>
        <v>软件工程</v>
      </c>
      <c r="K777" s="7"/>
    </row>
    <row r="778" spans="1:11" ht="36" customHeight="1">
      <c r="A778" s="7">
        <v>776</v>
      </c>
      <c r="B778" s="1" t="s">
        <v>28</v>
      </c>
      <c r="C778" s="1" t="s">
        <v>31</v>
      </c>
      <c r="D778" s="2" t="str">
        <f t="shared" si="122"/>
        <v>z2024320</v>
      </c>
      <c r="E778" s="2" t="str">
        <f>"李先洁"</f>
        <v>李先洁</v>
      </c>
      <c r="F778" s="2" t="str">
        <f>"男"</f>
        <v>男</v>
      </c>
      <c r="G778" s="1" t="str">
        <f t="shared" si="118"/>
        <v>本科</v>
      </c>
      <c r="H778" s="1" t="str">
        <f t="shared" si="119"/>
        <v>学士</v>
      </c>
      <c r="I778" s="1" t="str">
        <f>"贵州工程应用技术学院"</f>
        <v>贵州工程应用技术学院</v>
      </c>
      <c r="J778" s="1" t="str">
        <f>"计算机科学与技术"</f>
        <v>计算机科学与技术</v>
      </c>
      <c r="K778" s="7"/>
    </row>
    <row r="779" spans="1:11" ht="36" customHeight="1">
      <c r="A779" s="7">
        <v>777</v>
      </c>
      <c r="B779" s="1" t="s">
        <v>28</v>
      </c>
      <c r="C779" s="1" t="s">
        <v>31</v>
      </c>
      <c r="D779" s="2" t="str">
        <f t="shared" si="122"/>
        <v>z2024320</v>
      </c>
      <c r="E779" s="2" t="str">
        <f>"伍俊洁"</f>
        <v>伍俊洁</v>
      </c>
      <c r="F779" s="2" t="str">
        <f>"女"</f>
        <v>女</v>
      </c>
      <c r="G779" s="1" t="str">
        <f t="shared" si="118"/>
        <v>本科</v>
      </c>
      <c r="H779" s="1" t="str">
        <f t="shared" si="119"/>
        <v>学士</v>
      </c>
      <c r="I779" s="1" t="str">
        <f>"四川旅游学院"</f>
        <v>四川旅游学院</v>
      </c>
      <c r="J779" s="1" t="str">
        <f>"数字媒体技术"</f>
        <v>数字媒体技术</v>
      </c>
      <c r="K779" s="7"/>
    </row>
    <row r="780" spans="1:11" ht="36" customHeight="1">
      <c r="A780" s="7">
        <v>778</v>
      </c>
      <c r="B780" s="1" t="s">
        <v>28</v>
      </c>
      <c r="C780" s="1" t="s">
        <v>31</v>
      </c>
      <c r="D780" s="2" t="str">
        <f t="shared" si="122"/>
        <v>z2024320</v>
      </c>
      <c r="E780" s="2" t="str">
        <f>"余庆"</f>
        <v>余庆</v>
      </c>
      <c r="F780" s="2" t="str">
        <f>"男"</f>
        <v>男</v>
      </c>
      <c r="G780" s="1" t="str">
        <f t="shared" si="118"/>
        <v>本科</v>
      </c>
      <c r="H780" s="1" t="str">
        <f t="shared" si="119"/>
        <v>学士</v>
      </c>
      <c r="I780" s="1" t="str">
        <f>"贵州理工学院"</f>
        <v>贵州理工学院</v>
      </c>
      <c r="J780" s="1" t="str">
        <f>"网络工程"</f>
        <v>网络工程</v>
      </c>
      <c r="K780" s="7"/>
    </row>
    <row r="781" spans="1:11" ht="36" customHeight="1">
      <c r="A781" s="7">
        <v>779</v>
      </c>
      <c r="B781" s="1" t="s">
        <v>28</v>
      </c>
      <c r="C781" s="1" t="s">
        <v>31</v>
      </c>
      <c r="D781" s="2" t="str">
        <f t="shared" si="122"/>
        <v>z2024320</v>
      </c>
      <c r="E781" s="2" t="str">
        <f>"田园"</f>
        <v>田园</v>
      </c>
      <c r="F781" s="2" t="str">
        <f>"男"</f>
        <v>男</v>
      </c>
      <c r="G781" s="1" t="str">
        <f>"硕士研究生"</f>
        <v>硕士研究生</v>
      </c>
      <c r="H781" s="1" t="str">
        <f>"硕士"</f>
        <v>硕士</v>
      </c>
      <c r="I781" s="1" t="str">
        <f>"三峡大学"</f>
        <v>三峡大学</v>
      </c>
      <c r="J781" s="1" t="str">
        <f>"计算机技术"</f>
        <v>计算机技术</v>
      </c>
      <c r="K781" s="7"/>
    </row>
    <row r="782" spans="1:11" ht="36" customHeight="1">
      <c r="A782" s="7">
        <v>780</v>
      </c>
      <c r="B782" s="1" t="s">
        <v>28</v>
      </c>
      <c r="C782" s="1" t="s">
        <v>31</v>
      </c>
      <c r="D782" s="2" t="str">
        <f t="shared" si="122"/>
        <v>z2024320</v>
      </c>
      <c r="E782" s="2" t="str">
        <f>"李琼英"</f>
        <v>李琼英</v>
      </c>
      <c r="F782" s="2" t="str">
        <f>"女"</f>
        <v>女</v>
      </c>
      <c r="G782" s="1" t="str">
        <f>"本科"</f>
        <v>本科</v>
      </c>
      <c r="H782" s="1" t="str">
        <f>"学士"</f>
        <v>学士</v>
      </c>
      <c r="I782" s="1" t="str">
        <f>"湖北文理学院"</f>
        <v>湖北文理学院</v>
      </c>
      <c r="J782" s="1" t="str">
        <f>"教育技术学"</f>
        <v>教育技术学</v>
      </c>
      <c r="K782" s="7"/>
    </row>
    <row r="783" spans="1:11" ht="36" customHeight="1">
      <c r="A783" s="7">
        <v>781</v>
      </c>
      <c r="B783" s="1" t="s">
        <v>28</v>
      </c>
      <c r="C783" s="1" t="s">
        <v>31</v>
      </c>
      <c r="D783" s="2" t="str">
        <f t="shared" si="122"/>
        <v>z2024320</v>
      </c>
      <c r="E783" s="2" t="str">
        <f>"高玉玲"</f>
        <v>高玉玲</v>
      </c>
      <c r="F783" s="2" t="str">
        <f>"女"</f>
        <v>女</v>
      </c>
      <c r="G783" s="1" t="str">
        <f>"本科"</f>
        <v>本科</v>
      </c>
      <c r="H783" s="1" t="str">
        <f>"学士"</f>
        <v>学士</v>
      </c>
      <c r="I783" s="1" t="str">
        <f>"湖北文理学院"</f>
        <v>湖北文理学院</v>
      </c>
      <c r="J783" s="1" t="str">
        <f>"教育技术学"</f>
        <v>教育技术学</v>
      </c>
      <c r="K783" s="7"/>
    </row>
    <row r="784" spans="1:11" ht="36" customHeight="1">
      <c r="A784" s="7">
        <v>782</v>
      </c>
      <c r="B784" s="1" t="s">
        <v>28</v>
      </c>
      <c r="C784" s="1" t="s">
        <v>32</v>
      </c>
      <c r="D784" s="2" t="str">
        <f>"z2024321"</f>
        <v>z2024321</v>
      </c>
      <c r="E784" s="2" t="str">
        <f>"彭蝶"</f>
        <v>彭蝶</v>
      </c>
      <c r="F784" s="2" t="str">
        <f>"女"</f>
        <v>女</v>
      </c>
      <c r="G784" s="1" t="str">
        <f>"本科"</f>
        <v>本科</v>
      </c>
      <c r="H784" s="1" t="str">
        <f>"学士"</f>
        <v>学士</v>
      </c>
      <c r="I784" s="1" t="str">
        <f>"武昌首义学院"</f>
        <v>武昌首义学院</v>
      </c>
      <c r="J784" s="1" t="str">
        <f>"生物工程"</f>
        <v>生物工程</v>
      </c>
      <c r="K784" s="7"/>
    </row>
    <row r="785" spans="1:11" ht="36" customHeight="1">
      <c r="A785" s="7">
        <v>783</v>
      </c>
      <c r="B785" s="1" t="s">
        <v>28</v>
      </c>
      <c r="C785" s="1" t="s">
        <v>32</v>
      </c>
      <c r="D785" s="2" t="str">
        <f>"z2024321"</f>
        <v>z2024321</v>
      </c>
      <c r="E785" s="2" t="str">
        <f>"尹乐"</f>
        <v>尹乐</v>
      </c>
      <c r="F785" s="2" t="str">
        <f>"女"</f>
        <v>女</v>
      </c>
      <c r="G785" s="1" t="str">
        <f>"本科"</f>
        <v>本科</v>
      </c>
      <c r="H785" s="1" t="str">
        <f>"学士"</f>
        <v>学士</v>
      </c>
      <c r="I785" s="1" t="str">
        <f>"长江大学"</f>
        <v>长江大学</v>
      </c>
      <c r="J785" s="1" t="str">
        <f>"风景园林"</f>
        <v>风景园林</v>
      </c>
      <c r="K785" s="7"/>
    </row>
    <row r="786" spans="1:11" ht="36" customHeight="1">
      <c r="A786" s="7">
        <v>784</v>
      </c>
      <c r="B786" s="1" t="s">
        <v>28</v>
      </c>
      <c r="C786" s="1" t="s">
        <v>32</v>
      </c>
      <c r="D786" s="2" t="str">
        <f>"z2024321"</f>
        <v>z2024321</v>
      </c>
      <c r="E786" s="2" t="str">
        <f>"陈阳"</f>
        <v>陈阳</v>
      </c>
      <c r="F786" s="2" t="str">
        <f>"男"</f>
        <v>男</v>
      </c>
      <c r="G786" s="1" t="str">
        <f>"本科"</f>
        <v>本科</v>
      </c>
      <c r="H786" s="1" t="str">
        <f>"学士"</f>
        <v>学士</v>
      </c>
      <c r="I786" s="1" t="str">
        <f>"湖北民族学院"</f>
        <v>湖北民族学院</v>
      </c>
      <c r="J786" s="1" t="str">
        <f>"园林"</f>
        <v>园林</v>
      </c>
      <c r="K786" s="7"/>
    </row>
  </sheetData>
  <mergeCells count="1">
    <mergeCell ref="A1:K1"/>
  </mergeCells>
  <phoneticPr fontId="1" type="noConversion"/>
  <pageMargins left="0.19685039370078741" right="0.19685039370078741" top="0.35433070866141736" bottom="0.31496062992125984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2024-05-06T06:04:21Z</dcterms:modified>
</cp:coreProperties>
</file>