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4年度凤阳县事业单位公开招聘工作人员考试人员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<sst xmlns="http://schemas.openxmlformats.org/spreadsheetml/2006/main" count="11" uniqueCount="11">
  <si>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附件1：2024年度凤阳县事业单位公开招聘工作人员资格复审人员名单</t>
  </si>
  <si>
    <t>序号</t>
  </si>
  <si>
    <t>岗位代码</t>
  </si>
  <si>
    <t>姓名</t>
  </si>
  <si>
    <t>性别</t>
  </si>
  <si>
    <t>出生年月</t>
  </si>
  <si>
    <t>准考证号</t>
  </si>
  <si>
    <t>职业能力倾向测验</t>
  </si>
  <si>
    <t>综合应用能力</t>
  </si>
  <si>
    <t>笔试成绩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</si>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</sst>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等线"/>
      <family val="0"/>
    </font>
    <font>
      <sz val="14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6"/>
  <sheetViews>
    <sheetView tabSelected="1" zoomScale="130" zoomScaleNormal="130" workbookViewId="0" topLeftCell="A1">
      <selection activeCell="G20" sqref="G20"/>
    </sheetView>
  </sheetViews>
  <sheetFormatPr defaultColWidth="9.00390625" defaultRowHeight="15" customHeight="1"/>
  <cols>
    <col min="1" max="1" width="4.28125" style="0" customWidth="1"/>
    <col min="2" max="2" width="11.421875" style="0" customWidth="1"/>
    <col min="3" max="3" width="6.7109375" style="0" customWidth="1"/>
    <col min="4" max="4" width="4.421875" style="0" customWidth="1"/>
    <col min="5" max="5" width="7.57421875" style="3" customWidth="1"/>
    <col min="6" max="6" width="13.8515625" style="0" bestFit="1" customWidth="1"/>
    <col min="7" max="7" width="15.7109375" style="0" customWidth="1"/>
    <col min="8" max="8" width="11.8515625" style="0" customWidth="1"/>
    <col min="9" max="9" width="9.140625" style="0" customWidth="1"/>
    <col min="10" max="10" width="6.00390625" style="4" customWidth="1"/>
  </cols>
  <sheetData>
    <row r="1" spans="1:10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16" t="s">
        <v>10</v>
      </c>
    </row>
    <row r="3" spans="1:10" s="1" customFormat="1" ht="15" customHeight="1">
      <c r="A3" s="9">
        <v>1</v>
      </c>
      <c r="B3" s="10" t="str">
        <f>"202401001"</f>
        <v>202401001</v>
      </c>
      <c r="C3" s="10" t="str">
        <f>"唐健强"</f>
        <v>唐健强</v>
      </c>
      <c r="D3" s="10" t="str">
        <f>"男"</f>
        <v>男</v>
      </c>
      <c r="E3" s="11" t="str">
        <f>"2001-09-06"</f>
        <v>2001-09-06</v>
      </c>
      <c r="F3" s="10" t="str">
        <f>"202403100120"</f>
        <v>202403100120</v>
      </c>
      <c r="G3" s="12">
        <v>110.5</v>
      </c>
      <c r="H3" s="13">
        <v>115</v>
      </c>
      <c r="I3" s="17">
        <f aca="true" t="shared" si="0" ref="I3:I66">SUM(G3:H3)</f>
        <v>225.5</v>
      </c>
      <c r="J3" s="18"/>
    </row>
    <row r="4" spans="1:10" s="1" customFormat="1" ht="15" customHeight="1">
      <c r="A4" s="9">
        <v>2</v>
      </c>
      <c r="B4" s="10" t="str">
        <f>"202401001"</f>
        <v>202401001</v>
      </c>
      <c r="C4" s="10" t="str">
        <f>"訾露"</f>
        <v>訾露</v>
      </c>
      <c r="D4" s="10" t="str">
        <f>"女"</f>
        <v>女</v>
      </c>
      <c r="E4" s="11" t="str">
        <f>"2000-09-07"</f>
        <v>2000-09-07</v>
      </c>
      <c r="F4" s="10" t="str">
        <f>"202403100112"</f>
        <v>202403100112</v>
      </c>
      <c r="G4" s="12">
        <v>111</v>
      </c>
      <c r="H4" s="13">
        <v>114</v>
      </c>
      <c r="I4" s="17">
        <f t="shared" si="0"/>
        <v>225</v>
      </c>
      <c r="J4" s="18"/>
    </row>
    <row r="5" spans="1:10" s="1" customFormat="1" ht="15" customHeight="1">
      <c r="A5" s="9">
        <v>3</v>
      </c>
      <c r="B5" s="10" t="str">
        <f>"202401001"</f>
        <v>202401001</v>
      </c>
      <c r="C5" s="10" t="str">
        <f>"倪月亮"</f>
        <v>倪月亮</v>
      </c>
      <c r="D5" s="10" t="str">
        <f>"女"</f>
        <v>女</v>
      </c>
      <c r="E5" s="11" t="str">
        <f>"2000-05-25"</f>
        <v>2000-05-25</v>
      </c>
      <c r="F5" s="10" t="str">
        <f>"202403100117"</f>
        <v>202403100117</v>
      </c>
      <c r="G5" s="12">
        <v>103.5</v>
      </c>
      <c r="H5" s="13">
        <v>120</v>
      </c>
      <c r="I5" s="17">
        <f t="shared" si="0"/>
        <v>223.5</v>
      </c>
      <c r="J5" s="18"/>
    </row>
    <row r="6" spans="1:10" s="1" customFormat="1" ht="15" customHeight="1">
      <c r="A6" s="9">
        <v>4</v>
      </c>
      <c r="B6" s="10" t="str">
        <f>"202401002"</f>
        <v>202401002</v>
      </c>
      <c r="C6" s="10" t="str">
        <f>"王陈晨"</f>
        <v>王陈晨</v>
      </c>
      <c r="D6" s="10" t="str">
        <f>"女"</f>
        <v>女</v>
      </c>
      <c r="E6" s="11" t="str">
        <f>"2000-10-20"</f>
        <v>2000-10-20</v>
      </c>
      <c r="F6" s="10" t="str">
        <f>"202403100201"</f>
        <v>202403100201</v>
      </c>
      <c r="G6" s="12">
        <v>110.8</v>
      </c>
      <c r="H6" s="13">
        <v>116.5</v>
      </c>
      <c r="I6" s="17">
        <f t="shared" si="0"/>
        <v>227.3</v>
      </c>
      <c r="J6" s="18"/>
    </row>
    <row r="7" spans="1:10" s="1" customFormat="1" ht="15" customHeight="1">
      <c r="A7" s="9">
        <v>5</v>
      </c>
      <c r="B7" s="10" t="str">
        <f>"202401002"</f>
        <v>202401002</v>
      </c>
      <c r="C7" s="10" t="str">
        <f>"李婷"</f>
        <v>李婷</v>
      </c>
      <c r="D7" s="10" t="str">
        <f>"女"</f>
        <v>女</v>
      </c>
      <c r="E7" s="11" t="str">
        <f>"1999-08-17"</f>
        <v>1999-08-17</v>
      </c>
      <c r="F7" s="10" t="str">
        <f>"202403100125"</f>
        <v>202403100125</v>
      </c>
      <c r="G7" s="12">
        <v>105.4</v>
      </c>
      <c r="H7" s="13">
        <v>119</v>
      </c>
      <c r="I7" s="17">
        <f t="shared" si="0"/>
        <v>224.4</v>
      </c>
      <c r="J7" s="18"/>
    </row>
    <row r="8" spans="1:10" s="1" customFormat="1" ht="15" customHeight="1">
      <c r="A8" s="9">
        <v>6</v>
      </c>
      <c r="B8" s="10" t="str">
        <f>"202401002"</f>
        <v>202401002</v>
      </c>
      <c r="C8" s="10" t="str">
        <f>"张欢"</f>
        <v>张欢</v>
      </c>
      <c r="D8" s="10" t="str">
        <f aca="true" t="shared" si="1" ref="D8:D14">"男"</f>
        <v>男</v>
      </c>
      <c r="E8" s="11" t="str">
        <f>"1999-04-23"</f>
        <v>1999-04-23</v>
      </c>
      <c r="F8" s="10" t="str">
        <f>"202403100128"</f>
        <v>202403100128</v>
      </c>
      <c r="G8" s="12">
        <v>106.8</v>
      </c>
      <c r="H8" s="13">
        <v>115</v>
      </c>
      <c r="I8" s="17">
        <f t="shared" si="0"/>
        <v>221.8</v>
      </c>
      <c r="J8" s="18"/>
    </row>
    <row r="9" spans="1:10" s="1" customFormat="1" ht="15" customHeight="1">
      <c r="A9" s="9">
        <v>7</v>
      </c>
      <c r="B9" s="10" t="str">
        <f>"202401003"</f>
        <v>202401003</v>
      </c>
      <c r="C9" s="10" t="str">
        <f>"胡雁南"</f>
        <v>胡雁南</v>
      </c>
      <c r="D9" s="10" t="str">
        <f t="shared" si="1"/>
        <v>男</v>
      </c>
      <c r="E9" s="11" t="str">
        <f>"1999-01-16"</f>
        <v>1999-01-16</v>
      </c>
      <c r="F9" s="10" t="str">
        <f>"202403100312"</f>
        <v>202403100312</v>
      </c>
      <c r="G9" s="12">
        <v>122.4</v>
      </c>
      <c r="H9" s="13">
        <v>115.5</v>
      </c>
      <c r="I9" s="17">
        <f t="shared" si="0"/>
        <v>237.9</v>
      </c>
      <c r="J9" s="18"/>
    </row>
    <row r="10" spans="1:10" s="1" customFormat="1" ht="15" customHeight="1">
      <c r="A10" s="9">
        <v>8</v>
      </c>
      <c r="B10" s="10" t="str">
        <f>"202401003"</f>
        <v>202401003</v>
      </c>
      <c r="C10" s="10" t="str">
        <f>"丰茂"</f>
        <v>丰茂</v>
      </c>
      <c r="D10" s="10" t="str">
        <f t="shared" si="1"/>
        <v>男</v>
      </c>
      <c r="E10" s="11" t="str">
        <f>"2001-05-17"</f>
        <v>2001-05-17</v>
      </c>
      <c r="F10" s="10" t="str">
        <f>"202403100308"</f>
        <v>202403100308</v>
      </c>
      <c r="G10" s="12">
        <v>116.2</v>
      </c>
      <c r="H10" s="13">
        <v>113.5</v>
      </c>
      <c r="I10" s="17">
        <f t="shared" si="0"/>
        <v>229.7</v>
      </c>
      <c r="J10" s="18"/>
    </row>
    <row r="11" spans="1:10" s="1" customFormat="1" ht="15" customHeight="1">
      <c r="A11" s="9">
        <v>9</v>
      </c>
      <c r="B11" s="10" t="str">
        <f>"202401003"</f>
        <v>202401003</v>
      </c>
      <c r="C11" s="10" t="str">
        <f>"王淙"</f>
        <v>王淙</v>
      </c>
      <c r="D11" s="10" t="str">
        <f t="shared" si="1"/>
        <v>男</v>
      </c>
      <c r="E11" s="11" t="str">
        <f>"1998-05-31"</f>
        <v>1998-05-31</v>
      </c>
      <c r="F11" s="10" t="str">
        <f>"202403100330"</f>
        <v>202403100330</v>
      </c>
      <c r="G11" s="12">
        <v>100.9</v>
      </c>
      <c r="H11" s="13">
        <v>123</v>
      </c>
      <c r="I11" s="17">
        <f t="shared" si="0"/>
        <v>223.9</v>
      </c>
      <c r="J11" s="18"/>
    </row>
    <row r="12" spans="1:10" s="1" customFormat="1" ht="15" customHeight="1">
      <c r="A12" s="9">
        <v>10</v>
      </c>
      <c r="B12" s="10" t="str">
        <f>"202401004"</f>
        <v>202401004</v>
      </c>
      <c r="C12" s="10" t="str">
        <f>"宋志凯"</f>
        <v>宋志凯</v>
      </c>
      <c r="D12" s="10" t="str">
        <f t="shared" si="1"/>
        <v>男</v>
      </c>
      <c r="E12" s="11" t="str">
        <f>"1996-06-08"</f>
        <v>1996-06-08</v>
      </c>
      <c r="F12" s="10" t="str">
        <f>"202403100413"</f>
        <v>202403100413</v>
      </c>
      <c r="G12" s="12">
        <v>106</v>
      </c>
      <c r="H12" s="13">
        <v>111</v>
      </c>
      <c r="I12" s="17">
        <f t="shared" si="0"/>
        <v>217</v>
      </c>
      <c r="J12" s="18"/>
    </row>
    <row r="13" spans="1:10" s="1" customFormat="1" ht="15" customHeight="1">
      <c r="A13" s="9">
        <v>11</v>
      </c>
      <c r="B13" s="10" t="str">
        <f>"202401004"</f>
        <v>202401004</v>
      </c>
      <c r="C13" s="10" t="str">
        <f>"沈诗耀"</f>
        <v>沈诗耀</v>
      </c>
      <c r="D13" s="10" t="str">
        <f t="shared" si="1"/>
        <v>男</v>
      </c>
      <c r="E13" s="11" t="str">
        <f>"1997-12-13"</f>
        <v>1997-12-13</v>
      </c>
      <c r="F13" s="10" t="str">
        <f>"202403100402"</f>
        <v>202403100402</v>
      </c>
      <c r="G13" s="12">
        <v>98.8</v>
      </c>
      <c r="H13" s="13">
        <v>111.5</v>
      </c>
      <c r="I13" s="17">
        <f t="shared" si="0"/>
        <v>210.3</v>
      </c>
      <c r="J13" s="18"/>
    </row>
    <row r="14" spans="1:10" s="1" customFormat="1" ht="15" customHeight="1">
      <c r="A14" s="9">
        <v>12</v>
      </c>
      <c r="B14" s="10" t="str">
        <f>"202401004"</f>
        <v>202401004</v>
      </c>
      <c r="C14" s="10" t="str">
        <f>"张元文"</f>
        <v>张元文</v>
      </c>
      <c r="D14" s="10" t="str">
        <f t="shared" si="1"/>
        <v>男</v>
      </c>
      <c r="E14" s="11" t="str">
        <f>"1997-12-23"</f>
        <v>1997-12-23</v>
      </c>
      <c r="F14" s="10" t="str">
        <f>"202403100415"</f>
        <v>202403100415</v>
      </c>
      <c r="G14" s="12">
        <v>92.2</v>
      </c>
      <c r="H14" s="13">
        <v>115.5</v>
      </c>
      <c r="I14" s="17">
        <f t="shared" si="0"/>
        <v>207.7</v>
      </c>
      <c r="J14" s="18"/>
    </row>
    <row r="15" spans="1:10" s="1" customFormat="1" ht="15" customHeight="1">
      <c r="A15" s="9">
        <v>13</v>
      </c>
      <c r="B15" s="10" t="str">
        <f>"202401005"</f>
        <v>202401005</v>
      </c>
      <c r="C15" s="10" t="str">
        <f>"潘晓雨"</f>
        <v>潘晓雨</v>
      </c>
      <c r="D15" s="10" t="str">
        <f>"女"</f>
        <v>女</v>
      </c>
      <c r="E15" s="11" t="str">
        <f>"1999-04-02"</f>
        <v>1999-04-02</v>
      </c>
      <c r="F15" s="10" t="str">
        <f>"202403100420"</f>
        <v>202403100420</v>
      </c>
      <c r="G15" s="12">
        <v>113.2</v>
      </c>
      <c r="H15" s="13">
        <v>118.5</v>
      </c>
      <c r="I15" s="17">
        <f t="shared" si="0"/>
        <v>231.7</v>
      </c>
      <c r="J15" s="18"/>
    </row>
    <row r="16" spans="1:10" s="1" customFormat="1" ht="15" customHeight="1">
      <c r="A16" s="9">
        <v>14</v>
      </c>
      <c r="B16" s="10" t="str">
        <f>"202401005"</f>
        <v>202401005</v>
      </c>
      <c r="C16" s="10" t="str">
        <f>"杜心语"</f>
        <v>杜心语</v>
      </c>
      <c r="D16" s="10" t="str">
        <f>"女"</f>
        <v>女</v>
      </c>
      <c r="E16" s="11" t="str">
        <f>"1998-09-09"</f>
        <v>1998-09-09</v>
      </c>
      <c r="F16" s="10" t="str">
        <f>"202403100418"</f>
        <v>202403100418</v>
      </c>
      <c r="G16" s="12">
        <v>114.4</v>
      </c>
      <c r="H16" s="13">
        <v>116.5</v>
      </c>
      <c r="I16" s="17">
        <f t="shared" si="0"/>
        <v>230.9</v>
      </c>
      <c r="J16" s="18"/>
    </row>
    <row r="17" spans="1:10" s="1" customFormat="1" ht="15" customHeight="1">
      <c r="A17" s="9">
        <v>15</v>
      </c>
      <c r="B17" s="10" t="str">
        <f>"202401005"</f>
        <v>202401005</v>
      </c>
      <c r="C17" s="10" t="str">
        <f>"薄紫薇"</f>
        <v>薄紫薇</v>
      </c>
      <c r="D17" s="10" t="str">
        <f>"女"</f>
        <v>女</v>
      </c>
      <c r="E17" s="11" t="str">
        <f>"1999-01-19"</f>
        <v>1999-01-19</v>
      </c>
      <c r="F17" s="10" t="str">
        <f>"202403100505"</f>
        <v>202403100505</v>
      </c>
      <c r="G17" s="12">
        <v>115.6</v>
      </c>
      <c r="H17" s="13">
        <v>112.5</v>
      </c>
      <c r="I17" s="17">
        <f t="shared" si="0"/>
        <v>228.1</v>
      </c>
      <c r="J17" s="18"/>
    </row>
    <row r="18" spans="1:10" s="1" customFormat="1" ht="15" customHeight="1">
      <c r="A18" s="9">
        <v>16</v>
      </c>
      <c r="B18" s="10" t="str">
        <f>"202401006"</f>
        <v>202401006</v>
      </c>
      <c r="C18" s="10" t="str">
        <f>"於镇皓"</f>
        <v>於镇皓</v>
      </c>
      <c r="D18" s="10" t="str">
        <f>"男"</f>
        <v>男</v>
      </c>
      <c r="E18" s="11" t="str">
        <f>"1999-06-08"</f>
        <v>1999-06-08</v>
      </c>
      <c r="F18" s="10" t="str">
        <f>"202403100603"</f>
        <v>202403100603</v>
      </c>
      <c r="G18" s="12">
        <v>106.3</v>
      </c>
      <c r="H18" s="13">
        <v>114.5</v>
      </c>
      <c r="I18" s="17">
        <f t="shared" si="0"/>
        <v>220.8</v>
      </c>
      <c r="J18" s="18"/>
    </row>
    <row r="19" spans="1:10" s="1" customFormat="1" ht="15" customHeight="1">
      <c r="A19" s="9">
        <v>17</v>
      </c>
      <c r="B19" s="10" t="str">
        <f>"202401006"</f>
        <v>202401006</v>
      </c>
      <c r="C19" s="10" t="str">
        <f>"徐启航"</f>
        <v>徐启航</v>
      </c>
      <c r="D19" s="10" t="str">
        <f>"男"</f>
        <v>男</v>
      </c>
      <c r="E19" s="11" t="str">
        <f>"1996-10-01"</f>
        <v>1996-10-01</v>
      </c>
      <c r="F19" s="10" t="str">
        <f>"202403100610"</f>
        <v>202403100610</v>
      </c>
      <c r="G19" s="12">
        <v>106.4</v>
      </c>
      <c r="H19" s="13">
        <v>113.5</v>
      </c>
      <c r="I19" s="17">
        <f t="shared" si="0"/>
        <v>219.9</v>
      </c>
      <c r="J19" s="18"/>
    </row>
    <row r="20" spans="1:10" s="1" customFormat="1" ht="15" customHeight="1">
      <c r="A20" s="9">
        <v>18</v>
      </c>
      <c r="B20" s="10" t="str">
        <f>"202401006"</f>
        <v>202401006</v>
      </c>
      <c r="C20" s="10" t="str">
        <f>"孙雪莲"</f>
        <v>孙雪莲</v>
      </c>
      <c r="D20" s="10" t="str">
        <f>"女"</f>
        <v>女</v>
      </c>
      <c r="E20" s="11" t="str">
        <f>"1999-01-28"</f>
        <v>1999-01-28</v>
      </c>
      <c r="F20" s="10" t="str">
        <f>"202403100608"</f>
        <v>202403100608</v>
      </c>
      <c r="G20" s="12">
        <v>101.4</v>
      </c>
      <c r="H20" s="13">
        <v>116.5</v>
      </c>
      <c r="I20" s="17">
        <f t="shared" si="0"/>
        <v>217.9</v>
      </c>
      <c r="J20" s="18"/>
    </row>
    <row r="21" spans="1:10" s="1" customFormat="1" ht="15" customHeight="1">
      <c r="A21" s="9">
        <v>19</v>
      </c>
      <c r="B21" s="10" t="str">
        <f>"202401007"</f>
        <v>202401007</v>
      </c>
      <c r="C21" s="10" t="str">
        <f>"张雨桐"</f>
        <v>张雨桐</v>
      </c>
      <c r="D21" s="10" t="str">
        <f>"女"</f>
        <v>女</v>
      </c>
      <c r="E21" s="11" t="str">
        <f>"2001-08-08"</f>
        <v>2001-08-08</v>
      </c>
      <c r="F21" s="10" t="str">
        <f>"202403100623"</f>
        <v>202403100623</v>
      </c>
      <c r="G21" s="12">
        <v>107.9</v>
      </c>
      <c r="H21" s="13">
        <v>119.5</v>
      </c>
      <c r="I21" s="17">
        <f t="shared" si="0"/>
        <v>227.4</v>
      </c>
      <c r="J21" s="18"/>
    </row>
    <row r="22" spans="1:10" s="1" customFormat="1" ht="15" customHeight="1">
      <c r="A22" s="9">
        <v>20</v>
      </c>
      <c r="B22" s="10" t="str">
        <f>"202401007"</f>
        <v>202401007</v>
      </c>
      <c r="C22" s="10" t="str">
        <f>"刘磊"</f>
        <v>刘磊</v>
      </c>
      <c r="D22" s="10" t="str">
        <f>"男"</f>
        <v>男</v>
      </c>
      <c r="E22" s="11" t="str">
        <f>"1998-09-18"</f>
        <v>1998-09-18</v>
      </c>
      <c r="F22" s="10" t="str">
        <f>"202403100713"</f>
        <v>202403100713</v>
      </c>
      <c r="G22" s="12">
        <v>104.7</v>
      </c>
      <c r="H22" s="13">
        <v>119.5</v>
      </c>
      <c r="I22" s="17">
        <f t="shared" si="0"/>
        <v>224.2</v>
      </c>
      <c r="J22" s="18"/>
    </row>
    <row r="23" spans="1:10" s="1" customFormat="1" ht="15" customHeight="1">
      <c r="A23" s="9">
        <v>21</v>
      </c>
      <c r="B23" s="10" t="str">
        <f>"202401007"</f>
        <v>202401007</v>
      </c>
      <c r="C23" s="10" t="str">
        <f>"周洁"</f>
        <v>周洁</v>
      </c>
      <c r="D23" s="10" t="str">
        <f>"女"</f>
        <v>女</v>
      </c>
      <c r="E23" s="11" t="str">
        <f>"1998-09-02"</f>
        <v>1998-09-02</v>
      </c>
      <c r="F23" s="10" t="str">
        <f>"202403100712"</f>
        <v>202403100712</v>
      </c>
      <c r="G23" s="12">
        <v>104.5</v>
      </c>
      <c r="H23" s="13">
        <v>117.5</v>
      </c>
      <c r="I23" s="17">
        <f t="shared" si="0"/>
        <v>222</v>
      </c>
      <c r="J23" s="18"/>
    </row>
    <row r="24" spans="1:10" s="1" customFormat="1" ht="15" customHeight="1">
      <c r="A24" s="9">
        <v>22</v>
      </c>
      <c r="B24" s="10" t="str">
        <f>"202401008"</f>
        <v>202401008</v>
      </c>
      <c r="C24" s="10" t="str">
        <f>"刘慧"</f>
        <v>刘慧</v>
      </c>
      <c r="D24" s="10" t="str">
        <f>"女"</f>
        <v>女</v>
      </c>
      <c r="E24" s="11" t="str">
        <f>"1996-12-11"</f>
        <v>1996-12-11</v>
      </c>
      <c r="F24" s="10" t="str">
        <f>"202403100729"</f>
        <v>202403100729</v>
      </c>
      <c r="G24" s="12">
        <v>112.1</v>
      </c>
      <c r="H24" s="13">
        <v>115.5</v>
      </c>
      <c r="I24" s="17">
        <f t="shared" si="0"/>
        <v>227.6</v>
      </c>
      <c r="J24" s="18"/>
    </row>
    <row r="25" spans="1:10" s="1" customFormat="1" ht="15" customHeight="1">
      <c r="A25" s="9">
        <v>23</v>
      </c>
      <c r="B25" s="10" t="str">
        <f>"202401008"</f>
        <v>202401008</v>
      </c>
      <c r="C25" s="10" t="str">
        <f>"周伟"</f>
        <v>周伟</v>
      </c>
      <c r="D25" s="10" t="str">
        <f>"男"</f>
        <v>男</v>
      </c>
      <c r="E25" s="11" t="str">
        <f>"1995-08-18"</f>
        <v>1995-08-18</v>
      </c>
      <c r="F25" s="10" t="str">
        <f>"202403100726"</f>
        <v>202403100726</v>
      </c>
      <c r="G25" s="12">
        <v>104.7</v>
      </c>
      <c r="H25" s="13">
        <v>109.5</v>
      </c>
      <c r="I25" s="17">
        <f t="shared" si="0"/>
        <v>214.2</v>
      </c>
      <c r="J25" s="18"/>
    </row>
    <row r="26" spans="1:10" s="1" customFormat="1" ht="15" customHeight="1">
      <c r="A26" s="9">
        <v>24</v>
      </c>
      <c r="B26" s="10" t="str">
        <f>"202401008"</f>
        <v>202401008</v>
      </c>
      <c r="C26" s="10" t="str">
        <f>"黄健翔"</f>
        <v>黄健翔</v>
      </c>
      <c r="D26" s="10" t="str">
        <f>"男"</f>
        <v>男</v>
      </c>
      <c r="E26" s="11" t="str">
        <f>"1998-02-18"</f>
        <v>1998-02-18</v>
      </c>
      <c r="F26" s="10" t="str">
        <f>"202403100723"</f>
        <v>202403100723</v>
      </c>
      <c r="G26" s="12">
        <v>101.4</v>
      </c>
      <c r="H26" s="13">
        <v>112.5</v>
      </c>
      <c r="I26" s="17">
        <f t="shared" si="0"/>
        <v>213.9</v>
      </c>
      <c r="J26" s="18"/>
    </row>
    <row r="27" spans="1:10" s="1" customFormat="1" ht="15" customHeight="1">
      <c r="A27" s="9">
        <v>25</v>
      </c>
      <c r="B27" s="10" t="str">
        <f>"202401009"</f>
        <v>202401009</v>
      </c>
      <c r="C27" s="10" t="str">
        <f>"吴少渝"</f>
        <v>吴少渝</v>
      </c>
      <c r="D27" s="10" t="str">
        <f>"男"</f>
        <v>男</v>
      </c>
      <c r="E27" s="11" t="str">
        <f>"1998-04-30"</f>
        <v>1998-04-30</v>
      </c>
      <c r="F27" s="10" t="str">
        <f>"202403100807"</f>
        <v>202403100807</v>
      </c>
      <c r="G27" s="12">
        <v>97.9</v>
      </c>
      <c r="H27" s="13">
        <v>109.5</v>
      </c>
      <c r="I27" s="17">
        <f t="shared" si="0"/>
        <v>207.4</v>
      </c>
      <c r="J27" s="18"/>
    </row>
    <row r="28" spans="1:10" s="1" customFormat="1" ht="15" customHeight="1">
      <c r="A28" s="9">
        <v>26</v>
      </c>
      <c r="B28" s="10" t="str">
        <f>"202401009"</f>
        <v>202401009</v>
      </c>
      <c r="C28" s="10" t="str">
        <f>"谢天"</f>
        <v>谢天</v>
      </c>
      <c r="D28" s="10" t="str">
        <f>"女"</f>
        <v>女</v>
      </c>
      <c r="E28" s="11" t="str">
        <f>"1993-12-23"</f>
        <v>1993-12-23</v>
      </c>
      <c r="F28" s="10" t="str">
        <f>"202403100803"</f>
        <v>202403100803</v>
      </c>
      <c r="G28" s="12">
        <v>81</v>
      </c>
      <c r="H28" s="13">
        <v>117.5</v>
      </c>
      <c r="I28" s="17">
        <f t="shared" si="0"/>
        <v>198.5</v>
      </c>
      <c r="J28" s="18"/>
    </row>
    <row r="29" spans="1:10" s="1" customFormat="1" ht="15" customHeight="1">
      <c r="A29" s="9">
        <v>27</v>
      </c>
      <c r="B29" s="10" t="str">
        <f>"202401009"</f>
        <v>202401009</v>
      </c>
      <c r="C29" s="10" t="str">
        <f>"郭旭"</f>
        <v>郭旭</v>
      </c>
      <c r="D29" s="10" t="str">
        <f>"女"</f>
        <v>女</v>
      </c>
      <c r="E29" s="11" t="str">
        <f>"2002-07-29"</f>
        <v>2002-07-29</v>
      </c>
      <c r="F29" s="10" t="str">
        <f>"202403100811"</f>
        <v>202403100811</v>
      </c>
      <c r="G29" s="12">
        <v>84.1</v>
      </c>
      <c r="H29" s="13">
        <v>111</v>
      </c>
      <c r="I29" s="17">
        <f t="shared" si="0"/>
        <v>195.1</v>
      </c>
      <c r="J29" s="18"/>
    </row>
    <row r="30" spans="1:10" s="1" customFormat="1" ht="15" customHeight="1">
      <c r="A30" s="9">
        <v>28</v>
      </c>
      <c r="B30" s="10" t="str">
        <f>"202401010"</f>
        <v>202401010</v>
      </c>
      <c r="C30" s="10" t="str">
        <f>"衡鑫"</f>
        <v>衡鑫</v>
      </c>
      <c r="D30" s="10" t="str">
        <f>"男"</f>
        <v>男</v>
      </c>
      <c r="E30" s="11" t="str">
        <f>"2000-02-19"</f>
        <v>2000-02-19</v>
      </c>
      <c r="F30" s="10" t="str">
        <f>"202403100827"</f>
        <v>202403100827</v>
      </c>
      <c r="G30" s="12">
        <v>105.3</v>
      </c>
      <c r="H30" s="13">
        <v>114</v>
      </c>
      <c r="I30" s="17">
        <f t="shared" si="0"/>
        <v>219.3</v>
      </c>
      <c r="J30" s="18"/>
    </row>
    <row r="31" spans="1:10" s="1" customFormat="1" ht="15" customHeight="1">
      <c r="A31" s="9">
        <v>29</v>
      </c>
      <c r="B31" s="10" t="str">
        <f>"202401010"</f>
        <v>202401010</v>
      </c>
      <c r="C31" s="10" t="str">
        <f>"高雅"</f>
        <v>高雅</v>
      </c>
      <c r="D31" s="10" t="str">
        <f>"女"</f>
        <v>女</v>
      </c>
      <c r="E31" s="11" t="str">
        <f>"2000-08-20"</f>
        <v>2000-08-20</v>
      </c>
      <c r="F31" s="10" t="str">
        <f>"202403100901"</f>
        <v>202403100901</v>
      </c>
      <c r="G31" s="12">
        <v>96.8</v>
      </c>
      <c r="H31" s="13">
        <v>107.5</v>
      </c>
      <c r="I31" s="17">
        <f t="shared" si="0"/>
        <v>204.3</v>
      </c>
      <c r="J31" s="18"/>
    </row>
    <row r="32" spans="1:10" s="1" customFormat="1" ht="15" customHeight="1">
      <c r="A32" s="9">
        <v>30</v>
      </c>
      <c r="B32" s="10" t="str">
        <f>"202401010"</f>
        <v>202401010</v>
      </c>
      <c r="C32" s="10" t="str">
        <f>"张雨生"</f>
        <v>张雨生</v>
      </c>
      <c r="D32" s="10" t="str">
        <f>"男"</f>
        <v>男</v>
      </c>
      <c r="E32" s="11" t="str">
        <f>"1997-10-25"</f>
        <v>1997-10-25</v>
      </c>
      <c r="F32" s="10" t="str">
        <f>"202403100829"</f>
        <v>202403100829</v>
      </c>
      <c r="G32" s="12">
        <v>95.1</v>
      </c>
      <c r="H32" s="13">
        <v>109</v>
      </c>
      <c r="I32" s="17">
        <f t="shared" si="0"/>
        <v>204.1</v>
      </c>
      <c r="J32" s="18"/>
    </row>
    <row r="33" spans="1:10" s="1" customFormat="1" ht="15" customHeight="1">
      <c r="A33" s="9">
        <v>31</v>
      </c>
      <c r="B33" s="10" t="str">
        <f>"202401011"</f>
        <v>202401011</v>
      </c>
      <c r="C33" s="10" t="str">
        <f>"陈亦可"</f>
        <v>陈亦可</v>
      </c>
      <c r="D33" s="10" t="str">
        <f>"女"</f>
        <v>女</v>
      </c>
      <c r="E33" s="11" t="str">
        <f>"2002-01-05"</f>
        <v>2002-01-05</v>
      </c>
      <c r="F33" s="10" t="str">
        <f>"202403100912"</f>
        <v>202403100912</v>
      </c>
      <c r="G33" s="12">
        <v>113.1</v>
      </c>
      <c r="H33" s="13">
        <v>114</v>
      </c>
      <c r="I33" s="17">
        <f t="shared" si="0"/>
        <v>227.1</v>
      </c>
      <c r="J33" s="18"/>
    </row>
    <row r="34" spans="1:10" s="1" customFormat="1" ht="15" customHeight="1">
      <c r="A34" s="9">
        <v>32</v>
      </c>
      <c r="B34" s="10" t="str">
        <f>"202401011"</f>
        <v>202401011</v>
      </c>
      <c r="C34" s="10" t="str">
        <f>"马发俊"</f>
        <v>马发俊</v>
      </c>
      <c r="D34" s="10" t="str">
        <f>"男"</f>
        <v>男</v>
      </c>
      <c r="E34" s="11" t="str">
        <f>"1989-08-09"</f>
        <v>1989-08-09</v>
      </c>
      <c r="F34" s="10" t="str">
        <f>"202403100926"</f>
        <v>202403100926</v>
      </c>
      <c r="G34" s="12">
        <v>106.9</v>
      </c>
      <c r="H34" s="13">
        <v>113</v>
      </c>
      <c r="I34" s="17">
        <f t="shared" si="0"/>
        <v>219.9</v>
      </c>
      <c r="J34" s="18"/>
    </row>
    <row r="35" spans="1:10" s="1" customFormat="1" ht="15" customHeight="1">
      <c r="A35" s="9">
        <v>33</v>
      </c>
      <c r="B35" s="10" t="str">
        <f>"202401011"</f>
        <v>202401011</v>
      </c>
      <c r="C35" s="10" t="str">
        <f>"朱天晓"</f>
        <v>朱天晓</v>
      </c>
      <c r="D35" s="10" t="str">
        <f>"男"</f>
        <v>男</v>
      </c>
      <c r="E35" s="11" t="str">
        <f>"1998-08-06"</f>
        <v>1998-08-06</v>
      </c>
      <c r="F35" s="10" t="str">
        <f>"202403100913"</f>
        <v>202403100913</v>
      </c>
      <c r="G35" s="12">
        <v>106</v>
      </c>
      <c r="H35" s="13">
        <v>111</v>
      </c>
      <c r="I35" s="17">
        <f t="shared" si="0"/>
        <v>217</v>
      </c>
      <c r="J35" s="18"/>
    </row>
    <row r="36" spans="1:10" s="1" customFormat="1" ht="15" customHeight="1">
      <c r="A36" s="9">
        <v>34</v>
      </c>
      <c r="B36" s="10" t="str">
        <f>"202401012"</f>
        <v>202401012</v>
      </c>
      <c r="C36" s="10" t="str">
        <f>"朱凌峰"</f>
        <v>朱凌峰</v>
      </c>
      <c r="D36" s="10" t="str">
        <f>"男"</f>
        <v>男</v>
      </c>
      <c r="E36" s="11" t="str">
        <f>"2001-04-04"</f>
        <v>2001-04-04</v>
      </c>
      <c r="F36" s="10" t="str">
        <f>"202403101018"</f>
        <v>202403101018</v>
      </c>
      <c r="G36" s="12">
        <v>110.3</v>
      </c>
      <c r="H36" s="13">
        <v>115</v>
      </c>
      <c r="I36" s="17">
        <f t="shared" si="0"/>
        <v>225.3</v>
      </c>
      <c r="J36" s="18"/>
    </row>
    <row r="37" spans="1:10" s="1" customFormat="1" ht="15" customHeight="1">
      <c r="A37" s="9">
        <v>35</v>
      </c>
      <c r="B37" s="10" t="str">
        <f>"202401012"</f>
        <v>202401012</v>
      </c>
      <c r="C37" s="10" t="str">
        <f>"段元皓"</f>
        <v>段元皓</v>
      </c>
      <c r="D37" s="10" t="str">
        <f>"男"</f>
        <v>男</v>
      </c>
      <c r="E37" s="11" t="str">
        <f>"1999-10-13"</f>
        <v>1999-10-13</v>
      </c>
      <c r="F37" s="10" t="str">
        <f>"202403101008"</f>
        <v>202403101008</v>
      </c>
      <c r="G37" s="12">
        <v>110.2</v>
      </c>
      <c r="H37" s="13">
        <v>113.5</v>
      </c>
      <c r="I37" s="17">
        <f t="shared" si="0"/>
        <v>223.7</v>
      </c>
      <c r="J37" s="18"/>
    </row>
    <row r="38" spans="1:10" s="1" customFormat="1" ht="15" customHeight="1">
      <c r="A38" s="9">
        <v>36</v>
      </c>
      <c r="B38" s="10" t="str">
        <f>"202401012"</f>
        <v>202401012</v>
      </c>
      <c r="C38" s="10" t="str">
        <f>"叶黛蕾"</f>
        <v>叶黛蕾</v>
      </c>
      <c r="D38" s="10" t="str">
        <f>"女"</f>
        <v>女</v>
      </c>
      <c r="E38" s="11" t="str">
        <f>"2001-07-26"</f>
        <v>2001-07-26</v>
      </c>
      <c r="F38" s="10" t="str">
        <f>"202403101017"</f>
        <v>202403101017</v>
      </c>
      <c r="G38" s="12">
        <v>102.8</v>
      </c>
      <c r="H38" s="13">
        <v>115.5</v>
      </c>
      <c r="I38" s="17">
        <f t="shared" si="0"/>
        <v>218.3</v>
      </c>
      <c r="J38" s="18"/>
    </row>
    <row r="39" spans="1:10" s="2" customFormat="1" ht="15" customHeight="1">
      <c r="A39" s="9">
        <v>37</v>
      </c>
      <c r="B39" s="10" t="str">
        <f aca="true" t="shared" si="2" ref="B39:B47">"202401013"</f>
        <v>202401013</v>
      </c>
      <c r="C39" s="10" t="str">
        <f>"郭小蔓"</f>
        <v>郭小蔓</v>
      </c>
      <c r="D39" s="10" t="str">
        <f>"女"</f>
        <v>女</v>
      </c>
      <c r="E39" s="11" t="str">
        <f>"1997-09-15"</f>
        <v>1997-09-15</v>
      </c>
      <c r="F39" s="10" t="str">
        <f>"202403101026"</f>
        <v>202403101026</v>
      </c>
      <c r="G39" s="14">
        <v>115.2</v>
      </c>
      <c r="H39" s="15">
        <v>119</v>
      </c>
      <c r="I39" s="19">
        <f t="shared" si="0"/>
        <v>234.2</v>
      </c>
      <c r="J39" s="18"/>
    </row>
    <row r="40" spans="1:10" s="2" customFormat="1" ht="15" customHeight="1">
      <c r="A40" s="9">
        <v>38</v>
      </c>
      <c r="B40" s="10" t="str">
        <f t="shared" si="2"/>
        <v>202401013</v>
      </c>
      <c r="C40" s="10" t="str">
        <f>"武华庆"</f>
        <v>武华庆</v>
      </c>
      <c r="D40" s="10" t="str">
        <f>"男"</f>
        <v>男</v>
      </c>
      <c r="E40" s="11" t="str">
        <f>"1991-03-19"</f>
        <v>1991-03-19</v>
      </c>
      <c r="F40" s="10" t="str">
        <f>"202403101203"</f>
        <v>202403101203</v>
      </c>
      <c r="G40" s="14">
        <v>112.4</v>
      </c>
      <c r="H40" s="15">
        <v>117</v>
      </c>
      <c r="I40" s="19">
        <f t="shared" si="0"/>
        <v>229.4</v>
      </c>
      <c r="J40" s="18"/>
    </row>
    <row r="41" spans="1:10" s="2" customFormat="1" ht="15" customHeight="1">
      <c r="A41" s="9">
        <v>39</v>
      </c>
      <c r="B41" s="10" t="str">
        <f t="shared" si="2"/>
        <v>202401013</v>
      </c>
      <c r="C41" s="10" t="str">
        <f>"曹雅璇"</f>
        <v>曹雅璇</v>
      </c>
      <c r="D41" s="10" t="str">
        <f>"女"</f>
        <v>女</v>
      </c>
      <c r="E41" s="11" t="str">
        <f>"1999-09-26"</f>
        <v>1999-09-26</v>
      </c>
      <c r="F41" s="10" t="str">
        <f>"202403101108"</f>
        <v>202403101108</v>
      </c>
      <c r="G41" s="14">
        <v>109.3</v>
      </c>
      <c r="H41" s="15">
        <v>118</v>
      </c>
      <c r="I41" s="19">
        <f t="shared" si="0"/>
        <v>227.3</v>
      </c>
      <c r="J41" s="18"/>
    </row>
    <row r="42" spans="1:10" s="2" customFormat="1" ht="15" customHeight="1">
      <c r="A42" s="9">
        <v>40</v>
      </c>
      <c r="B42" s="10" t="str">
        <f t="shared" si="2"/>
        <v>202401013</v>
      </c>
      <c r="C42" s="10" t="str">
        <f>"陆维庆"</f>
        <v>陆维庆</v>
      </c>
      <c r="D42" s="10" t="str">
        <f>"男"</f>
        <v>男</v>
      </c>
      <c r="E42" s="11" t="str">
        <f>"2001-12-08"</f>
        <v>2001-12-08</v>
      </c>
      <c r="F42" s="10" t="str">
        <f>"202403101219"</f>
        <v>202403101219</v>
      </c>
      <c r="G42" s="14">
        <v>106.4</v>
      </c>
      <c r="H42" s="15">
        <v>117.5</v>
      </c>
      <c r="I42" s="19">
        <f t="shared" si="0"/>
        <v>223.9</v>
      </c>
      <c r="J42" s="18"/>
    </row>
    <row r="43" spans="1:10" s="2" customFormat="1" ht="15" customHeight="1">
      <c r="A43" s="9">
        <v>41</v>
      </c>
      <c r="B43" s="10" t="str">
        <f t="shared" si="2"/>
        <v>202401013</v>
      </c>
      <c r="C43" s="10" t="str">
        <f>"于桂林 "</f>
        <v>于桂林 </v>
      </c>
      <c r="D43" s="10" t="str">
        <f>"女"</f>
        <v>女</v>
      </c>
      <c r="E43" s="11" t="str">
        <f>"1997-10-15"</f>
        <v>1997-10-15</v>
      </c>
      <c r="F43" s="10" t="str">
        <f>"202403101204"</f>
        <v>202403101204</v>
      </c>
      <c r="G43" s="14">
        <v>107.4</v>
      </c>
      <c r="H43" s="15">
        <v>116</v>
      </c>
      <c r="I43" s="19">
        <f t="shared" si="0"/>
        <v>223.4</v>
      </c>
      <c r="J43" s="18"/>
    </row>
    <row r="44" spans="1:10" s="2" customFormat="1" ht="15" customHeight="1">
      <c r="A44" s="9">
        <v>42</v>
      </c>
      <c r="B44" s="10" t="str">
        <f t="shared" si="2"/>
        <v>202401013</v>
      </c>
      <c r="C44" s="10" t="str">
        <f>"刘月"</f>
        <v>刘月</v>
      </c>
      <c r="D44" s="10" t="str">
        <f>"女"</f>
        <v>女</v>
      </c>
      <c r="E44" s="11" t="str">
        <f>"1999-03-25"</f>
        <v>1999-03-25</v>
      </c>
      <c r="F44" s="10" t="str">
        <f>"202403101123"</f>
        <v>202403101123</v>
      </c>
      <c r="G44" s="14">
        <v>113.3</v>
      </c>
      <c r="H44" s="15">
        <v>110</v>
      </c>
      <c r="I44" s="19">
        <f t="shared" si="0"/>
        <v>223.3</v>
      </c>
      <c r="J44" s="18"/>
    </row>
    <row r="45" spans="1:10" s="2" customFormat="1" ht="15" customHeight="1">
      <c r="A45" s="9">
        <v>43</v>
      </c>
      <c r="B45" s="10" t="str">
        <f t="shared" si="2"/>
        <v>202401013</v>
      </c>
      <c r="C45" s="10" t="str">
        <f>"汪姗"</f>
        <v>汪姗</v>
      </c>
      <c r="D45" s="10" t="str">
        <f>"女"</f>
        <v>女</v>
      </c>
      <c r="E45" s="11" t="str">
        <f>"2001-11-30"</f>
        <v>2001-11-30</v>
      </c>
      <c r="F45" s="10" t="str">
        <f>"202403101128"</f>
        <v>202403101128</v>
      </c>
      <c r="G45" s="14">
        <v>107.5</v>
      </c>
      <c r="H45" s="15">
        <v>114.5</v>
      </c>
      <c r="I45" s="19">
        <f t="shared" si="0"/>
        <v>222</v>
      </c>
      <c r="J45" s="18"/>
    </row>
    <row r="46" spans="1:10" s="2" customFormat="1" ht="15" customHeight="1">
      <c r="A46" s="9">
        <v>44</v>
      </c>
      <c r="B46" s="10" t="str">
        <f t="shared" si="2"/>
        <v>202401013</v>
      </c>
      <c r="C46" s="10" t="str">
        <f>"李明红"</f>
        <v>李明红</v>
      </c>
      <c r="D46" s="10" t="str">
        <f>"男"</f>
        <v>男</v>
      </c>
      <c r="E46" s="11" t="str">
        <f>"2000-02-27"</f>
        <v>2000-02-27</v>
      </c>
      <c r="F46" s="10" t="str">
        <f>"202403101212"</f>
        <v>202403101212</v>
      </c>
      <c r="G46" s="14">
        <v>107.3</v>
      </c>
      <c r="H46" s="15">
        <v>114</v>
      </c>
      <c r="I46" s="19">
        <f t="shared" si="0"/>
        <v>221.3</v>
      </c>
      <c r="J46" s="18"/>
    </row>
    <row r="47" spans="1:10" s="2" customFormat="1" ht="15" customHeight="1">
      <c r="A47" s="9">
        <v>45</v>
      </c>
      <c r="B47" s="10" t="str">
        <f t="shared" si="2"/>
        <v>202401013</v>
      </c>
      <c r="C47" s="10" t="str">
        <f>"马鹏程"</f>
        <v>马鹏程</v>
      </c>
      <c r="D47" s="10" t="str">
        <f>"男"</f>
        <v>男</v>
      </c>
      <c r="E47" s="11" t="str">
        <f>"1994-08-23"</f>
        <v>1994-08-23</v>
      </c>
      <c r="F47" s="10" t="str">
        <f>"202403101223"</f>
        <v>202403101223</v>
      </c>
      <c r="G47" s="14">
        <v>105.2</v>
      </c>
      <c r="H47" s="15">
        <v>115.5</v>
      </c>
      <c r="I47" s="19">
        <f t="shared" si="0"/>
        <v>220.7</v>
      </c>
      <c r="J47" s="18"/>
    </row>
    <row r="48" spans="1:10" s="1" customFormat="1" ht="15" customHeight="1">
      <c r="A48" s="9">
        <v>46</v>
      </c>
      <c r="B48" s="10" t="str">
        <f>"202401015"</f>
        <v>202401015</v>
      </c>
      <c r="C48" s="10" t="str">
        <f>"东淑"</f>
        <v>东淑</v>
      </c>
      <c r="D48" s="10" t="str">
        <f>"女"</f>
        <v>女</v>
      </c>
      <c r="E48" s="11" t="str">
        <f>"1994-10-15"</f>
        <v>1994-10-15</v>
      </c>
      <c r="F48" s="10" t="str">
        <f>"202403101227"</f>
        <v>202403101227</v>
      </c>
      <c r="G48" s="12">
        <v>98.9</v>
      </c>
      <c r="H48" s="13">
        <v>117.5</v>
      </c>
      <c r="I48" s="17">
        <f t="shared" si="0"/>
        <v>216.4</v>
      </c>
      <c r="J48" s="18"/>
    </row>
    <row r="49" spans="1:10" s="1" customFormat="1" ht="15" customHeight="1">
      <c r="A49" s="9">
        <v>47</v>
      </c>
      <c r="B49" s="10" t="str">
        <f>"202401016"</f>
        <v>202401016</v>
      </c>
      <c r="C49" s="10" t="str">
        <f>"孙逸如"</f>
        <v>孙逸如</v>
      </c>
      <c r="D49" s="10" t="str">
        <f>"女"</f>
        <v>女</v>
      </c>
      <c r="E49" s="11" t="str">
        <f>"1996-04-01"</f>
        <v>1996-04-01</v>
      </c>
      <c r="F49" s="10" t="str">
        <f>"202403101228"</f>
        <v>202403101228</v>
      </c>
      <c r="G49" s="12">
        <v>109.3</v>
      </c>
      <c r="H49" s="13">
        <v>117.5</v>
      </c>
      <c r="I49" s="17">
        <f t="shared" si="0"/>
        <v>226.8</v>
      </c>
      <c r="J49" s="18"/>
    </row>
    <row r="50" spans="1:10" s="1" customFormat="1" ht="15" customHeight="1">
      <c r="A50" s="9">
        <v>48</v>
      </c>
      <c r="B50" s="10" t="str">
        <f>"202401016"</f>
        <v>202401016</v>
      </c>
      <c r="C50" s="10" t="str">
        <f>"王小雪"</f>
        <v>王小雪</v>
      </c>
      <c r="D50" s="10" t="str">
        <f>"女"</f>
        <v>女</v>
      </c>
      <c r="E50" s="11" t="str">
        <f>"2001-06-23"</f>
        <v>2001-06-23</v>
      </c>
      <c r="F50" s="10" t="str">
        <f>"202403101320"</f>
        <v>202403101320</v>
      </c>
      <c r="G50" s="12">
        <v>106.7</v>
      </c>
      <c r="H50" s="13">
        <v>116.5</v>
      </c>
      <c r="I50" s="17">
        <f t="shared" si="0"/>
        <v>223.2</v>
      </c>
      <c r="J50" s="18"/>
    </row>
    <row r="51" spans="1:10" s="1" customFormat="1" ht="15" customHeight="1">
      <c r="A51" s="9">
        <v>49</v>
      </c>
      <c r="B51" s="10" t="str">
        <f>"202401016"</f>
        <v>202401016</v>
      </c>
      <c r="C51" s="10" t="str">
        <f>"张健健"</f>
        <v>张健健</v>
      </c>
      <c r="D51" s="10" t="str">
        <f>"女"</f>
        <v>女</v>
      </c>
      <c r="E51" s="11" t="str">
        <f>"1994-11-19"</f>
        <v>1994-11-19</v>
      </c>
      <c r="F51" s="10" t="str">
        <f>"202403101314"</f>
        <v>202403101314</v>
      </c>
      <c r="G51" s="12">
        <v>101.3</v>
      </c>
      <c r="H51" s="13">
        <v>115</v>
      </c>
      <c r="I51" s="17">
        <f t="shared" si="0"/>
        <v>216.3</v>
      </c>
      <c r="J51" s="18"/>
    </row>
    <row r="52" spans="1:10" s="1" customFormat="1" ht="15" customHeight="1">
      <c r="A52" s="9">
        <v>50</v>
      </c>
      <c r="B52" s="10" t="str">
        <f>"202401017"</f>
        <v>202401017</v>
      </c>
      <c r="C52" s="10" t="str">
        <f>"陈洁"</f>
        <v>陈洁</v>
      </c>
      <c r="D52" s="10" t="str">
        <f>"女"</f>
        <v>女</v>
      </c>
      <c r="E52" s="11" t="str">
        <f>"2002-01-24"</f>
        <v>2002-01-24</v>
      </c>
      <c r="F52" s="10" t="str">
        <f>"202403101405"</f>
        <v>202403101405</v>
      </c>
      <c r="G52" s="12">
        <v>106.5</v>
      </c>
      <c r="H52" s="13">
        <v>116</v>
      </c>
      <c r="I52" s="17">
        <f t="shared" si="0"/>
        <v>222.5</v>
      </c>
      <c r="J52" s="18"/>
    </row>
    <row r="53" spans="1:10" s="1" customFormat="1" ht="15" customHeight="1">
      <c r="A53" s="9">
        <v>51</v>
      </c>
      <c r="B53" s="10" t="str">
        <f>"202401017"</f>
        <v>202401017</v>
      </c>
      <c r="C53" s="10" t="str">
        <f>"黄飙"</f>
        <v>黄飙</v>
      </c>
      <c r="D53" s="10" t="str">
        <f>"男"</f>
        <v>男</v>
      </c>
      <c r="E53" s="11" t="str">
        <f>"2001-04-18"</f>
        <v>2001-04-18</v>
      </c>
      <c r="F53" s="10" t="str">
        <f>"202403101323"</f>
        <v>202403101323</v>
      </c>
      <c r="G53" s="12">
        <v>104.2</v>
      </c>
      <c r="H53" s="13">
        <v>114</v>
      </c>
      <c r="I53" s="17">
        <f t="shared" si="0"/>
        <v>218.2</v>
      </c>
      <c r="J53" s="18"/>
    </row>
    <row r="54" spans="1:10" s="1" customFormat="1" ht="15" customHeight="1">
      <c r="A54" s="9">
        <v>52</v>
      </c>
      <c r="B54" s="10" t="str">
        <f>"202401017"</f>
        <v>202401017</v>
      </c>
      <c r="C54" s="10" t="str">
        <f>"严雪婷"</f>
        <v>严雪婷</v>
      </c>
      <c r="D54" s="10" t="str">
        <f>"女"</f>
        <v>女</v>
      </c>
      <c r="E54" s="11" t="str">
        <f>"1999-06-11"</f>
        <v>1999-06-11</v>
      </c>
      <c r="F54" s="10" t="str">
        <f>"202403101513"</f>
        <v>202403101513</v>
      </c>
      <c r="G54" s="12">
        <v>98.1</v>
      </c>
      <c r="H54" s="13">
        <v>118.5</v>
      </c>
      <c r="I54" s="17">
        <f t="shared" si="0"/>
        <v>216.6</v>
      </c>
      <c r="J54" s="18"/>
    </row>
    <row r="55" spans="1:10" s="1" customFormat="1" ht="15" customHeight="1">
      <c r="A55" s="9">
        <v>53</v>
      </c>
      <c r="B55" s="10" t="str">
        <f>"202401018"</f>
        <v>202401018</v>
      </c>
      <c r="C55" s="10" t="str">
        <f>"陈玉昊"</f>
        <v>陈玉昊</v>
      </c>
      <c r="D55" s="10" t="str">
        <f>"男"</f>
        <v>男</v>
      </c>
      <c r="E55" s="11" t="str">
        <f>"1990-11-10"</f>
        <v>1990-11-10</v>
      </c>
      <c r="F55" s="10" t="str">
        <f>"202403101716"</f>
        <v>202403101716</v>
      </c>
      <c r="G55" s="12">
        <v>109.5</v>
      </c>
      <c r="H55" s="13">
        <v>112</v>
      </c>
      <c r="I55" s="17">
        <f t="shared" si="0"/>
        <v>221.5</v>
      </c>
      <c r="J55" s="18"/>
    </row>
    <row r="56" spans="1:10" s="1" customFormat="1" ht="15" customHeight="1">
      <c r="A56" s="9">
        <v>54</v>
      </c>
      <c r="B56" s="10" t="str">
        <f>"202401018"</f>
        <v>202401018</v>
      </c>
      <c r="C56" s="10" t="str">
        <f>"毛麟"</f>
        <v>毛麟</v>
      </c>
      <c r="D56" s="10" t="str">
        <f>"男"</f>
        <v>男</v>
      </c>
      <c r="E56" s="11" t="str">
        <f>"1994-05-31"</f>
        <v>1994-05-31</v>
      </c>
      <c r="F56" s="10" t="str">
        <f>"202403101704"</f>
        <v>202403101704</v>
      </c>
      <c r="G56" s="12">
        <v>107.5</v>
      </c>
      <c r="H56" s="13">
        <v>113</v>
      </c>
      <c r="I56" s="17">
        <f t="shared" si="0"/>
        <v>220.5</v>
      </c>
      <c r="J56" s="18"/>
    </row>
    <row r="57" spans="1:10" s="1" customFormat="1" ht="15" customHeight="1">
      <c r="A57" s="9">
        <v>55</v>
      </c>
      <c r="B57" s="10" t="str">
        <f>"202401018"</f>
        <v>202401018</v>
      </c>
      <c r="C57" s="10" t="str">
        <f>"欧欣艺"</f>
        <v>欧欣艺</v>
      </c>
      <c r="D57" s="10" t="str">
        <f>"女"</f>
        <v>女</v>
      </c>
      <c r="E57" s="11" t="str">
        <f>"2003-07-10"</f>
        <v>2003-07-10</v>
      </c>
      <c r="F57" s="10" t="str">
        <f>"202403101628"</f>
        <v>202403101628</v>
      </c>
      <c r="G57" s="12">
        <v>95.1</v>
      </c>
      <c r="H57" s="13">
        <v>115.5</v>
      </c>
      <c r="I57" s="17">
        <f t="shared" si="0"/>
        <v>210.6</v>
      </c>
      <c r="J57" s="18"/>
    </row>
    <row r="58" spans="1:10" s="1" customFormat="1" ht="15" customHeight="1">
      <c r="A58" s="9">
        <v>56</v>
      </c>
      <c r="B58" s="10" t="str">
        <f>"202401019"</f>
        <v>202401019</v>
      </c>
      <c r="C58" s="10" t="str">
        <f>"潘朦"</f>
        <v>潘朦</v>
      </c>
      <c r="D58" s="10" t="str">
        <f>"女"</f>
        <v>女</v>
      </c>
      <c r="E58" s="11" t="str">
        <f>"1997-08-14"</f>
        <v>1997-08-14</v>
      </c>
      <c r="F58" s="10" t="str">
        <f>"202403101728"</f>
        <v>202403101728</v>
      </c>
      <c r="G58" s="12">
        <v>106</v>
      </c>
      <c r="H58" s="13">
        <v>112.5</v>
      </c>
      <c r="I58" s="17">
        <f t="shared" si="0"/>
        <v>218.5</v>
      </c>
      <c r="J58" s="18"/>
    </row>
    <row r="59" spans="1:10" s="1" customFormat="1" ht="15" customHeight="1">
      <c r="A59" s="9">
        <v>57</v>
      </c>
      <c r="B59" s="10" t="str">
        <f>"202401019"</f>
        <v>202401019</v>
      </c>
      <c r="C59" s="10" t="str">
        <f>"朱可"</f>
        <v>朱可</v>
      </c>
      <c r="D59" s="10" t="str">
        <f>"女"</f>
        <v>女</v>
      </c>
      <c r="E59" s="11" t="str">
        <f>"1999-02-25"</f>
        <v>1999-02-25</v>
      </c>
      <c r="F59" s="10" t="str">
        <f>"202403101805"</f>
        <v>202403101805</v>
      </c>
      <c r="G59" s="12">
        <v>101.9</v>
      </c>
      <c r="H59" s="13">
        <v>116</v>
      </c>
      <c r="I59" s="17">
        <f t="shared" si="0"/>
        <v>217.9</v>
      </c>
      <c r="J59" s="18"/>
    </row>
    <row r="60" spans="1:10" s="1" customFormat="1" ht="15" customHeight="1">
      <c r="A60" s="9">
        <v>58</v>
      </c>
      <c r="B60" s="10" t="str">
        <f>"202401019"</f>
        <v>202401019</v>
      </c>
      <c r="C60" s="10" t="str">
        <f>"杨俊"</f>
        <v>杨俊</v>
      </c>
      <c r="D60" s="10" t="str">
        <f>"男"</f>
        <v>男</v>
      </c>
      <c r="E60" s="11" t="str">
        <f>"1997-01-07"</f>
        <v>1997-01-07</v>
      </c>
      <c r="F60" s="10" t="str">
        <f>"202403101807"</f>
        <v>202403101807</v>
      </c>
      <c r="G60" s="12">
        <v>93.6</v>
      </c>
      <c r="H60" s="13">
        <v>117</v>
      </c>
      <c r="I60" s="17">
        <f t="shared" si="0"/>
        <v>210.6</v>
      </c>
      <c r="J60" s="18"/>
    </row>
    <row r="61" spans="1:10" s="1" customFormat="1" ht="15" customHeight="1">
      <c r="A61" s="9">
        <v>59</v>
      </c>
      <c r="B61" s="10" t="str">
        <f>"202401020"</f>
        <v>202401020</v>
      </c>
      <c r="C61" s="10" t="str">
        <f>"石智怡"</f>
        <v>石智怡</v>
      </c>
      <c r="D61" s="10" t="str">
        <f>"女"</f>
        <v>女</v>
      </c>
      <c r="E61" s="11" t="str">
        <f>"1996-01-22"</f>
        <v>1996-01-22</v>
      </c>
      <c r="F61" s="10" t="str">
        <f>"202403101821"</f>
        <v>202403101821</v>
      </c>
      <c r="G61" s="12">
        <v>119.4</v>
      </c>
      <c r="H61" s="13">
        <v>117</v>
      </c>
      <c r="I61" s="17">
        <f t="shared" si="0"/>
        <v>236.4</v>
      </c>
      <c r="J61" s="18"/>
    </row>
    <row r="62" spans="1:10" s="1" customFormat="1" ht="15" customHeight="1">
      <c r="A62" s="9">
        <v>60</v>
      </c>
      <c r="B62" s="10" t="str">
        <f>"202401020"</f>
        <v>202401020</v>
      </c>
      <c r="C62" s="10" t="str">
        <f>"陈俊"</f>
        <v>陈俊</v>
      </c>
      <c r="D62" s="10" t="str">
        <f>"男"</f>
        <v>男</v>
      </c>
      <c r="E62" s="11" t="str">
        <f>"1999-11-01"</f>
        <v>1999-11-01</v>
      </c>
      <c r="F62" s="10" t="str">
        <f>"202403101827"</f>
        <v>202403101827</v>
      </c>
      <c r="G62" s="12">
        <v>105.2</v>
      </c>
      <c r="H62" s="13">
        <v>118</v>
      </c>
      <c r="I62" s="17">
        <f t="shared" si="0"/>
        <v>223.2</v>
      </c>
      <c r="J62" s="18"/>
    </row>
    <row r="63" spans="1:10" s="1" customFormat="1" ht="15" customHeight="1">
      <c r="A63" s="9">
        <v>61</v>
      </c>
      <c r="B63" s="10" t="str">
        <f>"202401020"</f>
        <v>202401020</v>
      </c>
      <c r="C63" s="10" t="str">
        <f>"张蓓"</f>
        <v>张蓓</v>
      </c>
      <c r="D63" s="10" t="str">
        <f>"女"</f>
        <v>女</v>
      </c>
      <c r="E63" s="11" t="str">
        <f>"1995-05-03"</f>
        <v>1995-05-03</v>
      </c>
      <c r="F63" s="10" t="str">
        <f>"202403101815"</f>
        <v>202403101815</v>
      </c>
      <c r="G63" s="12">
        <v>103.1</v>
      </c>
      <c r="H63" s="13">
        <v>116</v>
      </c>
      <c r="I63" s="17">
        <f t="shared" si="0"/>
        <v>219.1</v>
      </c>
      <c r="J63" s="18"/>
    </row>
    <row r="64" spans="1:10" s="1" customFormat="1" ht="15" customHeight="1">
      <c r="A64" s="9">
        <v>62</v>
      </c>
      <c r="B64" s="10" t="str">
        <f>"202401021"</f>
        <v>202401021</v>
      </c>
      <c r="C64" s="10" t="str">
        <f>"甘轶君"</f>
        <v>甘轶君</v>
      </c>
      <c r="D64" s="10" t="str">
        <f>"女"</f>
        <v>女</v>
      </c>
      <c r="E64" s="11" t="str">
        <f>"1999-01-18"</f>
        <v>1999-01-18</v>
      </c>
      <c r="F64" s="10" t="str">
        <f>"202403101925"</f>
        <v>202403101925</v>
      </c>
      <c r="G64" s="12">
        <v>108.9</v>
      </c>
      <c r="H64" s="13">
        <v>120.5</v>
      </c>
      <c r="I64" s="17">
        <f t="shared" si="0"/>
        <v>229.4</v>
      </c>
      <c r="J64" s="18"/>
    </row>
    <row r="65" spans="1:10" s="1" customFormat="1" ht="15" customHeight="1">
      <c r="A65" s="9">
        <v>63</v>
      </c>
      <c r="B65" s="10" t="str">
        <f>"202401021"</f>
        <v>202401021</v>
      </c>
      <c r="C65" s="10" t="str">
        <f>"袁顺"</f>
        <v>袁顺</v>
      </c>
      <c r="D65" s="10" t="str">
        <f>"男"</f>
        <v>男</v>
      </c>
      <c r="E65" s="11" t="str">
        <f>"1996-11-02"</f>
        <v>1996-11-02</v>
      </c>
      <c r="F65" s="10" t="str">
        <f>"202403101912"</f>
        <v>202403101912</v>
      </c>
      <c r="G65" s="12">
        <v>107</v>
      </c>
      <c r="H65" s="13">
        <v>117.5</v>
      </c>
      <c r="I65" s="17">
        <f t="shared" si="0"/>
        <v>224.5</v>
      </c>
      <c r="J65" s="18"/>
    </row>
    <row r="66" spans="1:10" s="1" customFormat="1" ht="15" customHeight="1">
      <c r="A66" s="9">
        <v>64</v>
      </c>
      <c r="B66" s="10" t="str">
        <f>"202401021"</f>
        <v>202401021</v>
      </c>
      <c r="C66" s="10" t="str">
        <f>"李明"</f>
        <v>李明</v>
      </c>
      <c r="D66" s="10" t="str">
        <f>"男"</f>
        <v>男</v>
      </c>
      <c r="E66" s="11" t="str">
        <f>"2001-07-27"</f>
        <v>2001-07-27</v>
      </c>
      <c r="F66" s="10" t="str">
        <f>"202403101922"</f>
        <v>202403101922</v>
      </c>
      <c r="G66" s="12">
        <v>97.9</v>
      </c>
      <c r="H66" s="13">
        <v>117</v>
      </c>
      <c r="I66" s="17">
        <f t="shared" si="0"/>
        <v>214.9</v>
      </c>
      <c r="J66" s="18"/>
    </row>
    <row r="67" spans="1:10" s="1" customFormat="1" ht="15" customHeight="1">
      <c r="A67" s="9">
        <v>65</v>
      </c>
      <c r="B67" s="10" t="str">
        <f>"202401022"</f>
        <v>202401022</v>
      </c>
      <c r="C67" s="10" t="str">
        <f>"史加冉"</f>
        <v>史加冉</v>
      </c>
      <c r="D67" s="10" t="str">
        <f aca="true" t="shared" si="3" ref="D67:D72">"女"</f>
        <v>女</v>
      </c>
      <c r="E67" s="11" t="str">
        <f>"1998-04-25"</f>
        <v>1998-04-25</v>
      </c>
      <c r="F67" s="10" t="str">
        <f>"202403102006"</f>
        <v>202403102006</v>
      </c>
      <c r="G67" s="12">
        <v>112.5</v>
      </c>
      <c r="H67" s="13">
        <v>116.5</v>
      </c>
      <c r="I67" s="17">
        <f aca="true" t="shared" si="4" ref="I67:I130">SUM(G67:H67)</f>
        <v>229</v>
      </c>
      <c r="J67" s="18"/>
    </row>
    <row r="68" spans="1:10" s="1" customFormat="1" ht="15" customHeight="1">
      <c r="A68" s="9">
        <v>66</v>
      </c>
      <c r="B68" s="10" t="str">
        <f>"202401022"</f>
        <v>202401022</v>
      </c>
      <c r="C68" s="10" t="str">
        <f>"黄雅楠"</f>
        <v>黄雅楠</v>
      </c>
      <c r="D68" s="10" t="str">
        <f t="shared" si="3"/>
        <v>女</v>
      </c>
      <c r="E68" s="11" t="str">
        <f>"1996-05-18"</f>
        <v>1996-05-18</v>
      </c>
      <c r="F68" s="10" t="str">
        <f>"202403102007"</f>
        <v>202403102007</v>
      </c>
      <c r="G68" s="12">
        <v>107.7</v>
      </c>
      <c r="H68" s="13">
        <v>115</v>
      </c>
      <c r="I68" s="17">
        <f t="shared" si="4"/>
        <v>222.7</v>
      </c>
      <c r="J68" s="18"/>
    </row>
    <row r="69" spans="1:10" s="1" customFormat="1" ht="15" customHeight="1">
      <c r="A69" s="9">
        <v>67</v>
      </c>
      <c r="B69" s="10" t="str">
        <f>"202401022"</f>
        <v>202401022</v>
      </c>
      <c r="C69" s="10" t="str">
        <f>"秦晋"</f>
        <v>秦晋</v>
      </c>
      <c r="D69" s="10" t="str">
        <f t="shared" si="3"/>
        <v>女</v>
      </c>
      <c r="E69" s="11" t="str">
        <f>"1995-02-03"</f>
        <v>1995-02-03</v>
      </c>
      <c r="F69" s="10" t="str">
        <f>"202403102021"</f>
        <v>202403102021</v>
      </c>
      <c r="G69" s="12">
        <v>99.7</v>
      </c>
      <c r="H69" s="13">
        <v>117.5</v>
      </c>
      <c r="I69" s="17">
        <f t="shared" si="4"/>
        <v>217.2</v>
      </c>
      <c r="J69" s="18"/>
    </row>
    <row r="70" spans="1:10" s="1" customFormat="1" ht="15" customHeight="1">
      <c r="A70" s="9">
        <v>68</v>
      </c>
      <c r="B70" s="10" t="str">
        <f>"202401023"</f>
        <v>202401023</v>
      </c>
      <c r="C70" s="10" t="str">
        <f>"钱心雨"</f>
        <v>钱心雨</v>
      </c>
      <c r="D70" s="10" t="str">
        <f t="shared" si="3"/>
        <v>女</v>
      </c>
      <c r="E70" s="11" t="str">
        <f>"2000-06-19"</f>
        <v>2000-06-19</v>
      </c>
      <c r="F70" s="10" t="str">
        <f>"202403102123"</f>
        <v>202403102123</v>
      </c>
      <c r="G70" s="12">
        <v>101.8</v>
      </c>
      <c r="H70" s="13">
        <v>115</v>
      </c>
      <c r="I70" s="17">
        <f t="shared" si="4"/>
        <v>216.8</v>
      </c>
      <c r="J70" s="18"/>
    </row>
    <row r="71" spans="1:10" s="1" customFormat="1" ht="15" customHeight="1">
      <c r="A71" s="9">
        <v>69</v>
      </c>
      <c r="B71" s="10" t="str">
        <f>"202401023"</f>
        <v>202401023</v>
      </c>
      <c r="C71" s="10" t="str">
        <f>"高倩茹"</f>
        <v>高倩茹</v>
      </c>
      <c r="D71" s="10" t="str">
        <f t="shared" si="3"/>
        <v>女</v>
      </c>
      <c r="E71" s="11" t="str">
        <f>"1995-08-21"</f>
        <v>1995-08-21</v>
      </c>
      <c r="F71" s="10" t="str">
        <f>"202403102101"</f>
        <v>202403102101</v>
      </c>
      <c r="G71" s="12">
        <v>99.6</v>
      </c>
      <c r="H71" s="13">
        <v>117</v>
      </c>
      <c r="I71" s="17">
        <f t="shared" si="4"/>
        <v>216.6</v>
      </c>
      <c r="J71" s="18"/>
    </row>
    <row r="72" spans="1:10" s="1" customFormat="1" ht="15" customHeight="1">
      <c r="A72" s="9">
        <v>70</v>
      </c>
      <c r="B72" s="10" t="str">
        <f>"202401023"</f>
        <v>202401023</v>
      </c>
      <c r="C72" s="10" t="str">
        <f>"宋涵"</f>
        <v>宋涵</v>
      </c>
      <c r="D72" s="10" t="str">
        <f t="shared" si="3"/>
        <v>女</v>
      </c>
      <c r="E72" s="11" t="str">
        <f>"1998-02-04"</f>
        <v>1998-02-04</v>
      </c>
      <c r="F72" s="10" t="str">
        <f>"202403102122"</f>
        <v>202403102122</v>
      </c>
      <c r="G72" s="12">
        <v>100.6</v>
      </c>
      <c r="H72" s="13">
        <v>115.5</v>
      </c>
      <c r="I72" s="17">
        <f t="shared" si="4"/>
        <v>216.1</v>
      </c>
      <c r="J72" s="18"/>
    </row>
    <row r="73" spans="1:10" s="1" customFormat="1" ht="15" customHeight="1">
      <c r="A73" s="9">
        <v>71</v>
      </c>
      <c r="B73" s="10" t="str">
        <f>"202401024"</f>
        <v>202401024</v>
      </c>
      <c r="C73" s="10" t="str">
        <f>"李璇"</f>
        <v>李璇</v>
      </c>
      <c r="D73" s="10" t="str">
        <f>"男"</f>
        <v>男</v>
      </c>
      <c r="E73" s="11" t="str">
        <f>"2001-02-27"</f>
        <v>2001-02-27</v>
      </c>
      <c r="F73" s="10" t="str">
        <f>"202403102206"</f>
        <v>202403102206</v>
      </c>
      <c r="G73" s="12">
        <v>103.1</v>
      </c>
      <c r="H73" s="13">
        <v>112</v>
      </c>
      <c r="I73" s="17">
        <f t="shared" si="4"/>
        <v>215.1</v>
      </c>
      <c r="J73" s="18"/>
    </row>
    <row r="74" spans="1:10" s="1" customFormat="1" ht="15" customHeight="1">
      <c r="A74" s="9">
        <v>72</v>
      </c>
      <c r="B74" s="10" t="str">
        <f>"202401024"</f>
        <v>202401024</v>
      </c>
      <c r="C74" s="10" t="str">
        <f>"钱昌映"</f>
        <v>钱昌映</v>
      </c>
      <c r="D74" s="10" t="str">
        <f>"男"</f>
        <v>男</v>
      </c>
      <c r="E74" s="11" t="str">
        <f>"2002-12-22"</f>
        <v>2002-12-22</v>
      </c>
      <c r="F74" s="10" t="str">
        <f>"202403102207"</f>
        <v>202403102207</v>
      </c>
      <c r="G74" s="12">
        <v>102.1</v>
      </c>
      <c r="H74" s="13">
        <v>110.5</v>
      </c>
      <c r="I74" s="17">
        <f t="shared" si="4"/>
        <v>212.6</v>
      </c>
      <c r="J74" s="18"/>
    </row>
    <row r="75" spans="1:10" s="1" customFormat="1" ht="15" customHeight="1">
      <c r="A75" s="9">
        <v>73</v>
      </c>
      <c r="B75" s="10" t="str">
        <f>"202401024"</f>
        <v>202401024</v>
      </c>
      <c r="C75" s="10" t="str">
        <f>"李梦媛 "</f>
        <v>李梦媛 </v>
      </c>
      <c r="D75" s="10" t="str">
        <f>"女"</f>
        <v>女</v>
      </c>
      <c r="E75" s="11" t="str">
        <f>"2000-03-30"</f>
        <v>2000-03-30</v>
      </c>
      <c r="F75" s="10" t="str">
        <f>"202403102209"</f>
        <v>202403102209</v>
      </c>
      <c r="G75" s="12">
        <v>100.4</v>
      </c>
      <c r="H75" s="13">
        <v>111</v>
      </c>
      <c r="I75" s="17">
        <f t="shared" si="4"/>
        <v>211.4</v>
      </c>
      <c r="J75" s="18"/>
    </row>
    <row r="76" spans="1:10" s="1" customFormat="1" ht="15" customHeight="1">
      <c r="A76" s="9">
        <v>74</v>
      </c>
      <c r="B76" s="10" t="str">
        <f>"202401025"</f>
        <v>202401025</v>
      </c>
      <c r="C76" s="10" t="str">
        <f>"张俊宝"</f>
        <v>张俊宝</v>
      </c>
      <c r="D76" s="10" t="str">
        <f>"男"</f>
        <v>男</v>
      </c>
      <c r="E76" s="11" t="str">
        <f>"1993-05-04"</f>
        <v>1993-05-04</v>
      </c>
      <c r="F76" s="10" t="str">
        <f>"202403102308"</f>
        <v>202403102308</v>
      </c>
      <c r="G76" s="12">
        <v>109.2</v>
      </c>
      <c r="H76" s="13">
        <v>111</v>
      </c>
      <c r="I76" s="17">
        <f t="shared" si="4"/>
        <v>220.2</v>
      </c>
      <c r="J76" s="18"/>
    </row>
    <row r="77" spans="1:10" s="1" customFormat="1" ht="15" customHeight="1">
      <c r="A77" s="9">
        <v>75</v>
      </c>
      <c r="B77" s="10" t="str">
        <f>"202401025"</f>
        <v>202401025</v>
      </c>
      <c r="C77" s="10" t="str">
        <f>"刘蔓蔓"</f>
        <v>刘蔓蔓</v>
      </c>
      <c r="D77" s="10" t="str">
        <f>"女"</f>
        <v>女</v>
      </c>
      <c r="E77" s="11" t="str">
        <f>"1998-08-13"</f>
        <v>1998-08-13</v>
      </c>
      <c r="F77" s="10" t="str">
        <f>"202403102309"</f>
        <v>202403102309</v>
      </c>
      <c r="G77" s="12">
        <v>99.8</v>
      </c>
      <c r="H77" s="13">
        <v>109.5</v>
      </c>
      <c r="I77" s="17">
        <f t="shared" si="4"/>
        <v>209.3</v>
      </c>
      <c r="J77" s="18"/>
    </row>
    <row r="78" spans="1:10" s="1" customFormat="1" ht="15" customHeight="1">
      <c r="A78" s="9">
        <v>76</v>
      </c>
      <c r="B78" s="10" t="str">
        <f>"202401025"</f>
        <v>202401025</v>
      </c>
      <c r="C78" s="10" t="str">
        <f>"沈鑫"</f>
        <v>沈鑫</v>
      </c>
      <c r="D78" s="10" t="str">
        <f>"男"</f>
        <v>男</v>
      </c>
      <c r="E78" s="11" t="str">
        <f>"1992-12-01"</f>
        <v>1992-12-01</v>
      </c>
      <c r="F78" s="10" t="str">
        <f>"202403102219"</f>
        <v>202403102219</v>
      </c>
      <c r="G78" s="12">
        <v>99.3</v>
      </c>
      <c r="H78" s="13">
        <v>103</v>
      </c>
      <c r="I78" s="17">
        <f t="shared" si="4"/>
        <v>202.3</v>
      </c>
      <c r="J78" s="18"/>
    </row>
    <row r="79" spans="1:10" s="1" customFormat="1" ht="15" customHeight="1">
      <c r="A79" s="9">
        <v>77</v>
      </c>
      <c r="B79" s="10" t="str">
        <f>"202401026"</f>
        <v>202401026</v>
      </c>
      <c r="C79" s="10" t="str">
        <f>"叶祖坤"</f>
        <v>叶祖坤</v>
      </c>
      <c r="D79" s="10" t="str">
        <f>"男"</f>
        <v>男</v>
      </c>
      <c r="E79" s="11" t="str">
        <f>"1994-06-24"</f>
        <v>1994-06-24</v>
      </c>
      <c r="F79" s="10" t="str">
        <f>"202403102427"</f>
        <v>202403102427</v>
      </c>
      <c r="G79" s="12">
        <v>109.9</v>
      </c>
      <c r="H79" s="13">
        <v>109</v>
      </c>
      <c r="I79" s="17">
        <f t="shared" si="4"/>
        <v>218.9</v>
      </c>
      <c r="J79" s="18"/>
    </row>
    <row r="80" spans="1:10" s="1" customFormat="1" ht="15" customHeight="1">
      <c r="A80" s="9">
        <v>78</v>
      </c>
      <c r="B80" s="10" t="str">
        <f>"202401026"</f>
        <v>202401026</v>
      </c>
      <c r="C80" s="10" t="str">
        <f>"郭前毅"</f>
        <v>郭前毅</v>
      </c>
      <c r="D80" s="10" t="str">
        <f>"男"</f>
        <v>男</v>
      </c>
      <c r="E80" s="11" t="str">
        <f>"2002-12-30"</f>
        <v>2002-12-30</v>
      </c>
      <c r="F80" s="10" t="str">
        <f>"202403102425"</f>
        <v>202403102425</v>
      </c>
      <c r="G80" s="12">
        <v>101.8</v>
      </c>
      <c r="H80" s="13">
        <v>117</v>
      </c>
      <c r="I80" s="17">
        <f t="shared" si="4"/>
        <v>218.8</v>
      </c>
      <c r="J80" s="18"/>
    </row>
    <row r="81" spans="1:10" s="1" customFormat="1" ht="15" customHeight="1">
      <c r="A81" s="9">
        <v>79</v>
      </c>
      <c r="B81" s="10" t="str">
        <f>"202401026"</f>
        <v>202401026</v>
      </c>
      <c r="C81" s="10" t="str">
        <f>"刘瑞"</f>
        <v>刘瑞</v>
      </c>
      <c r="D81" s="10" t="str">
        <f aca="true" t="shared" si="5" ref="D81:D87">"女"</f>
        <v>女</v>
      </c>
      <c r="E81" s="11" t="str">
        <f>"2000-09-18"</f>
        <v>2000-09-18</v>
      </c>
      <c r="F81" s="10" t="str">
        <f>"202403102407"</f>
        <v>202403102407</v>
      </c>
      <c r="G81" s="12">
        <v>99</v>
      </c>
      <c r="H81" s="13">
        <v>116</v>
      </c>
      <c r="I81" s="17">
        <f t="shared" si="4"/>
        <v>215</v>
      </c>
      <c r="J81" s="18"/>
    </row>
    <row r="82" spans="1:10" s="1" customFormat="1" ht="15" customHeight="1">
      <c r="A82" s="9">
        <v>80</v>
      </c>
      <c r="B82" s="10" t="str">
        <f>"202401027"</f>
        <v>202401027</v>
      </c>
      <c r="C82" s="10" t="str">
        <f>"陈霜"</f>
        <v>陈霜</v>
      </c>
      <c r="D82" s="10" t="str">
        <f t="shared" si="5"/>
        <v>女</v>
      </c>
      <c r="E82" s="11" t="str">
        <f>"2002-09-23"</f>
        <v>2002-09-23</v>
      </c>
      <c r="F82" s="10" t="str">
        <f>"202403102430"</f>
        <v>202403102430</v>
      </c>
      <c r="G82" s="12">
        <v>103.4</v>
      </c>
      <c r="H82" s="13">
        <v>116.5</v>
      </c>
      <c r="I82" s="17">
        <f t="shared" si="4"/>
        <v>219.9</v>
      </c>
      <c r="J82" s="18"/>
    </row>
    <row r="83" spans="1:10" s="1" customFormat="1" ht="15" customHeight="1">
      <c r="A83" s="9">
        <v>81</v>
      </c>
      <c r="B83" s="10" t="str">
        <f>"202401027"</f>
        <v>202401027</v>
      </c>
      <c r="C83" s="10" t="str">
        <f>"张昀珂"</f>
        <v>张昀珂</v>
      </c>
      <c r="D83" s="10" t="str">
        <f t="shared" si="5"/>
        <v>女</v>
      </c>
      <c r="E83" s="11" t="str">
        <f>"1993-12-30"</f>
        <v>1993-12-30</v>
      </c>
      <c r="F83" s="10" t="str">
        <f>"202403102506"</f>
        <v>202403102506</v>
      </c>
      <c r="G83" s="12">
        <v>107.3</v>
      </c>
      <c r="H83" s="13">
        <v>112</v>
      </c>
      <c r="I83" s="17">
        <f t="shared" si="4"/>
        <v>219.3</v>
      </c>
      <c r="J83" s="18"/>
    </row>
    <row r="84" spans="1:10" s="1" customFormat="1" ht="15" customHeight="1">
      <c r="A84" s="9">
        <v>82</v>
      </c>
      <c r="B84" s="10" t="str">
        <f>"202401027"</f>
        <v>202401027</v>
      </c>
      <c r="C84" s="10" t="str">
        <f>"王旭"</f>
        <v>王旭</v>
      </c>
      <c r="D84" s="10" t="str">
        <f t="shared" si="5"/>
        <v>女</v>
      </c>
      <c r="E84" s="11" t="str">
        <f>"1993-05-10"</f>
        <v>1993-05-10</v>
      </c>
      <c r="F84" s="10" t="str">
        <f>"202403102511"</f>
        <v>202403102511</v>
      </c>
      <c r="G84" s="12">
        <v>89.9</v>
      </c>
      <c r="H84" s="13">
        <v>121</v>
      </c>
      <c r="I84" s="17">
        <f t="shared" si="4"/>
        <v>210.9</v>
      </c>
      <c r="J84" s="18"/>
    </row>
    <row r="85" spans="1:10" s="1" customFormat="1" ht="15" customHeight="1">
      <c r="A85" s="9">
        <v>83</v>
      </c>
      <c r="B85" s="10" t="str">
        <f>"202401028"</f>
        <v>202401028</v>
      </c>
      <c r="C85" s="10" t="str">
        <f>"杨馥萌"</f>
        <v>杨馥萌</v>
      </c>
      <c r="D85" s="10" t="str">
        <f t="shared" si="5"/>
        <v>女</v>
      </c>
      <c r="E85" s="11" t="str">
        <f>"1995-05-04"</f>
        <v>1995-05-04</v>
      </c>
      <c r="F85" s="10" t="str">
        <f>"202403102614"</f>
        <v>202403102614</v>
      </c>
      <c r="G85" s="12">
        <v>119.5</v>
      </c>
      <c r="H85" s="13">
        <v>112</v>
      </c>
      <c r="I85" s="17">
        <f t="shared" si="4"/>
        <v>231.5</v>
      </c>
      <c r="J85" s="18"/>
    </row>
    <row r="86" spans="1:10" s="1" customFormat="1" ht="15" customHeight="1">
      <c r="A86" s="9">
        <v>84</v>
      </c>
      <c r="B86" s="10" t="str">
        <f>"202401028"</f>
        <v>202401028</v>
      </c>
      <c r="C86" s="10" t="str">
        <f>"谭英涵"</f>
        <v>谭英涵</v>
      </c>
      <c r="D86" s="10" t="str">
        <f t="shared" si="5"/>
        <v>女</v>
      </c>
      <c r="E86" s="11" t="str">
        <f>"2001-01-29"</f>
        <v>2001-01-29</v>
      </c>
      <c r="F86" s="10" t="str">
        <f>"202403102611"</f>
        <v>202403102611</v>
      </c>
      <c r="G86" s="12">
        <v>115.6</v>
      </c>
      <c r="H86" s="13">
        <v>108.5</v>
      </c>
      <c r="I86" s="17">
        <f t="shared" si="4"/>
        <v>224.1</v>
      </c>
      <c r="J86" s="18"/>
    </row>
    <row r="87" spans="1:10" s="1" customFormat="1" ht="15" customHeight="1">
      <c r="A87" s="9">
        <v>85</v>
      </c>
      <c r="B87" s="10" t="str">
        <f>"202401028"</f>
        <v>202401028</v>
      </c>
      <c r="C87" s="10" t="str">
        <f>"洪仲莹"</f>
        <v>洪仲莹</v>
      </c>
      <c r="D87" s="10" t="str">
        <f t="shared" si="5"/>
        <v>女</v>
      </c>
      <c r="E87" s="11" t="str">
        <f>"1997-02-23"</f>
        <v>1997-02-23</v>
      </c>
      <c r="F87" s="10" t="str">
        <f>"202403102605"</f>
        <v>202403102605</v>
      </c>
      <c r="G87" s="12">
        <v>103.3</v>
      </c>
      <c r="H87" s="13">
        <v>113.5</v>
      </c>
      <c r="I87" s="17">
        <f t="shared" si="4"/>
        <v>216.8</v>
      </c>
      <c r="J87" s="18"/>
    </row>
    <row r="88" spans="1:10" s="1" customFormat="1" ht="15" customHeight="1">
      <c r="A88" s="9">
        <v>86</v>
      </c>
      <c r="B88" s="10" t="str">
        <f aca="true" t="shared" si="6" ref="B88:B93">"202401029"</f>
        <v>202401029</v>
      </c>
      <c r="C88" s="10" t="str">
        <f>"宫珏"</f>
        <v>宫珏</v>
      </c>
      <c r="D88" s="10" t="str">
        <f aca="true" t="shared" si="7" ref="D88:D99">"男"</f>
        <v>男</v>
      </c>
      <c r="E88" s="11" t="str">
        <f>"2000-09-05"</f>
        <v>2000-09-05</v>
      </c>
      <c r="F88" s="10" t="str">
        <f>"202403102628"</f>
        <v>202403102628</v>
      </c>
      <c r="G88" s="12">
        <v>116</v>
      </c>
      <c r="H88" s="13">
        <v>108.5</v>
      </c>
      <c r="I88" s="17">
        <f t="shared" si="4"/>
        <v>224.5</v>
      </c>
      <c r="J88" s="18"/>
    </row>
    <row r="89" spans="1:10" s="1" customFormat="1" ht="15" customHeight="1">
      <c r="A89" s="9">
        <v>87</v>
      </c>
      <c r="B89" s="10" t="str">
        <f t="shared" si="6"/>
        <v>202401029</v>
      </c>
      <c r="C89" s="10" t="str">
        <f>"庄建华"</f>
        <v>庄建华</v>
      </c>
      <c r="D89" s="10" t="str">
        <f t="shared" si="7"/>
        <v>男</v>
      </c>
      <c r="E89" s="11" t="str">
        <f>"1998-02-02"</f>
        <v>1998-02-02</v>
      </c>
      <c r="F89" s="10" t="str">
        <f>"202403102630"</f>
        <v>202403102630</v>
      </c>
      <c r="G89" s="12">
        <v>110.3</v>
      </c>
      <c r="H89" s="13">
        <v>112</v>
      </c>
      <c r="I89" s="17">
        <f t="shared" si="4"/>
        <v>222.3</v>
      </c>
      <c r="J89" s="18"/>
    </row>
    <row r="90" spans="1:10" s="1" customFormat="1" ht="15" customHeight="1">
      <c r="A90" s="9">
        <v>88</v>
      </c>
      <c r="B90" s="10" t="str">
        <f t="shared" si="6"/>
        <v>202401029</v>
      </c>
      <c r="C90" s="10" t="str">
        <f>"刘浩"</f>
        <v>刘浩</v>
      </c>
      <c r="D90" s="10" t="str">
        <f t="shared" si="7"/>
        <v>男</v>
      </c>
      <c r="E90" s="11" t="str">
        <f>"1999-09-14"</f>
        <v>1999-09-14</v>
      </c>
      <c r="F90" s="10" t="str">
        <f>"202403102722"</f>
        <v>202403102722</v>
      </c>
      <c r="G90" s="12">
        <v>107.1</v>
      </c>
      <c r="H90" s="13">
        <v>114</v>
      </c>
      <c r="I90" s="17">
        <f t="shared" si="4"/>
        <v>221.1</v>
      </c>
      <c r="J90" s="18"/>
    </row>
    <row r="91" spans="1:10" s="1" customFormat="1" ht="15" customHeight="1">
      <c r="A91" s="9">
        <v>89</v>
      </c>
      <c r="B91" s="10" t="str">
        <f t="shared" si="6"/>
        <v>202401029</v>
      </c>
      <c r="C91" s="10" t="str">
        <f>"於丙乐"</f>
        <v>於丙乐</v>
      </c>
      <c r="D91" s="10" t="str">
        <f t="shared" si="7"/>
        <v>男</v>
      </c>
      <c r="E91" s="11" t="str">
        <f>"1992-07-28"</f>
        <v>1992-07-28</v>
      </c>
      <c r="F91" s="10" t="str">
        <f>"202403102720"</f>
        <v>202403102720</v>
      </c>
      <c r="G91" s="12">
        <v>105.7</v>
      </c>
      <c r="H91" s="13">
        <v>114.5</v>
      </c>
      <c r="I91" s="17">
        <f t="shared" si="4"/>
        <v>220.2</v>
      </c>
      <c r="J91" s="18"/>
    </row>
    <row r="92" spans="1:10" s="1" customFormat="1" ht="15" customHeight="1">
      <c r="A92" s="9">
        <v>90</v>
      </c>
      <c r="B92" s="10" t="str">
        <f t="shared" si="6"/>
        <v>202401029</v>
      </c>
      <c r="C92" s="10" t="str">
        <f>"冯建儒"</f>
        <v>冯建儒</v>
      </c>
      <c r="D92" s="10" t="str">
        <f t="shared" si="7"/>
        <v>男</v>
      </c>
      <c r="E92" s="11" t="str">
        <f>"1992-06-10"</f>
        <v>1992-06-10</v>
      </c>
      <c r="F92" s="10" t="str">
        <f>"202403102817"</f>
        <v>202403102817</v>
      </c>
      <c r="G92" s="12">
        <v>105.3</v>
      </c>
      <c r="H92" s="13">
        <v>113.5</v>
      </c>
      <c r="I92" s="17">
        <f t="shared" si="4"/>
        <v>218.8</v>
      </c>
      <c r="J92" s="18"/>
    </row>
    <row r="93" spans="1:10" s="1" customFormat="1" ht="15" customHeight="1">
      <c r="A93" s="9">
        <v>91</v>
      </c>
      <c r="B93" s="10" t="str">
        <f t="shared" si="6"/>
        <v>202401029</v>
      </c>
      <c r="C93" s="10" t="str">
        <f>"张海达"</f>
        <v>张海达</v>
      </c>
      <c r="D93" s="10" t="str">
        <f t="shared" si="7"/>
        <v>男</v>
      </c>
      <c r="E93" s="11" t="str">
        <f>"1997-04-13"</f>
        <v>1997-04-13</v>
      </c>
      <c r="F93" s="10" t="str">
        <f>"202403102705"</f>
        <v>202403102705</v>
      </c>
      <c r="G93" s="12">
        <v>110.2</v>
      </c>
      <c r="H93" s="13">
        <v>108</v>
      </c>
      <c r="I93" s="17">
        <f t="shared" si="4"/>
        <v>218.2</v>
      </c>
      <c r="J93" s="18"/>
    </row>
    <row r="94" spans="1:10" s="1" customFormat="1" ht="15" customHeight="1">
      <c r="A94" s="9">
        <v>92</v>
      </c>
      <c r="B94" s="10" t="str">
        <f>"202401030"</f>
        <v>202401030</v>
      </c>
      <c r="C94" s="10" t="str">
        <f>"孙雅杰"</f>
        <v>孙雅杰</v>
      </c>
      <c r="D94" s="10" t="str">
        <f>"女"</f>
        <v>女</v>
      </c>
      <c r="E94" s="11" t="str">
        <f>"1990-01-05"</f>
        <v>1990-01-05</v>
      </c>
      <c r="F94" s="10" t="str">
        <f>"202403102907"</f>
        <v>202403102907</v>
      </c>
      <c r="G94" s="12">
        <v>99.5</v>
      </c>
      <c r="H94" s="13">
        <v>121</v>
      </c>
      <c r="I94" s="17">
        <f t="shared" si="4"/>
        <v>220.5</v>
      </c>
      <c r="J94" s="18"/>
    </row>
    <row r="95" spans="1:10" s="1" customFormat="1" ht="15" customHeight="1">
      <c r="A95" s="9">
        <v>93</v>
      </c>
      <c r="B95" s="10" t="str">
        <f>"202401030"</f>
        <v>202401030</v>
      </c>
      <c r="C95" s="10" t="str">
        <f>"刘苏乐"</f>
        <v>刘苏乐</v>
      </c>
      <c r="D95" s="10" t="str">
        <f>"女"</f>
        <v>女</v>
      </c>
      <c r="E95" s="11" t="str">
        <f>"1997-09-28"</f>
        <v>1997-09-28</v>
      </c>
      <c r="F95" s="10" t="str">
        <f>"202403102901"</f>
        <v>202403102901</v>
      </c>
      <c r="G95" s="12">
        <v>106.6</v>
      </c>
      <c r="H95" s="13">
        <v>113</v>
      </c>
      <c r="I95" s="17">
        <f t="shared" si="4"/>
        <v>219.6</v>
      </c>
      <c r="J95" s="18"/>
    </row>
    <row r="96" spans="1:10" s="1" customFormat="1" ht="15" customHeight="1">
      <c r="A96" s="9">
        <v>94</v>
      </c>
      <c r="B96" s="10" t="str">
        <f>"202401030"</f>
        <v>202401030</v>
      </c>
      <c r="C96" s="10" t="str">
        <f>"邵静婕"</f>
        <v>邵静婕</v>
      </c>
      <c r="D96" s="10" t="str">
        <f>"女"</f>
        <v>女</v>
      </c>
      <c r="E96" s="11" t="str">
        <f>"1997-04-08"</f>
        <v>1997-04-08</v>
      </c>
      <c r="F96" s="10" t="str">
        <f>"202403102830"</f>
        <v>202403102830</v>
      </c>
      <c r="G96" s="12">
        <v>101.4</v>
      </c>
      <c r="H96" s="13">
        <v>117</v>
      </c>
      <c r="I96" s="17">
        <f t="shared" si="4"/>
        <v>218.4</v>
      </c>
      <c r="J96" s="18"/>
    </row>
    <row r="97" spans="1:10" s="1" customFormat="1" ht="15" customHeight="1">
      <c r="A97" s="9">
        <v>95</v>
      </c>
      <c r="B97" s="10" t="str">
        <f>"202401031"</f>
        <v>202401031</v>
      </c>
      <c r="C97" s="10" t="str">
        <f>"薛雨婷"</f>
        <v>薛雨婷</v>
      </c>
      <c r="D97" s="10" t="str">
        <f>"女"</f>
        <v>女</v>
      </c>
      <c r="E97" s="11" t="str">
        <f>"2000-04-14"</f>
        <v>2000-04-14</v>
      </c>
      <c r="F97" s="10" t="str">
        <f>"202403102920"</f>
        <v>202403102920</v>
      </c>
      <c r="G97" s="12">
        <v>111.6</v>
      </c>
      <c r="H97" s="13">
        <v>121</v>
      </c>
      <c r="I97" s="17">
        <f t="shared" si="4"/>
        <v>232.6</v>
      </c>
      <c r="J97" s="18"/>
    </row>
    <row r="98" spans="1:10" s="1" customFormat="1" ht="15" customHeight="1">
      <c r="A98" s="9">
        <v>96</v>
      </c>
      <c r="B98" s="10" t="str">
        <f>"202401031"</f>
        <v>202401031</v>
      </c>
      <c r="C98" s="10" t="str">
        <f>"唐陈玲"</f>
        <v>唐陈玲</v>
      </c>
      <c r="D98" s="10" t="str">
        <f>"女"</f>
        <v>女</v>
      </c>
      <c r="E98" s="11" t="str">
        <f>"2001-03-16"</f>
        <v>2001-03-16</v>
      </c>
      <c r="F98" s="10" t="str">
        <f>"202403103003"</f>
        <v>202403103003</v>
      </c>
      <c r="G98" s="12">
        <v>109</v>
      </c>
      <c r="H98" s="13">
        <v>118</v>
      </c>
      <c r="I98" s="17">
        <f t="shared" si="4"/>
        <v>227</v>
      </c>
      <c r="J98" s="18"/>
    </row>
    <row r="99" spans="1:10" s="1" customFormat="1" ht="15" customHeight="1">
      <c r="A99" s="9">
        <v>97</v>
      </c>
      <c r="B99" s="10" t="str">
        <f>"202401031"</f>
        <v>202401031</v>
      </c>
      <c r="C99" s="10" t="str">
        <f>"年军校"</f>
        <v>年军校</v>
      </c>
      <c r="D99" s="10" t="str">
        <f>"男"</f>
        <v>男</v>
      </c>
      <c r="E99" s="11" t="str">
        <f>"1998-02-05"</f>
        <v>1998-02-05</v>
      </c>
      <c r="F99" s="10" t="str">
        <f>"202403103002"</f>
        <v>202403103002</v>
      </c>
      <c r="G99" s="12">
        <v>107.9</v>
      </c>
      <c r="H99" s="13">
        <v>110</v>
      </c>
      <c r="I99" s="17">
        <f t="shared" si="4"/>
        <v>217.9</v>
      </c>
      <c r="J99" s="18"/>
    </row>
    <row r="100" spans="1:10" s="1" customFormat="1" ht="15" customHeight="1">
      <c r="A100" s="9">
        <v>98</v>
      </c>
      <c r="B100" s="10" t="str">
        <f>"202401032"</f>
        <v>202401032</v>
      </c>
      <c r="C100" s="10" t="str">
        <f>"徐新雅"</f>
        <v>徐新雅</v>
      </c>
      <c r="D100" s="10" t="str">
        <f>"女"</f>
        <v>女</v>
      </c>
      <c r="E100" s="11" t="str">
        <f>"2000-12-08"</f>
        <v>2000-12-08</v>
      </c>
      <c r="F100" s="10" t="str">
        <f>"202403103017"</f>
        <v>202403103017</v>
      </c>
      <c r="G100" s="12">
        <v>106</v>
      </c>
      <c r="H100" s="13">
        <v>111</v>
      </c>
      <c r="I100" s="17">
        <f t="shared" si="4"/>
        <v>217</v>
      </c>
      <c r="J100" s="18"/>
    </row>
    <row r="101" spans="1:10" s="1" customFormat="1" ht="15" customHeight="1">
      <c r="A101" s="9">
        <v>99</v>
      </c>
      <c r="B101" s="10" t="str">
        <f>"202401032"</f>
        <v>202401032</v>
      </c>
      <c r="C101" s="10" t="str">
        <f>"张明明"</f>
        <v>张明明</v>
      </c>
      <c r="D101" s="10" t="str">
        <f>"男"</f>
        <v>男</v>
      </c>
      <c r="E101" s="11" t="str">
        <f>"1992-02-14"</f>
        <v>1992-02-14</v>
      </c>
      <c r="F101" s="10" t="str">
        <f>"202403103116"</f>
        <v>202403103116</v>
      </c>
      <c r="G101" s="12">
        <v>107.5</v>
      </c>
      <c r="H101" s="13">
        <v>109</v>
      </c>
      <c r="I101" s="17">
        <f t="shared" si="4"/>
        <v>216.5</v>
      </c>
      <c r="J101" s="18"/>
    </row>
    <row r="102" spans="1:10" s="1" customFormat="1" ht="15" customHeight="1">
      <c r="A102" s="9">
        <v>100</v>
      </c>
      <c r="B102" s="10" t="str">
        <f>"202401032"</f>
        <v>202401032</v>
      </c>
      <c r="C102" s="10" t="str">
        <f>"邓娉婷"</f>
        <v>邓娉婷</v>
      </c>
      <c r="D102" s="10" t="str">
        <f>"女"</f>
        <v>女</v>
      </c>
      <c r="E102" s="11" t="str">
        <f>"1996-07-12"</f>
        <v>1996-07-12</v>
      </c>
      <c r="F102" s="10" t="str">
        <f>"202403103110"</f>
        <v>202403103110</v>
      </c>
      <c r="G102" s="12">
        <v>99.8</v>
      </c>
      <c r="H102" s="13">
        <v>115.5</v>
      </c>
      <c r="I102" s="17">
        <f t="shared" si="4"/>
        <v>215.3</v>
      </c>
      <c r="J102" s="18"/>
    </row>
    <row r="103" spans="1:10" s="1" customFormat="1" ht="15" customHeight="1">
      <c r="A103" s="9">
        <v>101</v>
      </c>
      <c r="B103" s="10" t="str">
        <f aca="true" t="shared" si="8" ref="B103:B130">"202401033"</f>
        <v>202401033</v>
      </c>
      <c r="C103" s="10" t="str">
        <f>"王志学"</f>
        <v>王志学</v>
      </c>
      <c r="D103" s="10" t="str">
        <f>"男"</f>
        <v>男</v>
      </c>
      <c r="E103" s="11" t="str">
        <f>"1999-08-06"</f>
        <v>1999-08-06</v>
      </c>
      <c r="F103" s="10" t="str">
        <f>"202403103130"</f>
        <v>202403103130</v>
      </c>
      <c r="G103" s="12">
        <v>107.6</v>
      </c>
      <c r="H103" s="13">
        <v>117</v>
      </c>
      <c r="I103" s="17">
        <f t="shared" si="4"/>
        <v>224.6</v>
      </c>
      <c r="J103" s="18"/>
    </row>
    <row r="104" spans="1:10" s="1" customFormat="1" ht="15" customHeight="1">
      <c r="A104" s="9">
        <v>102</v>
      </c>
      <c r="B104" s="10" t="str">
        <f t="shared" si="8"/>
        <v>202401033</v>
      </c>
      <c r="C104" s="10" t="str">
        <f>"龚春生"</f>
        <v>龚春生</v>
      </c>
      <c r="D104" s="10" t="str">
        <f>"男"</f>
        <v>男</v>
      </c>
      <c r="E104" s="11" t="str">
        <f>"1998-01-30"</f>
        <v>1998-01-30</v>
      </c>
      <c r="F104" s="10" t="str">
        <f>"202403103129"</f>
        <v>202403103129</v>
      </c>
      <c r="G104" s="12">
        <v>109</v>
      </c>
      <c r="H104" s="13">
        <v>111</v>
      </c>
      <c r="I104" s="17">
        <f t="shared" si="4"/>
        <v>220</v>
      </c>
      <c r="J104" s="18"/>
    </row>
    <row r="105" spans="1:10" s="1" customFormat="1" ht="15" customHeight="1">
      <c r="A105" s="9">
        <v>103</v>
      </c>
      <c r="B105" s="10" t="str">
        <f t="shared" si="8"/>
        <v>202401033</v>
      </c>
      <c r="C105" s="10" t="str">
        <f>"朱宇辰"</f>
        <v>朱宇辰</v>
      </c>
      <c r="D105" s="10" t="str">
        <f>"男"</f>
        <v>男</v>
      </c>
      <c r="E105" s="11" t="str">
        <f>"2001-07-08"</f>
        <v>2001-07-08</v>
      </c>
      <c r="F105" s="10" t="str">
        <f>"202403103214"</f>
        <v>202403103214</v>
      </c>
      <c r="G105" s="12">
        <v>105.3</v>
      </c>
      <c r="H105" s="13">
        <v>110.5</v>
      </c>
      <c r="I105" s="17">
        <f t="shared" si="4"/>
        <v>215.8</v>
      </c>
      <c r="J105" s="18"/>
    </row>
    <row r="106" spans="1:10" s="1" customFormat="1" ht="15" customHeight="1">
      <c r="A106" s="9">
        <v>104</v>
      </c>
      <c r="B106" s="10" t="str">
        <f t="shared" si="8"/>
        <v>202401033</v>
      </c>
      <c r="C106" s="10" t="str">
        <f>"刘巧玉"</f>
        <v>刘巧玉</v>
      </c>
      <c r="D106" s="10" t="str">
        <f>"女"</f>
        <v>女</v>
      </c>
      <c r="E106" s="11" t="str">
        <f>"1996-06-06"</f>
        <v>1996-06-06</v>
      </c>
      <c r="F106" s="10" t="str">
        <f>"202403103211"</f>
        <v>202403103211</v>
      </c>
      <c r="G106" s="12">
        <v>104.2</v>
      </c>
      <c r="H106" s="13">
        <v>110</v>
      </c>
      <c r="I106" s="17">
        <f t="shared" si="4"/>
        <v>214.2</v>
      </c>
      <c r="J106" s="18"/>
    </row>
    <row r="107" spans="1:10" s="1" customFormat="1" ht="15" customHeight="1">
      <c r="A107" s="9">
        <v>105</v>
      </c>
      <c r="B107" s="10" t="str">
        <f t="shared" si="8"/>
        <v>202401033</v>
      </c>
      <c r="C107" s="10" t="str">
        <f>"化明惠"</f>
        <v>化明惠</v>
      </c>
      <c r="D107" s="10" t="str">
        <f>"女"</f>
        <v>女</v>
      </c>
      <c r="E107" s="11" t="str">
        <f>"2001-02-10"</f>
        <v>2001-02-10</v>
      </c>
      <c r="F107" s="10" t="str">
        <f>"202403103207"</f>
        <v>202403103207</v>
      </c>
      <c r="G107" s="12">
        <v>89.7</v>
      </c>
      <c r="H107" s="13">
        <v>120.5</v>
      </c>
      <c r="I107" s="17">
        <f t="shared" si="4"/>
        <v>210.2</v>
      </c>
      <c r="J107" s="18"/>
    </row>
    <row r="108" spans="1:10" s="1" customFormat="1" ht="15" customHeight="1">
      <c r="A108" s="9">
        <v>106</v>
      </c>
      <c r="B108" s="10" t="str">
        <f t="shared" si="8"/>
        <v>202401033</v>
      </c>
      <c r="C108" s="10" t="str">
        <f>"李凡"</f>
        <v>李凡</v>
      </c>
      <c r="D108" s="10" t="str">
        <f>"女"</f>
        <v>女</v>
      </c>
      <c r="E108" s="11" t="str">
        <f>"1998-11-01"</f>
        <v>1998-11-01</v>
      </c>
      <c r="F108" s="10" t="str">
        <f>"202403103201"</f>
        <v>202403103201</v>
      </c>
      <c r="G108" s="12">
        <v>102.2</v>
      </c>
      <c r="H108" s="13">
        <v>106.5</v>
      </c>
      <c r="I108" s="17">
        <f t="shared" si="4"/>
        <v>208.7</v>
      </c>
      <c r="J108" s="18"/>
    </row>
    <row r="109" spans="1:10" s="1" customFormat="1" ht="15" customHeight="1">
      <c r="A109" s="9">
        <v>107</v>
      </c>
      <c r="B109" s="10" t="str">
        <f>"202401034"</f>
        <v>202401034</v>
      </c>
      <c r="C109" s="10" t="str">
        <f>"王银泉"</f>
        <v>王银泉</v>
      </c>
      <c r="D109" s="10" t="str">
        <f>"男"</f>
        <v>男</v>
      </c>
      <c r="E109" s="11" t="str">
        <f>"1991-01-25"</f>
        <v>1991-01-25</v>
      </c>
      <c r="F109" s="10" t="str">
        <f>"202403103301"</f>
        <v>202403103301</v>
      </c>
      <c r="G109" s="12">
        <v>106.9</v>
      </c>
      <c r="H109" s="13">
        <v>108.5</v>
      </c>
      <c r="I109" s="17">
        <f t="shared" si="4"/>
        <v>215.4</v>
      </c>
      <c r="J109" s="18"/>
    </row>
    <row r="110" spans="1:10" s="1" customFormat="1" ht="15" customHeight="1">
      <c r="A110" s="9">
        <v>108</v>
      </c>
      <c r="B110" s="10" t="str">
        <f>"202401034"</f>
        <v>202401034</v>
      </c>
      <c r="C110" s="10" t="str">
        <f>"代旭"</f>
        <v>代旭</v>
      </c>
      <c r="D110" s="10" t="str">
        <f>"男"</f>
        <v>男</v>
      </c>
      <c r="E110" s="11" t="str">
        <f>"1997-10-14"</f>
        <v>1997-10-14</v>
      </c>
      <c r="F110" s="10" t="str">
        <f>"202403103218"</f>
        <v>202403103218</v>
      </c>
      <c r="G110" s="12">
        <v>103</v>
      </c>
      <c r="H110" s="13">
        <v>110</v>
      </c>
      <c r="I110" s="17">
        <f t="shared" si="4"/>
        <v>213</v>
      </c>
      <c r="J110" s="18"/>
    </row>
    <row r="111" spans="1:10" s="1" customFormat="1" ht="15" customHeight="1">
      <c r="A111" s="9">
        <v>109</v>
      </c>
      <c r="B111" s="10" t="str">
        <f>"202401034"</f>
        <v>202401034</v>
      </c>
      <c r="C111" s="10" t="str">
        <f>"周游"</f>
        <v>周游</v>
      </c>
      <c r="D111" s="10" t="str">
        <f>"男"</f>
        <v>男</v>
      </c>
      <c r="E111" s="11" t="str">
        <f>"1999-01-13"</f>
        <v>1999-01-13</v>
      </c>
      <c r="F111" s="10" t="str">
        <f>"202403103227"</f>
        <v>202403103227</v>
      </c>
      <c r="G111" s="12">
        <v>92.5</v>
      </c>
      <c r="H111" s="13">
        <v>111.5</v>
      </c>
      <c r="I111" s="17">
        <f t="shared" si="4"/>
        <v>204</v>
      </c>
      <c r="J111" s="18"/>
    </row>
    <row r="112" spans="1:10" s="1" customFormat="1" ht="15" customHeight="1">
      <c r="A112" s="9">
        <v>110</v>
      </c>
      <c r="B112" s="10" t="str">
        <f>"202401035"</f>
        <v>202401035</v>
      </c>
      <c r="C112" s="10" t="str">
        <f>"易月明"</f>
        <v>易月明</v>
      </c>
      <c r="D112" s="10" t="str">
        <f>"女"</f>
        <v>女</v>
      </c>
      <c r="E112" s="11" t="str">
        <f>"1996-09-27"</f>
        <v>1996-09-27</v>
      </c>
      <c r="F112" s="10" t="str">
        <f>"202403103317"</f>
        <v>202403103317</v>
      </c>
      <c r="G112" s="12">
        <v>113.9</v>
      </c>
      <c r="H112" s="13">
        <v>105</v>
      </c>
      <c r="I112" s="17">
        <f t="shared" si="4"/>
        <v>218.9</v>
      </c>
      <c r="J112" s="18"/>
    </row>
    <row r="113" spans="1:10" s="1" customFormat="1" ht="15" customHeight="1">
      <c r="A113" s="9">
        <v>111</v>
      </c>
      <c r="B113" s="10" t="str">
        <f>"202401035"</f>
        <v>202401035</v>
      </c>
      <c r="C113" s="10" t="str">
        <f>"孟令婷"</f>
        <v>孟令婷</v>
      </c>
      <c r="D113" s="10" t="str">
        <f>"女"</f>
        <v>女</v>
      </c>
      <c r="E113" s="11" t="str">
        <f>"1997-04-29"</f>
        <v>1997-04-29</v>
      </c>
      <c r="F113" s="10" t="str">
        <f>"202403103309"</f>
        <v>202403103309</v>
      </c>
      <c r="G113" s="12">
        <v>93.2</v>
      </c>
      <c r="H113" s="13">
        <v>113</v>
      </c>
      <c r="I113" s="17">
        <f t="shared" si="4"/>
        <v>206.2</v>
      </c>
      <c r="J113" s="18"/>
    </row>
    <row r="114" spans="1:10" s="1" customFormat="1" ht="15" customHeight="1">
      <c r="A114" s="9">
        <v>112</v>
      </c>
      <c r="B114" s="10" t="str">
        <f>"202401035"</f>
        <v>202401035</v>
      </c>
      <c r="C114" s="10" t="str">
        <f>"谷赛爽"</f>
        <v>谷赛爽</v>
      </c>
      <c r="D114" s="10" t="str">
        <f>"女"</f>
        <v>女</v>
      </c>
      <c r="E114" s="11" t="str">
        <f>"2001-11-14"</f>
        <v>2001-11-14</v>
      </c>
      <c r="F114" s="10" t="str">
        <f>"202403103314"</f>
        <v>202403103314</v>
      </c>
      <c r="G114" s="12">
        <v>97.7</v>
      </c>
      <c r="H114" s="13">
        <v>106</v>
      </c>
      <c r="I114" s="17">
        <f t="shared" si="4"/>
        <v>203.7</v>
      </c>
      <c r="J114" s="18"/>
    </row>
    <row r="115" spans="1:10" s="1" customFormat="1" ht="15" customHeight="1">
      <c r="A115" s="9">
        <v>113</v>
      </c>
      <c r="B115" s="10" t="str">
        <f>"202401036"</f>
        <v>202401036</v>
      </c>
      <c r="C115" s="10" t="str">
        <f>"汪澳"</f>
        <v>汪澳</v>
      </c>
      <c r="D115" s="10" t="str">
        <f>"男"</f>
        <v>男</v>
      </c>
      <c r="E115" s="11" t="str">
        <f>"1999-10-24"</f>
        <v>1999-10-24</v>
      </c>
      <c r="F115" s="10" t="str">
        <f>"202403103407"</f>
        <v>202403103407</v>
      </c>
      <c r="G115" s="12">
        <v>103.1</v>
      </c>
      <c r="H115" s="13">
        <v>114.5</v>
      </c>
      <c r="I115" s="17">
        <f t="shared" si="4"/>
        <v>217.6</v>
      </c>
      <c r="J115" s="18"/>
    </row>
    <row r="116" spans="1:10" s="1" customFormat="1" ht="15" customHeight="1">
      <c r="A116" s="9">
        <v>114</v>
      </c>
      <c r="B116" s="10" t="str">
        <f>"202401036"</f>
        <v>202401036</v>
      </c>
      <c r="C116" s="10" t="str">
        <f>"刘晓雨"</f>
        <v>刘晓雨</v>
      </c>
      <c r="D116" s="10" t="str">
        <f>"男"</f>
        <v>男</v>
      </c>
      <c r="E116" s="11" t="str">
        <f>"1996-10-29"</f>
        <v>1996-10-29</v>
      </c>
      <c r="F116" s="10" t="str">
        <f>"202403103417"</f>
        <v>202403103417</v>
      </c>
      <c r="G116" s="12">
        <v>104.7</v>
      </c>
      <c r="H116" s="13">
        <v>110</v>
      </c>
      <c r="I116" s="17">
        <f t="shared" si="4"/>
        <v>214.7</v>
      </c>
      <c r="J116" s="18"/>
    </row>
    <row r="117" spans="1:10" s="1" customFormat="1" ht="15" customHeight="1">
      <c r="A117" s="9">
        <v>115</v>
      </c>
      <c r="B117" s="10" t="str">
        <f>"202401036"</f>
        <v>202401036</v>
      </c>
      <c r="C117" s="10" t="str">
        <f>"王洪峰"</f>
        <v>王洪峰</v>
      </c>
      <c r="D117" s="10" t="str">
        <f>"男"</f>
        <v>男</v>
      </c>
      <c r="E117" s="11" t="str">
        <f>"1994-07-06"</f>
        <v>1994-07-06</v>
      </c>
      <c r="F117" s="10" t="str">
        <f>"202403103413"</f>
        <v>202403103413</v>
      </c>
      <c r="G117" s="12">
        <v>104.1</v>
      </c>
      <c r="H117" s="13">
        <v>110</v>
      </c>
      <c r="I117" s="17">
        <f t="shared" si="4"/>
        <v>214.1</v>
      </c>
      <c r="J117" s="18"/>
    </row>
    <row r="118" spans="1:10" s="1" customFormat="1" ht="15" customHeight="1">
      <c r="A118" s="9">
        <v>116</v>
      </c>
      <c r="B118" s="10" t="str">
        <f>"202401037"</f>
        <v>202401037</v>
      </c>
      <c r="C118" s="10" t="str">
        <f>"刘华洲"</f>
        <v>刘华洲</v>
      </c>
      <c r="D118" s="10" t="str">
        <f>"男"</f>
        <v>男</v>
      </c>
      <c r="E118" s="11" t="str">
        <f>"1997-09-26"</f>
        <v>1997-09-26</v>
      </c>
      <c r="F118" s="10" t="str">
        <f>"202403103504"</f>
        <v>202403103504</v>
      </c>
      <c r="G118" s="12">
        <v>109.9</v>
      </c>
      <c r="H118" s="13">
        <v>114.5</v>
      </c>
      <c r="I118" s="17">
        <f t="shared" si="4"/>
        <v>224.4</v>
      </c>
      <c r="J118" s="18"/>
    </row>
    <row r="119" spans="1:10" s="1" customFormat="1" ht="15" customHeight="1">
      <c r="A119" s="9">
        <v>117</v>
      </c>
      <c r="B119" s="10" t="str">
        <f>"202401037"</f>
        <v>202401037</v>
      </c>
      <c r="C119" s="10" t="str">
        <f>"王思涛"</f>
        <v>王思涛</v>
      </c>
      <c r="D119" s="10" t="str">
        <f>"男"</f>
        <v>男</v>
      </c>
      <c r="E119" s="11" t="str">
        <f>"1998-06-04"</f>
        <v>1998-06-04</v>
      </c>
      <c r="F119" s="10" t="str">
        <f>"202403103509"</f>
        <v>202403103509</v>
      </c>
      <c r="G119" s="12">
        <v>100.5</v>
      </c>
      <c r="H119" s="13">
        <v>113.5</v>
      </c>
      <c r="I119" s="17">
        <f t="shared" si="4"/>
        <v>214</v>
      </c>
      <c r="J119" s="18"/>
    </row>
    <row r="120" spans="1:10" s="1" customFormat="1" ht="15" customHeight="1">
      <c r="A120" s="9">
        <v>118</v>
      </c>
      <c r="B120" s="10" t="str">
        <f>"202401037"</f>
        <v>202401037</v>
      </c>
      <c r="C120" s="10" t="str">
        <f>"张霆慧"</f>
        <v>张霆慧</v>
      </c>
      <c r="D120" s="10" t="str">
        <f>"女"</f>
        <v>女</v>
      </c>
      <c r="E120" s="11" t="str">
        <f>"1994-10-20"</f>
        <v>1994-10-20</v>
      </c>
      <c r="F120" s="10" t="str">
        <f>"202403103505"</f>
        <v>202403103505</v>
      </c>
      <c r="G120" s="12">
        <v>107.4</v>
      </c>
      <c r="H120" s="13">
        <v>106</v>
      </c>
      <c r="I120" s="17">
        <f t="shared" si="4"/>
        <v>213.4</v>
      </c>
      <c r="J120" s="18"/>
    </row>
    <row r="121" spans="1:10" s="1" customFormat="1" ht="15" customHeight="1">
      <c r="A121" s="9">
        <v>119</v>
      </c>
      <c r="B121" s="10" t="str">
        <f>"202401038"</f>
        <v>202401038</v>
      </c>
      <c r="C121" s="10" t="str">
        <f>"严迪"</f>
        <v>严迪</v>
      </c>
      <c r="D121" s="10" t="str">
        <f>"男"</f>
        <v>男</v>
      </c>
      <c r="E121" s="11" t="str">
        <f>"2002-05-02"</f>
        <v>2002-05-02</v>
      </c>
      <c r="F121" s="10" t="str">
        <f>"202403103519"</f>
        <v>202403103519</v>
      </c>
      <c r="G121" s="12">
        <v>119.2</v>
      </c>
      <c r="H121" s="13">
        <v>109</v>
      </c>
      <c r="I121" s="17">
        <f t="shared" si="4"/>
        <v>228.2</v>
      </c>
      <c r="J121" s="18"/>
    </row>
    <row r="122" spans="1:10" s="1" customFormat="1" ht="15" customHeight="1">
      <c r="A122" s="9">
        <v>120</v>
      </c>
      <c r="B122" s="10" t="str">
        <f>"202401038"</f>
        <v>202401038</v>
      </c>
      <c r="C122" s="10" t="str">
        <f>"鲍艳"</f>
        <v>鲍艳</v>
      </c>
      <c r="D122" s="10" t="str">
        <f>"女"</f>
        <v>女</v>
      </c>
      <c r="E122" s="11" t="str">
        <f>"2002-08-08"</f>
        <v>2002-08-08</v>
      </c>
      <c r="F122" s="10" t="str">
        <f>"202403103524"</f>
        <v>202403103524</v>
      </c>
      <c r="G122" s="12">
        <v>105.6</v>
      </c>
      <c r="H122" s="13">
        <v>103.5</v>
      </c>
      <c r="I122" s="17">
        <f t="shared" si="4"/>
        <v>209.1</v>
      </c>
      <c r="J122" s="18"/>
    </row>
    <row r="123" spans="1:10" s="1" customFormat="1" ht="15" customHeight="1">
      <c r="A123" s="9">
        <v>121</v>
      </c>
      <c r="B123" s="10" t="str">
        <f>"202401038"</f>
        <v>202401038</v>
      </c>
      <c r="C123" s="10" t="str">
        <f>"许鹏"</f>
        <v>许鹏</v>
      </c>
      <c r="D123" s="10" t="str">
        <f>"男"</f>
        <v>男</v>
      </c>
      <c r="E123" s="11" t="str">
        <f>"1999-10-04"</f>
        <v>1999-10-04</v>
      </c>
      <c r="F123" s="10" t="str">
        <f>"202403103520"</f>
        <v>202403103520</v>
      </c>
      <c r="G123" s="12">
        <v>98.4</v>
      </c>
      <c r="H123" s="13">
        <v>110</v>
      </c>
      <c r="I123" s="17">
        <f t="shared" si="4"/>
        <v>208.4</v>
      </c>
      <c r="J123" s="18"/>
    </row>
    <row r="124" spans="1:10" s="1" customFormat="1" ht="15" customHeight="1">
      <c r="A124" s="9">
        <v>122</v>
      </c>
      <c r="B124" s="10" t="str">
        <f>"202401039"</f>
        <v>202401039</v>
      </c>
      <c r="C124" s="10" t="str">
        <f>"朱爱萍"</f>
        <v>朱爱萍</v>
      </c>
      <c r="D124" s="10" t="str">
        <f>"女"</f>
        <v>女</v>
      </c>
      <c r="E124" s="11" t="str">
        <f>"2000-08-08"</f>
        <v>2000-08-08</v>
      </c>
      <c r="F124" s="10" t="str">
        <f>"202403103603"</f>
        <v>202403103603</v>
      </c>
      <c r="G124" s="12">
        <v>108.9</v>
      </c>
      <c r="H124" s="13">
        <v>112</v>
      </c>
      <c r="I124" s="17">
        <f t="shared" si="4"/>
        <v>220.9</v>
      </c>
      <c r="J124" s="18"/>
    </row>
    <row r="125" spans="1:10" s="1" customFormat="1" ht="15" customHeight="1">
      <c r="A125" s="9">
        <v>123</v>
      </c>
      <c r="B125" s="10" t="str">
        <f>"202401039"</f>
        <v>202401039</v>
      </c>
      <c r="C125" s="10" t="str">
        <f>"宣彤"</f>
        <v>宣彤</v>
      </c>
      <c r="D125" s="10" t="str">
        <f>"女"</f>
        <v>女</v>
      </c>
      <c r="E125" s="11" t="str">
        <f>"1999-10-05"</f>
        <v>1999-10-05</v>
      </c>
      <c r="F125" s="10" t="str">
        <f>"202403103604"</f>
        <v>202403103604</v>
      </c>
      <c r="G125" s="12">
        <v>96.2</v>
      </c>
      <c r="H125" s="13">
        <v>116.5</v>
      </c>
      <c r="I125" s="17">
        <f t="shared" si="4"/>
        <v>212.7</v>
      </c>
      <c r="J125" s="18"/>
    </row>
    <row r="126" spans="1:10" s="1" customFormat="1" ht="15" customHeight="1">
      <c r="A126" s="9">
        <v>124</v>
      </c>
      <c r="B126" s="10" t="str">
        <f>"202401039"</f>
        <v>202401039</v>
      </c>
      <c r="C126" s="10" t="str">
        <f>"刘紫情"</f>
        <v>刘紫情</v>
      </c>
      <c r="D126" s="10" t="str">
        <f>"女"</f>
        <v>女</v>
      </c>
      <c r="E126" s="11" t="str">
        <f>"1997-01-14"</f>
        <v>1997-01-14</v>
      </c>
      <c r="F126" s="10" t="str">
        <f>"202403103606"</f>
        <v>202403103606</v>
      </c>
      <c r="G126" s="12">
        <v>76.1</v>
      </c>
      <c r="H126" s="13">
        <v>110</v>
      </c>
      <c r="I126" s="17">
        <f t="shared" si="4"/>
        <v>186.1</v>
      </c>
      <c r="J126" s="18"/>
    </row>
    <row r="127" spans="1:10" s="1" customFormat="1" ht="15" customHeight="1">
      <c r="A127" s="9">
        <v>125</v>
      </c>
      <c r="B127" s="10" t="str">
        <f aca="true" t="shared" si="9" ref="B127:B143">"202401040"</f>
        <v>202401040</v>
      </c>
      <c r="C127" s="10" t="str">
        <f>"陈聪"</f>
        <v>陈聪</v>
      </c>
      <c r="D127" s="10" t="str">
        <f>"男"</f>
        <v>男</v>
      </c>
      <c r="E127" s="11" t="str">
        <f>"1999-01-28"</f>
        <v>1999-01-28</v>
      </c>
      <c r="F127" s="10" t="str">
        <f>"202403103615"</f>
        <v>202403103615</v>
      </c>
      <c r="G127" s="12">
        <v>111.3</v>
      </c>
      <c r="H127" s="13">
        <v>108</v>
      </c>
      <c r="I127" s="17">
        <f t="shared" si="4"/>
        <v>219.3</v>
      </c>
      <c r="J127" s="18"/>
    </row>
    <row r="128" spans="1:10" s="1" customFormat="1" ht="15" customHeight="1">
      <c r="A128" s="9">
        <v>126</v>
      </c>
      <c r="B128" s="10" t="str">
        <f t="shared" si="9"/>
        <v>202401040</v>
      </c>
      <c r="C128" s="10" t="str">
        <f>"吴越"</f>
        <v>吴越</v>
      </c>
      <c r="D128" s="10" t="str">
        <f>"女"</f>
        <v>女</v>
      </c>
      <c r="E128" s="11" t="str">
        <f>"1994-10-05"</f>
        <v>1994-10-05</v>
      </c>
      <c r="F128" s="10" t="str">
        <f>"202403103614"</f>
        <v>202403103614</v>
      </c>
      <c r="G128" s="12">
        <v>104.9</v>
      </c>
      <c r="H128" s="13">
        <v>107.5</v>
      </c>
      <c r="I128" s="17">
        <f t="shared" si="4"/>
        <v>212.4</v>
      </c>
      <c r="J128" s="18"/>
    </row>
    <row r="129" spans="1:10" s="1" customFormat="1" ht="15" customHeight="1">
      <c r="A129" s="9">
        <v>127</v>
      </c>
      <c r="B129" s="10" t="str">
        <f t="shared" si="9"/>
        <v>202401040</v>
      </c>
      <c r="C129" s="10" t="str">
        <f>"陈震"</f>
        <v>陈震</v>
      </c>
      <c r="D129" s="10" t="str">
        <f>"女"</f>
        <v>女</v>
      </c>
      <c r="E129" s="11" t="str">
        <f>"1999-01-30"</f>
        <v>1999-01-30</v>
      </c>
      <c r="F129" s="10" t="str">
        <f>"202403103617"</f>
        <v>202403103617</v>
      </c>
      <c r="G129" s="12">
        <v>90.4</v>
      </c>
      <c r="H129" s="13">
        <v>116.5</v>
      </c>
      <c r="I129" s="17">
        <f t="shared" si="4"/>
        <v>206.9</v>
      </c>
      <c r="J129" s="18"/>
    </row>
    <row r="130" spans="1:10" s="1" customFormat="1" ht="15" customHeight="1">
      <c r="A130" s="9">
        <v>128</v>
      </c>
      <c r="B130" s="10" t="str">
        <f t="shared" si="9"/>
        <v>202401040</v>
      </c>
      <c r="C130" s="10" t="str">
        <f>"宋星星"</f>
        <v>宋星星</v>
      </c>
      <c r="D130" s="10" t="str">
        <f>"男"</f>
        <v>男</v>
      </c>
      <c r="E130" s="11" t="str">
        <f>"1996-12-16"</f>
        <v>1996-12-16</v>
      </c>
      <c r="F130" s="10" t="str">
        <f>"202403103621"</f>
        <v>202403103621</v>
      </c>
      <c r="G130" s="12">
        <v>98.9</v>
      </c>
      <c r="H130" s="13">
        <v>107</v>
      </c>
      <c r="I130" s="17">
        <f t="shared" si="4"/>
        <v>205.9</v>
      </c>
      <c r="J130" s="18"/>
    </row>
    <row r="131" spans="1:10" s="1" customFormat="1" ht="15" customHeight="1">
      <c r="A131" s="9">
        <v>129</v>
      </c>
      <c r="B131" s="10" t="str">
        <f t="shared" si="9"/>
        <v>202401040</v>
      </c>
      <c r="C131" s="10" t="str">
        <f>"艾琴"</f>
        <v>艾琴</v>
      </c>
      <c r="D131" s="10" t="str">
        <f>"女"</f>
        <v>女</v>
      </c>
      <c r="E131" s="11" t="str">
        <f>"2000-10-15"</f>
        <v>2000-10-15</v>
      </c>
      <c r="F131" s="10" t="str">
        <f>"202403103611"</f>
        <v>202403103611</v>
      </c>
      <c r="G131" s="12">
        <v>89.5</v>
      </c>
      <c r="H131" s="13">
        <v>113.5</v>
      </c>
      <c r="I131" s="17">
        <f aca="true" t="shared" si="10" ref="I131:I194">SUM(G131:H131)</f>
        <v>203</v>
      </c>
      <c r="J131" s="18"/>
    </row>
    <row r="132" spans="1:10" s="1" customFormat="1" ht="15" customHeight="1">
      <c r="A132" s="9">
        <v>130</v>
      </c>
      <c r="B132" s="10" t="str">
        <f t="shared" si="9"/>
        <v>202401040</v>
      </c>
      <c r="C132" s="10" t="str">
        <f>"张月月"</f>
        <v>张月月</v>
      </c>
      <c r="D132" s="10" t="str">
        <f>"女"</f>
        <v>女</v>
      </c>
      <c r="E132" s="11" t="str">
        <f>"2000-06-03"</f>
        <v>2000-06-03</v>
      </c>
      <c r="F132" s="10" t="str">
        <f>"202403103620"</f>
        <v>202403103620</v>
      </c>
      <c r="G132" s="12">
        <v>93.1</v>
      </c>
      <c r="H132" s="13">
        <v>109.5</v>
      </c>
      <c r="I132" s="17">
        <f t="shared" si="10"/>
        <v>202.6</v>
      </c>
      <c r="J132" s="18"/>
    </row>
    <row r="133" spans="1:10" s="1" customFormat="1" ht="15" customHeight="1">
      <c r="A133" s="9">
        <v>131</v>
      </c>
      <c r="B133" s="10" t="str">
        <f t="shared" si="9"/>
        <v>202401040</v>
      </c>
      <c r="C133" s="10" t="str">
        <f>"杨敏"</f>
        <v>杨敏</v>
      </c>
      <c r="D133" s="10" t="str">
        <f>"女"</f>
        <v>女</v>
      </c>
      <c r="E133" s="11" t="str">
        <f>"1996-07-01"</f>
        <v>1996-07-01</v>
      </c>
      <c r="F133" s="10" t="str">
        <f>"202403103619"</f>
        <v>202403103619</v>
      </c>
      <c r="G133" s="12">
        <v>92</v>
      </c>
      <c r="H133" s="13">
        <v>109.5</v>
      </c>
      <c r="I133" s="17">
        <f t="shared" si="10"/>
        <v>201.5</v>
      </c>
      <c r="J133" s="18"/>
    </row>
    <row r="134" spans="1:10" s="1" customFormat="1" ht="15" customHeight="1">
      <c r="A134" s="9">
        <v>132</v>
      </c>
      <c r="B134" s="10" t="str">
        <f t="shared" si="9"/>
        <v>202401040</v>
      </c>
      <c r="C134" s="10" t="str">
        <f>"沈志航"</f>
        <v>沈志航</v>
      </c>
      <c r="D134" s="10" t="str">
        <f>"男"</f>
        <v>男</v>
      </c>
      <c r="E134" s="11" t="str">
        <f>"2000-06-09"</f>
        <v>2000-06-09</v>
      </c>
      <c r="F134" s="10" t="str">
        <f>"202403103618"</f>
        <v>202403103618</v>
      </c>
      <c r="G134" s="12">
        <v>94.7</v>
      </c>
      <c r="H134" s="13">
        <v>98.5</v>
      </c>
      <c r="I134" s="17">
        <f t="shared" si="10"/>
        <v>193.2</v>
      </c>
      <c r="J134" s="18"/>
    </row>
    <row r="135" spans="1:10" s="1" customFormat="1" ht="15" customHeight="1">
      <c r="A135" s="9">
        <v>133</v>
      </c>
      <c r="B135" s="10" t="str">
        <f t="shared" si="9"/>
        <v>202401040</v>
      </c>
      <c r="C135" s="10" t="str">
        <f>"衡若男"</f>
        <v>衡若男</v>
      </c>
      <c r="D135" s="10" t="str">
        <f>"女"</f>
        <v>女</v>
      </c>
      <c r="E135" s="11" t="str">
        <f>"1998-06-16"</f>
        <v>1998-06-16</v>
      </c>
      <c r="F135" s="10" t="str">
        <f>"202403103609"</f>
        <v>202403103609</v>
      </c>
      <c r="G135" s="12">
        <v>69.8</v>
      </c>
      <c r="H135" s="13">
        <v>120</v>
      </c>
      <c r="I135" s="17">
        <f t="shared" si="10"/>
        <v>189.8</v>
      </c>
      <c r="J135" s="18"/>
    </row>
    <row r="136" spans="1:10" s="1" customFormat="1" ht="15" customHeight="1">
      <c r="A136" s="9">
        <v>134</v>
      </c>
      <c r="B136" s="10" t="str">
        <f>"202401041"</f>
        <v>202401041</v>
      </c>
      <c r="C136" s="10" t="str">
        <f>"李悦"</f>
        <v>李悦</v>
      </c>
      <c r="D136" s="10" t="str">
        <f>"女"</f>
        <v>女</v>
      </c>
      <c r="E136" s="11" t="str">
        <f>"1999-10-10"</f>
        <v>1999-10-10</v>
      </c>
      <c r="F136" s="10" t="str">
        <f>"202403103711"</f>
        <v>202403103711</v>
      </c>
      <c r="G136" s="12">
        <v>110</v>
      </c>
      <c r="H136" s="13">
        <v>118</v>
      </c>
      <c r="I136" s="17">
        <f t="shared" si="10"/>
        <v>228</v>
      </c>
      <c r="J136" s="18"/>
    </row>
    <row r="137" spans="1:10" s="1" customFormat="1" ht="15" customHeight="1">
      <c r="A137" s="9">
        <v>135</v>
      </c>
      <c r="B137" s="10" t="str">
        <f>"202401041"</f>
        <v>202401041</v>
      </c>
      <c r="C137" s="10" t="str">
        <f>"吴宁"</f>
        <v>吴宁</v>
      </c>
      <c r="D137" s="10" t="str">
        <f>"女"</f>
        <v>女</v>
      </c>
      <c r="E137" s="11" t="str">
        <f>"1999-01-01"</f>
        <v>1999-01-01</v>
      </c>
      <c r="F137" s="10" t="str">
        <f>"202403103627"</f>
        <v>202403103627</v>
      </c>
      <c r="G137" s="12">
        <v>102.2</v>
      </c>
      <c r="H137" s="13">
        <v>117</v>
      </c>
      <c r="I137" s="17">
        <f t="shared" si="10"/>
        <v>219.2</v>
      </c>
      <c r="J137" s="18"/>
    </row>
    <row r="138" spans="1:10" s="1" customFormat="1" ht="15" customHeight="1">
      <c r="A138" s="9">
        <v>136</v>
      </c>
      <c r="B138" s="10" t="str">
        <f>"202401041"</f>
        <v>202401041</v>
      </c>
      <c r="C138" s="10" t="str">
        <f>"詹祎"</f>
        <v>詹祎</v>
      </c>
      <c r="D138" s="10" t="str">
        <f>"女"</f>
        <v>女</v>
      </c>
      <c r="E138" s="11" t="str">
        <f>"1999-09-30"</f>
        <v>1999-09-30</v>
      </c>
      <c r="F138" s="10" t="str">
        <f>"202403103715"</f>
        <v>202403103715</v>
      </c>
      <c r="G138" s="12">
        <v>98.1</v>
      </c>
      <c r="H138" s="13">
        <v>117</v>
      </c>
      <c r="I138" s="17">
        <f t="shared" si="10"/>
        <v>215.1</v>
      </c>
      <c r="J138" s="18"/>
    </row>
    <row r="139" spans="1:10" s="1" customFormat="1" ht="15" customHeight="1">
      <c r="A139" s="9">
        <v>137</v>
      </c>
      <c r="B139" s="10" t="str">
        <f>"202401042"</f>
        <v>202401042</v>
      </c>
      <c r="C139" s="10" t="str">
        <f>"楚有谋"</f>
        <v>楚有谋</v>
      </c>
      <c r="D139" s="10" t="str">
        <f>"男"</f>
        <v>男</v>
      </c>
      <c r="E139" s="11" t="str">
        <f>"1992-12-16"</f>
        <v>1992-12-16</v>
      </c>
      <c r="F139" s="10" t="str">
        <f>"202403103724"</f>
        <v>202403103724</v>
      </c>
      <c r="G139" s="12">
        <v>85.7</v>
      </c>
      <c r="H139" s="13">
        <v>112</v>
      </c>
      <c r="I139" s="17">
        <f t="shared" si="10"/>
        <v>197.7</v>
      </c>
      <c r="J139" s="18"/>
    </row>
    <row r="140" spans="1:10" s="1" customFormat="1" ht="15" customHeight="1">
      <c r="A140" s="9">
        <v>138</v>
      </c>
      <c r="B140" s="10" t="str">
        <f>"202401042"</f>
        <v>202401042</v>
      </c>
      <c r="C140" s="10" t="str">
        <f>"张营辉"</f>
        <v>张营辉</v>
      </c>
      <c r="D140" s="10" t="str">
        <f>"男"</f>
        <v>男</v>
      </c>
      <c r="E140" s="11" t="str">
        <f>"2000-03-05"</f>
        <v>2000-03-05</v>
      </c>
      <c r="F140" s="10" t="str">
        <f>"202403103723"</f>
        <v>202403103723</v>
      </c>
      <c r="G140" s="12">
        <v>85.1</v>
      </c>
      <c r="H140" s="13">
        <v>103</v>
      </c>
      <c r="I140" s="17">
        <f t="shared" si="10"/>
        <v>188.1</v>
      </c>
      <c r="J140" s="18"/>
    </row>
    <row r="141" spans="1:10" s="1" customFormat="1" ht="15" customHeight="1">
      <c r="A141" s="9">
        <v>139</v>
      </c>
      <c r="B141" s="10" t="str">
        <f>"202401043"</f>
        <v>202401043</v>
      </c>
      <c r="C141" s="10" t="str">
        <f>"李邦阁"</f>
        <v>李邦阁</v>
      </c>
      <c r="D141" s="10" t="str">
        <f>"男"</f>
        <v>男</v>
      </c>
      <c r="E141" s="11" t="str">
        <f>"1998-10-07"</f>
        <v>1998-10-07</v>
      </c>
      <c r="F141" s="10" t="str">
        <f>"202403103815"</f>
        <v>202403103815</v>
      </c>
      <c r="G141" s="12">
        <v>102.3</v>
      </c>
      <c r="H141" s="13">
        <v>112</v>
      </c>
      <c r="I141" s="17">
        <f t="shared" si="10"/>
        <v>214.3</v>
      </c>
      <c r="J141" s="18"/>
    </row>
    <row r="142" spans="1:10" s="1" customFormat="1" ht="15" customHeight="1">
      <c r="A142" s="9">
        <v>140</v>
      </c>
      <c r="B142" s="10" t="str">
        <f>"202401043"</f>
        <v>202401043</v>
      </c>
      <c r="C142" s="10" t="str">
        <f>"倪语娴"</f>
        <v>倪语娴</v>
      </c>
      <c r="D142" s="10" t="str">
        <f>"女"</f>
        <v>女</v>
      </c>
      <c r="E142" s="11" t="str">
        <f>"1993-09-25"</f>
        <v>1993-09-25</v>
      </c>
      <c r="F142" s="10" t="str">
        <f>"202403103822"</f>
        <v>202403103822</v>
      </c>
      <c r="G142" s="12">
        <v>95.4</v>
      </c>
      <c r="H142" s="13">
        <v>118.5</v>
      </c>
      <c r="I142" s="17">
        <f t="shared" si="10"/>
        <v>213.9</v>
      </c>
      <c r="J142" s="18"/>
    </row>
    <row r="143" spans="1:10" s="1" customFormat="1" ht="15" customHeight="1">
      <c r="A143" s="9">
        <v>141</v>
      </c>
      <c r="B143" s="10" t="str">
        <f>"202401043"</f>
        <v>202401043</v>
      </c>
      <c r="C143" s="10" t="str">
        <f>"何陈俊林"</f>
        <v>何陈俊林</v>
      </c>
      <c r="D143" s="10" t="str">
        <f>"男"</f>
        <v>男</v>
      </c>
      <c r="E143" s="11" t="str">
        <f>"1998-01-04"</f>
        <v>1998-01-04</v>
      </c>
      <c r="F143" s="10" t="str">
        <f>"202403103811"</f>
        <v>202403103811</v>
      </c>
      <c r="G143" s="12">
        <v>100.4</v>
      </c>
      <c r="H143" s="13">
        <v>110</v>
      </c>
      <c r="I143" s="17">
        <f t="shared" si="10"/>
        <v>210.4</v>
      </c>
      <c r="J143" s="18"/>
    </row>
    <row r="144" spans="1:10" s="1" customFormat="1" ht="15" customHeight="1">
      <c r="A144" s="9">
        <v>142</v>
      </c>
      <c r="B144" s="10" t="str">
        <f>"202401044"</f>
        <v>202401044</v>
      </c>
      <c r="C144" s="10" t="str">
        <f>"高翔"</f>
        <v>高翔</v>
      </c>
      <c r="D144" s="10" t="str">
        <f>"男"</f>
        <v>男</v>
      </c>
      <c r="E144" s="11" t="str">
        <f>"2000-01-02"</f>
        <v>2000-01-02</v>
      </c>
      <c r="F144" s="10" t="str">
        <f>"202403103824"</f>
        <v>202403103824</v>
      </c>
      <c r="G144" s="12">
        <v>78.7</v>
      </c>
      <c r="H144" s="13">
        <v>99.5</v>
      </c>
      <c r="I144" s="17">
        <f t="shared" si="10"/>
        <v>178.2</v>
      </c>
      <c r="J144" s="18"/>
    </row>
    <row r="145" spans="1:10" s="1" customFormat="1" ht="15" customHeight="1">
      <c r="A145" s="9">
        <v>143</v>
      </c>
      <c r="B145" s="10" t="str">
        <f>"202401044"</f>
        <v>202401044</v>
      </c>
      <c r="C145" s="10" t="str">
        <f>"干翔翔"</f>
        <v>干翔翔</v>
      </c>
      <c r="D145" s="10" t="str">
        <f>"男"</f>
        <v>男</v>
      </c>
      <c r="E145" s="11" t="str">
        <f>"1990-03-05"</f>
        <v>1990-03-05</v>
      </c>
      <c r="F145" s="10" t="str">
        <f>"202403103826"</f>
        <v>202403103826</v>
      </c>
      <c r="G145" s="12">
        <v>76.3</v>
      </c>
      <c r="H145" s="13">
        <v>101</v>
      </c>
      <c r="I145" s="17">
        <f t="shared" si="10"/>
        <v>177.3</v>
      </c>
      <c r="J145" s="18"/>
    </row>
    <row r="146" spans="1:10" s="1" customFormat="1" ht="15" customHeight="1">
      <c r="A146" s="9">
        <v>144</v>
      </c>
      <c r="B146" s="10" t="str">
        <f>"202401045"</f>
        <v>202401045</v>
      </c>
      <c r="C146" s="10" t="str">
        <f>"张昊"</f>
        <v>张昊</v>
      </c>
      <c r="D146" s="10" t="str">
        <f>"男"</f>
        <v>男</v>
      </c>
      <c r="E146" s="11" t="str">
        <f>"1997-09-07"</f>
        <v>1997-09-07</v>
      </c>
      <c r="F146" s="10" t="str">
        <f>"202403103901"</f>
        <v>202403103901</v>
      </c>
      <c r="G146" s="12">
        <v>111.9</v>
      </c>
      <c r="H146" s="13">
        <v>111</v>
      </c>
      <c r="I146" s="17">
        <f t="shared" si="10"/>
        <v>222.9</v>
      </c>
      <c r="J146" s="18"/>
    </row>
    <row r="147" spans="1:10" s="1" customFormat="1" ht="15" customHeight="1">
      <c r="A147" s="9">
        <v>145</v>
      </c>
      <c r="B147" s="10" t="str">
        <f>"202401045"</f>
        <v>202401045</v>
      </c>
      <c r="C147" s="10" t="str">
        <f>"陈晓妍"</f>
        <v>陈晓妍</v>
      </c>
      <c r="D147" s="10" t="str">
        <f>"女"</f>
        <v>女</v>
      </c>
      <c r="E147" s="11" t="str">
        <f>"1998-01-08"</f>
        <v>1998-01-08</v>
      </c>
      <c r="F147" s="10" t="str">
        <f>"202403103829"</f>
        <v>202403103829</v>
      </c>
      <c r="G147" s="12">
        <v>102.1</v>
      </c>
      <c r="H147" s="13">
        <v>119.5</v>
      </c>
      <c r="I147" s="17">
        <f t="shared" si="10"/>
        <v>221.6</v>
      </c>
      <c r="J147" s="18"/>
    </row>
    <row r="148" spans="1:10" s="1" customFormat="1" ht="15" customHeight="1">
      <c r="A148" s="9">
        <v>146</v>
      </c>
      <c r="B148" s="10" t="str">
        <f>"202401045"</f>
        <v>202401045</v>
      </c>
      <c r="C148" s="10" t="str">
        <f>"单昊天"</f>
        <v>单昊天</v>
      </c>
      <c r="D148" s="10" t="str">
        <f>"男"</f>
        <v>男</v>
      </c>
      <c r="E148" s="11" t="str">
        <f>"1999-03-19"</f>
        <v>1999-03-19</v>
      </c>
      <c r="F148" s="10" t="str">
        <f>"202403103830"</f>
        <v>202403103830</v>
      </c>
      <c r="G148" s="12">
        <v>112.6</v>
      </c>
      <c r="H148" s="13">
        <v>109</v>
      </c>
      <c r="I148" s="17">
        <f t="shared" si="10"/>
        <v>221.6</v>
      </c>
      <c r="J148" s="18"/>
    </row>
    <row r="149" spans="1:10" s="1" customFormat="1" ht="15" customHeight="1">
      <c r="A149" s="9">
        <v>147</v>
      </c>
      <c r="B149" s="10" t="str">
        <f aca="true" t="shared" si="11" ref="B149:B161">"202401046"</f>
        <v>202401046</v>
      </c>
      <c r="C149" s="10" t="str">
        <f>"刘桐"</f>
        <v>刘桐</v>
      </c>
      <c r="D149" s="10" t="str">
        <f>"男"</f>
        <v>男</v>
      </c>
      <c r="E149" s="11" t="str">
        <f>"2001-10-18"</f>
        <v>2001-10-18</v>
      </c>
      <c r="F149" s="10" t="str">
        <f>"202403103929"</f>
        <v>202403103929</v>
      </c>
      <c r="G149" s="12">
        <v>100.7</v>
      </c>
      <c r="H149" s="13">
        <v>107.5</v>
      </c>
      <c r="I149" s="17">
        <f t="shared" si="10"/>
        <v>208.2</v>
      </c>
      <c r="J149" s="18"/>
    </row>
    <row r="150" spans="1:10" s="1" customFormat="1" ht="15" customHeight="1">
      <c r="A150" s="9">
        <v>148</v>
      </c>
      <c r="B150" s="10" t="str">
        <f t="shared" si="11"/>
        <v>202401046</v>
      </c>
      <c r="C150" s="10" t="str">
        <f>"吕曦"</f>
        <v>吕曦</v>
      </c>
      <c r="D150" s="10" t="str">
        <f>"男"</f>
        <v>男</v>
      </c>
      <c r="E150" s="11" t="str">
        <f>"1996-05-31"</f>
        <v>1996-05-31</v>
      </c>
      <c r="F150" s="10" t="str">
        <f>"202403103921"</f>
        <v>202403103921</v>
      </c>
      <c r="G150" s="12">
        <v>105.3</v>
      </c>
      <c r="H150" s="13">
        <v>102.5</v>
      </c>
      <c r="I150" s="17">
        <f t="shared" si="10"/>
        <v>207.8</v>
      </c>
      <c r="J150" s="18"/>
    </row>
    <row r="151" spans="1:10" s="1" customFormat="1" ht="15" customHeight="1">
      <c r="A151" s="9">
        <v>149</v>
      </c>
      <c r="B151" s="10" t="str">
        <f t="shared" si="11"/>
        <v>202401046</v>
      </c>
      <c r="C151" s="10" t="str">
        <f>"董云天"</f>
        <v>董云天</v>
      </c>
      <c r="D151" s="10" t="str">
        <f>"男"</f>
        <v>男</v>
      </c>
      <c r="E151" s="11" t="str">
        <f>"2001-01-30"</f>
        <v>2001-01-30</v>
      </c>
      <c r="F151" s="10" t="str">
        <f>"202403103917"</f>
        <v>202403103917</v>
      </c>
      <c r="G151" s="12">
        <v>93.1</v>
      </c>
      <c r="H151" s="13">
        <v>111</v>
      </c>
      <c r="I151" s="17">
        <f t="shared" si="10"/>
        <v>204.1</v>
      </c>
      <c r="J151" s="18"/>
    </row>
    <row r="152" spans="1:10" s="1" customFormat="1" ht="15" customHeight="1">
      <c r="A152" s="9">
        <v>150</v>
      </c>
      <c r="B152" s="10" t="str">
        <f t="shared" si="11"/>
        <v>202401046</v>
      </c>
      <c r="C152" s="10" t="str">
        <f>"刘璇"</f>
        <v>刘璇</v>
      </c>
      <c r="D152" s="10" t="str">
        <f>"女"</f>
        <v>女</v>
      </c>
      <c r="E152" s="11" t="str">
        <f>"2001-05-12"</f>
        <v>2001-05-12</v>
      </c>
      <c r="F152" s="10" t="str">
        <f>"202403103925"</f>
        <v>202403103925</v>
      </c>
      <c r="G152" s="12">
        <v>86.8</v>
      </c>
      <c r="H152" s="13">
        <v>109.5</v>
      </c>
      <c r="I152" s="17">
        <f t="shared" si="10"/>
        <v>196.3</v>
      </c>
      <c r="J152" s="18"/>
    </row>
    <row r="153" spans="1:10" s="1" customFormat="1" ht="15" customHeight="1">
      <c r="A153" s="9">
        <v>151</v>
      </c>
      <c r="B153" s="10" t="str">
        <f t="shared" si="11"/>
        <v>202401046</v>
      </c>
      <c r="C153" s="10" t="str">
        <f>"朱岩松"</f>
        <v>朱岩松</v>
      </c>
      <c r="D153" s="10" t="str">
        <f>"男"</f>
        <v>男</v>
      </c>
      <c r="E153" s="11" t="str">
        <f>"2000-09-24"</f>
        <v>2000-09-24</v>
      </c>
      <c r="F153" s="10" t="str">
        <f>"202403103922"</f>
        <v>202403103922</v>
      </c>
      <c r="G153" s="12">
        <v>89.5</v>
      </c>
      <c r="H153" s="13">
        <v>94.5</v>
      </c>
      <c r="I153" s="17">
        <f t="shared" si="10"/>
        <v>184</v>
      </c>
      <c r="J153" s="18"/>
    </row>
    <row r="154" spans="1:10" s="1" customFormat="1" ht="15" customHeight="1">
      <c r="A154" s="9">
        <v>152</v>
      </c>
      <c r="B154" s="10" t="str">
        <f t="shared" si="11"/>
        <v>202401046</v>
      </c>
      <c r="C154" s="10" t="str">
        <f>"郭紫俊"</f>
        <v>郭紫俊</v>
      </c>
      <c r="D154" s="10" t="str">
        <f>"女"</f>
        <v>女</v>
      </c>
      <c r="E154" s="11" t="str">
        <f>"1997-08-03"</f>
        <v>1997-08-03</v>
      </c>
      <c r="F154" s="10" t="str">
        <f>"202403103920"</f>
        <v>202403103920</v>
      </c>
      <c r="G154" s="12">
        <v>76.2</v>
      </c>
      <c r="H154" s="13">
        <v>103</v>
      </c>
      <c r="I154" s="17">
        <f t="shared" si="10"/>
        <v>179.2</v>
      </c>
      <c r="J154" s="18"/>
    </row>
    <row r="155" spans="1:10" s="1" customFormat="1" ht="15" customHeight="1">
      <c r="A155" s="9">
        <v>153</v>
      </c>
      <c r="B155" s="10" t="str">
        <f t="shared" si="11"/>
        <v>202401046</v>
      </c>
      <c r="C155" s="10" t="str">
        <f>"符君豪"</f>
        <v>符君豪</v>
      </c>
      <c r="D155" s="10" t="str">
        <f>"男"</f>
        <v>男</v>
      </c>
      <c r="E155" s="11" t="str">
        <f>"2000-07-18"</f>
        <v>2000-07-18</v>
      </c>
      <c r="F155" s="10" t="str">
        <f>"202403103919"</f>
        <v>202403103919</v>
      </c>
      <c r="G155" s="12">
        <v>78</v>
      </c>
      <c r="H155" s="13">
        <v>100</v>
      </c>
      <c r="I155" s="17">
        <f t="shared" si="10"/>
        <v>178</v>
      </c>
      <c r="J155" s="18"/>
    </row>
    <row r="156" spans="1:10" s="1" customFormat="1" ht="15" customHeight="1">
      <c r="A156" s="9">
        <v>154</v>
      </c>
      <c r="B156" s="10" t="str">
        <f t="shared" si="11"/>
        <v>202401046</v>
      </c>
      <c r="C156" s="10" t="str">
        <f>"滕跃"</f>
        <v>滕跃</v>
      </c>
      <c r="D156" s="10" t="str">
        <f>"男"</f>
        <v>男</v>
      </c>
      <c r="E156" s="11" t="str">
        <f>"2001-05-11"</f>
        <v>2001-05-11</v>
      </c>
      <c r="F156" s="10" t="str">
        <f>"202403103918"</f>
        <v>202403103918</v>
      </c>
      <c r="G156" s="12">
        <v>83.3</v>
      </c>
      <c r="H156" s="13">
        <v>94.5</v>
      </c>
      <c r="I156" s="17">
        <f t="shared" si="10"/>
        <v>177.8</v>
      </c>
      <c r="J156" s="18"/>
    </row>
    <row r="157" spans="1:10" s="1" customFormat="1" ht="15" customHeight="1">
      <c r="A157" s="9">
        <v>155</v>
      </c>
      <c r="B157" s="10" t="str">
        <f t="shared" si="11"/>
        <v>202401046</v>
      </c>
      <c r="C157" s="10" t="str">
        <f>"郭瑶"</f>
        <v>郭瑶</v>
      </c>
      <c r="D157" s="10" t="str">
        <f>"女"</f>
        <v>女</v>
      </c>
      <c r="E157" s="11" t="str">
        <f>"1999-08-12"</f>
        <v>1999-08-12</v>
      </c>
      <c r="F157" s="10" t="str">
        <f>"202403103927"</f>
        <v>202403103927</v>
      </c>
      <c r="G157" s="12">
        <v>70.8</v>
      </c>
      <c r="H157" s="13">
        <v>100.5</v>
      </c>
      <c r="I157" s="17">
        <f t="shared" si="10"/>
        <v>171.3</v>
      </c>
      <c r="J157" s="18"/>
    </row>
    <row r="158" spans="1:10" s="1" customFormat="1" ht="15" customHeight="1">
      <c r="A158" s="9">
        <v>156</v>
      </c>
      <c r="B158" s="10" t="str">
        <f>"202401047"</f>
        <v>202401047</v>
      </c>
      <c r="C158" s="10" t="str">
        <f>"陆承宽"</f>
        <v>陆承宽</v>
      </c>
      <c r="D158" s="10" t="str">
        <f>"男"</f>
        <v>男</v>
      </c>
      <c r="E158" s="11" t="str">
        <f>"1996-10-28"</f>
        <v>1996-10-28</v>
      </c>
      <c r="F158" s="10" t="str">
        <f>"202403104006"</f>
        <v>202403104006</v>
      </c>
      <c r="G158" s="12">
        <v>104.9</v>
      </c>
      <c r="H158" s="13">
        <v>114.5</v>
      </c>
      <c r="I158" s="17">
        <f t="shared" si="10"/>
        <v>219.4</v>
      </c>
      <c r="J158" s="18"/>
    </row>
    <row r="159" spans="1:10" s="1" customFormat="1" ht="15" customHeight="1">
      <c r="A159" s="9">
        <v>157</v>
      </c>
      <c r="B159" s="10" t="str">
        <f>"202401047"</f>
        <v>202401047</v>
      </c>
      <c r="C159" s="10" t="str">
        <f>"黄建"</f>
        <v>黄建</v>
      </c>
      <c r="D159" s="10" t="str">
        <f>"男"</f>
        <v>男</v>
      </c>
      <c r="E159" s="11" t="str">
        <f>"1990-06-19"</f>
        <v>1990-06-19</v>
      </c>
      <c r="F159" s="10" t="str">
        <f>"202403104008"</f>
        <v>202403104008</v>
      </c>
      <c r="G159" s="12">
        <v>86</v>
      </c>
      <c r="H159" s="13">
        <v>120</v>
      </c>
      <c r="I159" s="17">
        <f t="shared" si="10"/>
        <v>206</v>
      </c>
      <c r="J159" s="18"/>
    </row>
    <row r="160" spans="1:10" s="1" customFormat="1" ht="15" customHeight="1">
      <c r="A160" s="9">
        <v>158</v>
      </c>
      <c r="B160" s="10" t="str">
        <f>"202401047"</f>
        <v>202401047</v>
      </c>
      <c r="C160" s="10" t="str">
        <f>"何国旭"</f>
        <v>何国旭</v>
      </c>
      <c r="D160" s="10" t="str">
        <f>"男"</f>
        <v>男</v>
      </c>
      <c r="E160" s="11" t="str">
        <f>"2000-01-01"</f>
        <v>2000-01-01</v>
      </c>
      <c r="F160" s="10" t="str">
        <f>"202403104003"</f>
        <v>202403104003</v>
      </c>
      <c r="G160" s="12">
        <v>88.8</v>
      </c>
      <c r="H160" s="13">
        <v>112</v>
      </c>
      <c r="I160" s="17">
        <f t="shared" si="10"/>
        <v>200.8</v>
      </c>
      <c r="J160" s="18"/>
    </row>
    <row r="161" spans="1:10" s="1" customFormat="1" ht="15" customHeight="1">
      <c r="A161" s="9">
        <v>159</v>
      </c>
      <c r="B161" s="10" t="str">
        <f>"202401047"</f>
        <v>202401047</v>
      </c>
      <c r="C161" s="10" t="str">
        <f>"葛颖"</f>
        <v>葛颖</v>
      </c>
      <c r="D161" s="10" t="str">
        <f>"女"</f>
        <v>女</v>
      </c>
      <c r="E161" s="11" t="str">
        <f>"1998-10-14"</f>
        <v>1998-10-14</v>
      </c>
      <c r="F161" s="10" t="str">
        <f>"202403103930"</f>
        <v>202403103930</v>
      </c>
      <c r="G161" s="12">
        <v>79</v>
      </c>
      <c r="H161" s="13">
        <v>114.5</v>
      </c>
      <c r="I161" s="17">
        <f t="shared" si="10"/>
        <v>193.5</v>
      </c>
      <c r="J161" s="18"/>
    </row>
    <row r="162" spans="1:10" s="1" customFormat="1" ht="15" customHeight="1">
      <c r="A162" s="9">
        <v>160</v>
      </c>
      <c r="B162" s="10" t="str">
        <f>"202401047"</f>
        <v>202401047</v>
      </c>
      <c r="C162" s="10" t="str">
        <f>"王喜乐"</f>
        <v>王喜乐</v>
      </c>
      <c r="D162" s="10" t="str">
        <f>"男"</f>
        <v>男</v>
      </c>
      <c r="E162" s="11" t="str">
        <f>"1994-11-02"</f>
        <v>1994-11-02</v>
      </c>
      <c r="F162" s="10" t="str">
        <f>"202403104007"</f>
        <v>202403104007</v>
      </c>
      <c r="G162" s="12">
        <v>77.8</v>
      </c>
      <c r="H162" s="13">
        <v>112</v>
      </c>
      <c r="I162" s="17">
        <f t="shared" si="10"/>
        <v>189.8</v>
      </c>
      <c r="J162" s="18"/>
    </row>
    <row r="163" spans="1:10" s="1" customFormat="1" ht="15" customHeight="1">
      <c r="A163" s="9">
        <v>161</v>
      </c>
      <c r="B163" s="10" t="str">
        <f>"202401048"</f>
        <v>202401048</v>
      </c>
      <c r="C163" s="10" t="str">
        <f>"杨婷婷"</f>
        <v>杨婷婷</v>
      </c>
      <c r="D163" s="10" t="str">
        <f>"女"</f>
        <v>女</v>
      </c>
      <c r="E163" s="11" t="str">
        <f>"2003-06-24"</f>
        <v>2003-06-24</v>
      </c>
      <c r="F163" s="10" t="str">
        <f>"202403104103"</f>
        <v>202403104103</v>
      </c>
      <c r="G163" s="12">
        <v>108.8</v>
      </c>
      <c r="H163" s="13">
        <v>115.5</v>
      </c>
      <c r="I163" s="17">
        <f t="shared" si="10"/>
        <v>224.3</v>
      </c>
      <c r="J163" s="18"/>
    </row>
    <row r="164" spans="1:10" s="1" customFormat="1" ht="15" customHeight="1">
      <c r="A164" s="9">
        <v>162</v>
      </c>
      <c r="B164" s="10" t="str">
        <f>"202401048"</f>
        <v>202401048</v>
      </c>
      <c r="C164" s="10" t="str">
        <f>"粱敏"</f>
        <v>粱敏</v>
      </c>
      <c r="D164" s="10" t="str">
        <f>"女"</f>
        <v>女</v>
      </c>
      <c r="E164" s="11" t="str">
        <f>"2001-08-30"</f>
        <v>2001-08-30</v>
      </c>
      <c r="F164" s="10" t="str">
        <f>"202403104106"</f>
        <v>202403104106</v>
      </c>
      <c r="G164" s="12">
        <v>104.6</v>
      </c>
      <c r="H164" s="13">
        <v>107.5</v>
      </c>
      <c r="I164" s="17">
        <f t="shared" si="10"/>
        <v>212.1</v>
      </c>
      <c r="J164" s="18"/>
    </row>
    <row r="165" spans="1:10" s="1" customFormat="1" ht="15" customHeight="1">
      <c r="A165" s="9">
        <v>163</v>
      </c>
      <c r="B165" s="10" t="str">
        <f>"202401048"</f>
        <v>202401048</v>
      </c>
      <c r="C165" s="10" t="str">
        <f>"高阳"</f>
        <v>高阳</v>
      </c>
      <c r="D165" s="10" t="str">
        <f>"男"</f>
        <v>男</v>
      </c>
      <c r="E165" s="11" t="str">
        <f>"1994-08-06"</f>
        <v>1994-08-06</v>
      </c>
      <c r="F165" s="10" t="str">
        <f>"202403104009"</f>
        <v>202403104009</v>
      </c>
      <c r="G165" s="12">
        <v>96.3</v>
      </c>
      <c r="H165" s="13">
        <v>107</v>
      </c>
      <c r="I165" s="17">
        <f t="shared" si="10"/>
        <v>203.3</v>
      </c>
      <c r="J165" s="18"/>
    </row>
    <row r="166" spans="1:10" s="1" customFormat="1" ht="15" customHeight="1">
      <c r="A166" s="9">
        <v>164</v>
      </c>
      <c r="B166" s="10" t="str">
        <f>"202401050"</f>
        <v>202401050</v>
      </c>
      <c r="C166" s="10" t="str">
        <f>"赵乐园"</f>
        <v>赵乐园</v>
      </c>
      <c r="D166" s="10" t="str">
        <f>"女"</f>
        <v>女</v>
      </c>
      <c r="E166" s="11" t="str">
        <f>"2001-05-28"</f>
        <v>2001-05-28</v>
      </c>
      <c r="F166" s="10" t="str">
        <f>"202403104206"</f>
        <v>202403104206</v>
      </c>
      <c r="G166" s="12">
        <v>121.3</v>
      </c>
      <c r="H166" s="13">
        <v>107</v>
      </c>
      <c r="I166" s="17">
        <f t="shared" si="10"/>
        <v>228.3</v>
      </c>
      <c r="J166" s="18"/>
    </row>
    <row r="167" spans="1:10" s="1" customFormat="1" ht="15" customHeight="1">
      <c r="A167" s="9">
        <v>165</v>
      </c>
      <c r="B167" s="10" t="str">
        <f>"202401050"</f>
        <v>202401050</v>
      </c>
      <c r="C167" s="10" t="str">
        <f>"白园园"</f>
        <v>白园园</v>
      </c>
      <c r="D167" s="10" t="str">
        <f>"女"</f>
        <v>女</v>
      </c>
      <c r="E167" s="11" t="str">
        <f>"1998-11-24"</f>
        <v>1998-11-24</v>
      </c>
      <c r="F167" s="10" t="str">
        <f>"202403104120"</f>
        <v>202403104120</v>
      </c>
      <c r="G167" s="12">
        <v>109.3</v>
      </c>
      <c r="H167" s="13">
        <v>117.5</v>
      </c>
      <c r="I167" s="17">
        <f t="shared" si="10"/>
        <v>226.8</v>
      </c>
      <c r="J167" s="18"/>
    </row>
    <row r="168" spans="1:10" s="1" customFormat="1" ht="15" customHeight="1">
      <c r="A168" s="9">
        <v>166</v>
      </c>
      <c r="B168" s="10" t="str">
        <f>"202401050"</f>
        <v>202401050</v>
      </c>
      <c r="C168" s="10" t="str">
        <f>"潘奇"</f>
        <v>潘奇</v>
      </c>
      <c r="D168" s="10" t="str">
        <f>"男"</f>
        <v>男</v>
      </c>
      <c r="E168" s="11" t="str">
        <f>"1993-12-05"</f>
        <v>1993-12-05</v>
      </c>
      <c r="F168" s="10" t="str">
        <f>"202403104121"</f>
        <v>202403104121</v>
      </c>
      <c r="G168" s="12">
        <v>110.6</v>
      </c>
      <c r="H168" s="13">
        <v>109.5</v>
      </c>
      <c r="I168" s="17">
        <f t="shared" si="10"/>
        <v>220.1</v>
      </c>
      <c r="J168" s="18"/>
    </row>
    <row r="169" spans="1:10" s="1" customFormat="1" ht="15" customHeight="1">
      <c r="A169" s="9">
        <v>167</v>
      </c>
      <c r="B169" s="10" t="str">
        <f>"202401051"</f>
        <v>202401051</v>
      </c>
      <c r="C169" s="10" t="str">
        <f>"张睿"</f>
        <v>张睿</v>
      </c>
      <c r="D169" s="10" t="str">
        <f>"女"</f>
        <v>女</v>
      </c>
      <c r="E169" s="11" t="str">
        <f>"1998-01-26"</f>
        <v>1998-01-26</v>
      </c>
      <c r="F169" s="10" t="str">
        <f>"202403104304"</f>
        <v>202403104304</v>
      </c>
      <c r="G169" s="12">
        <v>114.6</v>
      </c>
      <c r="H169" s="13">
        <v>110</v>
      </c>
      <c r="I169" s="17">
        <f t="shared" si="10"/>
        <v>224.6</v>
      </c>
      <c r="J169" s="18"/>
    </row>
    <row r="170" spans="1:10" s="1" customFormat="1" ht="15" customHeight="1">
      <c r="A170" s="9">
        <v>168</v>
      </c>
      <c r="B170" s="10" t="str">
        <f>"202401051"</f>
        <v>202401051</v>
      </c>
      <c r="C170" s="10" t="str">
        <f>"刘娟"</f>
        <v>刘娟</v>
      </c>
      <c r="D170" s="10" t="str">
        <f>"女"</f>
        <v>女</v>
      </c>
      <c r="E170" s="11" t="str">
        <f>"1999-05-11"</f>
        <v>1999-05-11</v>
      </c>
      <c r="F170" s="10" t="str">
        <f>"202403104228"</f>
        <v>202403104228</v>
      </c>
      <c r="G170" s="12">
        <v>105</v>
      </c>
      <c r="H170" s="13">
        <v>109.5</v>
      </c>
      <c r="I170" s="17">
        <f t="shared" si="10"/>
        <v>214.5</v>
      </c>
      <c r="J170" s="18"/>
    </row>
    <row r="171" spans="1:10" s="1" customFormat="1" ht="15" customHeight="1">
      <c r="A171" s="9">
        <v>169</v>
      </c>
      <c r="B171" s="10" t="str">
        <f>"202401051"</f>
        <v>202401051</v>
      </c>
      <c r="C171" s="10" t="str">
        <f>"崔亮"</f>
        <v>崔亮</v>
      </c>
      <c r="D171" s="10" t="str">
        <f>"男"</f>
        <v>男</v>
      </c>
      <c r="E171" s="11" t="str">
        <f>"1989-06-21"</f>
        <v>1989-06-21</v>
      </c>
      <c r="F171" s="10" t="str">
        <f>"202403104212"</f>
        <v>202403104212</v>
      </c>
      <c r="G171" s="12">
        <v>100.4</v>
      </c>
      <c r="H171" s="13">
        <v>113.5</v>
      </c>
      <c r="I171" s="17">
        <f t="shared" si="10"/>
        <v>213.9</v>
      </c>
      <c r="J171" s="18"/>
    </row>
    <row r="172" spans="1:10" s="1" customFormat="1" ht="15" customHeight="1">
      <c r="A172" s="9">
        <v>170</v>
      </c>
      <c r="B172" s="10" t="str">
        <f>"202401052"</f>
        <v>202401052</v>
      </c>
      <c r="C172" s="10" t="str">
        <f>"黄梦欣"</f>
        <v>黄梦欣</v>
      </c>
      <c r="D172" s="10" t="str">
        <f>"女"</f>
        <v>女</v>
      </c>
      <c r="E172" s="11" t="str">
        <f>"2000-01-01"</f>
        <v>2000-01-01</v>
      </c>
      <c r="F172" s="10" t="str">
        <f>"202403104405"</f>
        <v>202403104405</v>
      </c>
      <c r="G172" s="12">
        <v>117</v>
      </c>
      <c r="H172" s="13">
        <v>119</v>
      </c>
      <c r="I172" s="17">
        <f t="shared" si="10"/>
        <v>236</v>
      </c>
      <c r="J172" s="18"/>
    </row>
    <row r="173" spans="1:10" s="1" customFormat="1" ht="15" customHeight="1">
      <c r="A173" s="9">
        <v>171</v>
      </c>
      <c r="B173" s="10" t="str">
        <f>"202401052"</f>
        <v>202401052</v>
      </c>
      <c r="C173" s="10" t="str">
        <f>"邓永洁"</f>
        <v>邓永洁</v>
      </c>
      <c r="D173" s="10" t="str">
        <f>"女"</f>
        <v>女</v>
      </c>
      <c r="E173" s="11" t="str">
        <f>"1998-10-19"</f>
        <v>1998-10-19</v>
      </c>
      <c r="F173" s="10" t="str">
        <f>"202403104328"</f>
        <v>202403104328</v>
      </c>
      <c r="G173" s="12">
        <v>115.7</v>
      </c>
      <c r="H173" s="13">
        <v>110</v>
      </c>
      <c r="I173" s="17">
        <f t="shared" si="10"/>
        <v>225.7</v>
      </c>
      <c r="J173" s="18"/>
    </row>
    <row r="174" spans="1:10" s="1" customFormat="1" ht="15" customHeight="1">
      <c r="A174" s="9">
        <v>172</v>
      </c>
      <c r="B174" s="10" t="str">
        <f>"202401052"</f>
        <v>202401052</v>
      </c>
      <c r="C174" s="10" t="str">
        <f>"张悦"</f>
        <v>张悦</v>
      </c>
      <c r="D174" s="10" t="str">
        <f>"女"</f>
        <v>女</v>
      </c>
      <c r="E174" s="11" t="str">
        <f>"1992-12-19"</f>
        <v>1992-12-19</v>
      </c>
      <c r="F174" s="10" t="str">
        <f>"202403104423"</f>
        <v>202403104423</v>
      </c>
      <c r="G174" s="12">
        <v>114.7</v>
      </c>
      <c r="H174" s="13">
        <v>109.5</v>
      </c>
      <c r="I174" s="17">
        <f t="shared" si="10"/>
        <v>224.2</v>
      </c>
      <c r="J174" s="18"/>
    </row>
    <row r="175" spans="1:10" s="1" customFormat="1" ht="15" customHeight="1">
      <c r="A175" s="9">
        <v>173</v>
      </c>
      <c r="B175" s="10" t="str">
        <f aca="true" t="shared" si="12" ref="B175:B180">"202401053"</f>
        <v>202401053</v>
      </c>
      <c r="C175" s="10" t="str">
        <f>"欧子旋"</f>
        <v>欧子旋</v>
      </c>
      <c r="D175" s="10" t="str">
        <f aca="true" t="shared" si="13" ref="D175:D186">"男"</f>
        <v>男</v>
      </c>
      <c r="E175" s="11" t="str">
        <f>"1995-06-18"</f>
        <v>1995-06-18</v>
      </c>
      <c r="F175" s="10" t="str">
        <f>"202403104629"</f>
        <v>202403104629</v>
      </c>
      <c r="G175" s="12">
        <v>109.7</v>
      </c>
      <c r="H175" s="13">
        <v>110.5</v>
      </c>
      <c r="I175" s="17">
        <f t="shared" si="10"/>
        <v>220.2</v>
      </c>
      <c r="J175" s="18"/>
    </row>
    <row r="176" spans="1:10" s="1" customFormat="1" ht="15" customHeight="1">
      <c r="A176" s="9">
        <v>174</v>
      </c>
      <c r="B176" s="10" t="str">
        <f t="shared" si="12"/>
        <v>202401053</v>
      </c>
      <c r="C176" s="10" t="str">
        <f>"卢勇男"</f>
        <v>卢勇男</v>
      </c>
      <c r="D176" s="10" t="str">
        <f t="shared" si="13"/>
        <v>男</v>
      </c>
      <c r="E176" s="11" t="str">
        <f>"2000-01-09"</f>
        <v>2000-01-09</v>
      </c>
      <c r="F176" s="10" t="str">
        <f>"202403104624"</f>
        <v>202403104624</v>
      </c>
      <c r="G176" s="12">
        <v>111.7</v>
      </c>
      <c r="H176" s="13">
        <v>103.5</v>
      </c>
      <c r="I176" s="17">
        <f t="shared" si="10"/>
        <v>215.2</v>
      </c>
      <c r="J176" s="18"/>
    </row>
    <row r="177" spans="1:10" s="1" customFormat="1" ht="15" customHeight="1">
      <c r="A177" s="9">
        <v>175</v>
      </c>
      <c r="B177" s="10" t="str">
        <f t="shared" si="12"/>
        <v>202401053</v>
      </c>
      <c r="C177" s="10" t="str">
        <f>"何炳衡"</f>
        <v>何炳衡</v>
      </c>
      <c r="D177" s="10" t="str">
        <f t="shared" si="13"/>
        <v>男</v>
      </c>
      <c r="E177" s="11" t="str">
        <f>"2000-12-06"</f>
        <v>2000-12-06</v>
      </c>
      <c r="F177" s="10" t="str">
        <f>"202403104609"</f>
        <v>202403104609</v>
      </c>
      <c r="G177" s="12">
        <v>113.1</v>
      </c>
      <c r="H177" s="13">
        <v>99</v>
      </c>
      <c r="I177" s="17">
        <f t="shared" si="10"/>
        <v>212.1</v>
      </c>
      <c r="J177" s="18"/>
    </row>
    <row r="178" spans="1:10" s="1" customFormat="1" ht="15" customHeight="1">
      <c r="A178" s="9">
        <v>176</v>
      </c>
      <c r="B178" s="10" t="str">
        <f t="shared" si="12"/>
        <v>202401053</v>
      </c>
      <c r="C178" s="10" t="str">
        <f>"左右"</f>
        <v>左右</v>
      </c>
      <c r="D178" s="10" t="str">
        <f t="shared" si="13"/>
        <v>男</v>
      </c>
      <c r="E178" s="11" t="str">
        <f>"1999-08-08"</f>
        <v>1999-08-08</v>
      </c>
      <c r="F178" s="10" t="str">
        <f>"202403104610"</f>
        <v>202403104610</v>
      </c>
      <c r="G178" s="12">
        <v>108</v>
      </c>
      <c r="H178" s="13">
        <v>103</v>
      </c>
      <c r="I178" s="17">
        <f t="shared" si="10"/>
        <v>211</v>
      </c>
      <c r="J178" s="18"/>
    </row>
    <row r="179" spans="1:10" s="1" customFormat="1" ht="15" customHeight="1">
      <c r="A179" s="9">
        <v>177</v>
      </c>
      <c r="B179" s="10" t="str">
        <f t="shared" si="12"/>
        <v>202401053</v>
      </c>
      <c r="C179" s="10" t="str">
        <f>"纪永杰"</f>
        <v>纪永杰</v>
      </c>
      <c r="D179" s="10" t="str">
        <f t="shared" si="13"/>
        <v>男</v>
      </c>
      <c r="E179" s="11" t="str">
        <f>"1996-09-08"</f>
        <v>1996-09-08</v>
      </c>
      <c r="F179" s="10" t="str">
        <f>"202403104626"</f>
        <v>202403104626</v>
      </c>
      <c r="G179" s="12">
        <v>97.7</v>
      </c>
      <c r="H179" s="13">
        <v>110</v>
      </c>
      <c r="I179" s="17">
        <f t="shared" si="10"/>
        <v>207.7</v>
      </c>
      <c r="J179" s="18"/>
    </row>
    <row r="180" spans="1:10" s="1" customFormat="1" ht="15" customHeight="1">
      <c r="A180" s="9">
        <v>178</v>
      </c>
      <c r="B180" s="10" t="str">
        <f t="shared" si="12"/>
        <v>202401053</v>
      </c>
      <c r="C180" s="10" t="str">
        <f>"程鑫"</f>
        <v>程鑫</v>
      </c>
      <c r="D180" s="10" t="str">
        <f t="shared" si="13"/>
        <v>男</v>
      </c>
      <c r="E180" s="11" t="str">
        <f>"1997-03-09"</f>
        <v>1997-03-09</v>
      </c>
      <c r="F180" s="10" t="str">
        <f>"202403104615"</f>
        <v>202403104615</v>
      </c>
      <c r="G180" s="12">
        <v>105.6</v>
      </c>
      <c r="H180" s="13">
        <v>101.5</v>
      </c>
      <c r="I180" s="17">
        <f t="shared" si="10"/>
        <v>207.1</v>
      </c>
      <c r="J180" s="18"/>
    </row>
    <row r="181" spans="1:10" s="1" customFormat="1" ht="15" customHeight="1">
      <c r="A181" s="9">
        <v>179</v>
      </c>
      <c r="B181" s="10" t="str">
        <f>"202401054"</f>
        <v>202401054</v>
      </c>
      <c r="C181" s="10" t="str">
        <f>"张胤龙"</f>
        <v>张胤龙</v>
      </c>
      <c r="D181" s="10" t="str">
        <f t="shared" si="13"/>
        <v>男</v>
      </c>
      <c r="E181" s="11" t="str">
        <f>"2000-11-24"</f>
        <v>2000-11-24</v>
      </c>
      <c r="F181" s="10" t="str">
        <f>"202403104718"</f>
        <v>202403104718</v>
      </c>
      <c r="G181" s="12">
        <v>112.6</v>
      </c>
      <c r="H181" s="13">
        <v>112</v>
      </c>
      <c r="I181" s="17">
        <f t="shared" si="10"/>
        <v>224.6</v>
      </c>
      <c r="J181" s="18"/>
    </row>
    <row r="182" spans="1:10" s="1" customFormat="1" ht="15" customHeight="1">
      <c r="A182" s="9">
        <v>180</v>
      </c>
      <c r="B182" s="10" t="str">
        <f>"202401054"</f>
        <v>202401054</v>
      </c>
      <c r="C182" s="10" t="str">
        <f>"许陈婷"</f>
        <v>许陈婷</v>
      </c>
      <c r="D182" s="10" t="str">
        <f>"女"</f>
        <v>女</v>
      </c>
      <c r="E182" s="11" t="str">
        <f>"2001-07-28"</f>
        <v>2001-07-28</v>
      </c>
      <c r="F182" s="10" t="str">
        <f>"202403104730"</f>
        <v>202403104730</v>
      </c>
      <c r="G182" s="12">
        <v>114.3</v>
      </c>
      <c r="H182" s="13">
        <v>108</v>
      </c>
      <c r="I182" s="17">
        <f t="shared" si="10"/>
        <v>222.3</v>
      </c>
      <c r="J182" s="18"/>
    </row>
    <row r="183" spans="1:10" s="1" customFormat="1" ht="15" customHeight="1">
      <c r="A183" s="9">
        <v>181</v>
      </c>
      <c r="B183" s="10" t="str">
        <f>"202401054"</f>
        <v>202401054</v>
      </c>
      <c r="C183" s="10" t="str">
        <f>"宫文杰"</f>
        <v>宫文杰</v>
      </c>
      <c r="D183" s="10" t="str">
        <f>"男"</f>
        <v>男</v>
      </c>
      <c r="E183" s="11" t="str">
        <f>"2002-01-03"</f>
        <v>2002-01-03</v>
      </c>
      <c r="F183" s="10" t="str">
        <f>"202403104710"</f>
        <v>202403104710</v>
      </c>
      <c r="G183" s="12">
        <v>113.8</v>
      </c>
      <c r="H183" s="13">
        <v>105.5</v>
      </c>
      <c r="I183" s="17">
        <f t="shared" si="10"/>
        <v>219.3</v>
      </c>
      <c r="J183" s="18"/>
    </row>
    <row r="184" spans="1:10" s="1" customFormat="1" ht="15" customHeight="1">
      <c r="A184" s="9">
        <v>182</v>
      </c>
      <c r="B184" s="10" t="str">
        <f>"202401055"</f>
        <v>202401055</v>
      </c>
      <c r="C184" s="10" t="str">
        <f>"成开锋"</f>
        <v>成开锋</v>
      </c>
      <c r="D184" s="10" t="str">
        <f>"男"</f>
        <v>男</v>
      </c>
      <c r="E184" s="11" t="str">
        <f>"1998-12-08"</f>
        <v>1998-12-08</v>
      </c>
      <c r="F184" s="10" t="str">
        <f>"202403104812"</f>
        <v>202403104812</v>
      </c>
      <c r="G184" s="12">
        <v>116.8</v>
      </c>
      <c r="H184" s="13">
        <v>108.5</v>
      </c>
      <c r="I184" s="17">
        <f t="shared" si="10"/>
        <v>225.3</v>
      </c>
      <c r="J184" s="18"/>
    </row>
    <row r="185" spans="1:10" s="1" customFormat="1" ht="15" customHeight="1">
      <c r="A185" s="9">
        <v>183</v>
      </c>
      <c r="B185" s="10" t="str">
        <f>"202401055"</f>
        <v>202401055</v>
      </c>
      <c r="C185" s="10" t="str">
        <f>"宫靖婧"</f>
        <v>宫靖婧</v>
      </c>
      <c r="D185" s="10" t="str">
        <f>"女"</f>
        <v>女</v>
      </c>
      <c r="E185" s="11" t="str">
        <f>"2000-06-09"</f>
        <v>2000-06-09</v>
      </c>
      <c r="F185" s="10" t="str">
        <f>"202403104802"</f>
        <v>202403104802</v>
      </c>
      <c r="G185" s="12">
        <v>103.9</v>
      </c>
      <c r="H185" s="13">
        <v>103</v>
      </c>
      <c r="I185" s="17">
        <f t="shared" si="10"/>
        <v>206.9</v>
      </c>
      <c r="J185" s="18"/>
    </row>
    <row r="186" spans="1:10" s="1" customFormat="1" ht="15" customHeight="1">
      <c r="A186" s="9">
        <v>184</v>
      </c>
      <c r="B186" s="10" t="str">
        <f>"202401055"</f>
        <v>202401055</v>
      </c>
      <c r="C186" s="10" t="str">
        <f>"黄笑寒"</f>
        <v>黄笑寒</v>
      </c>
      <c r="D186" s="10" t="str">
        <f>"男"</f>
        <v>男</v>
      </c>
      <c r="E186" s="11" t="str">
        <f>"1997-01-05"</f>
        <v>1997-01-05</v>
      </c>
      <c r="F186" s="10" t="str">
        <f>"202403104816"</f>
        <v>202403104816</v>
      </c>
      <c r="G186" s="12">
        <v>96.7</v>
      </c>
      <c r="H186" s="13">
        <v>107.5</v>
      </c>
      <c r="I186" s="17">
        <f t="shared" si="10"/>
        <v>204.2</v>
      </c>
      <c r="J186" s="18"/>
    </row>
    <row r="187" spans="1:10" s="1" customFormat="1" ht="15" customHeight="1">
      <c r="A187" s="9">
        <v>185</v>
      </c>
      <c r="B187" s="10" t="str">
        <f>"202401056"</f>
        <v>202401056</v>
      </c>
      <c r="C187" s="10" t="str">
        <f>"唐星雨"</f>
        <v>唐星雨</v>
      </c>
      <c r="D187" s="10" t="str">
        <f>"女"</f>
        <v>女</v>
      </c>
      <c r="E187" s="11" t="str">
        <f>"2002-01-03"</f>
        <v>2002-01-03</v>
      </c>
      <c r="F187" s="10" t="str">
        <f>"202403104913"</f>
        <v>202403104913</v>
      </c>
      <c r="G187" s="12">
        <v>121.1</v>
      </c>
      <c r="H187" s="13">
        <v>108.5</v>
      </c>
      <c r="I187" s="17">
        <f t="shared" si="10"/>
        <v>229.6</v>
      </c>
      <c r="J187" s="18"/>
    </row>
    <row r="188" spans="1:10" s="1" customFormat="1" ht="15" customHeight="1">
      <c r="A188" s="9">
        <v>186</v>
      </c>
      <c r="B188" s="10" t="str">
        <f>"202401056"</f>
        <v>202401056</v>
      </c>
      <c r="C188" s="10" t="str">
        <f>"金敏"</f>
        <v>金敏</v>
      </c>
      <c r="D188" s="10" t="str">
        <f>"女"</f>
        <v>女</v>
      </c>
      <c r="E188" s="11" t="str">
        <f>"1995-03-24"</f>
        <v>1995-03-24</v>
      </c>
      <c r="F188" s="10" t="str">
        <f>"202403104920"</f>
        <v>202403104920</v>
      </c>
      <c r="G188" s="12">
        <v>111.8</v>
      </c>
      <c r="H188" s="13">
        <v>110.5</v>
      </c>
      <c r="I188" s="17">
        <f t="shared" si="10"/>
        <v>222.3</v>
      </c>
      <c r="J188" s="18"/>
    </row>
    <row r="189" spans="1:10" s="1" customFormat="1" ht="15" customHeight="1">
      <c r="A189" s="9">
        <v>187</v>
      </c>
      <c r="B189" s="10" t="str">
        <f>"202401056"</f>
        <v>202401056</v>
      </c>
      <c r="C189" s="10" t="str">
        <f>"王玉洁"</f>
        <v>王玉洁</v>
      </c>
      <c r="D189" s="10" t="str">
        <f>"女"</f>
        <v>女</v>
      </c>
      <c r="E189" s="11" t="str">
        <f>"2002-07-10"</f>
        <v>2002-07-10</v>
      </c>
      <c r="F189" s="10" t="str">
        <f>"202403104903"</f>
        <v>202403104903</v>
      </c>
      <c r="G189" s="12">
        <v>105.9</v>
      </c>
      <c r="H189" s="13">
        <v>108.5</v>
      </c>
      <c r="I189" s="17">
        <f t="shared" si="10"/>
        <v>214.4</v>
      </c>
      <c r="J189" s="18"/>
    </row>
    <row r="190" spans="1:10" s="1" customFormat="1" ht="15" customHeight="1">
      <c r="A190" s="9">
        <v>188</v>
      </c>
      <c r="B190" s="10" t="str">
        <f>"202401057"</f>
        <v>202401057</v>
      </c>
      <c r="C190" s="10" t="str">
        <f>"张莹莹"</f>
        <v>张莹莹</v>
      </c>
      <c r="D190" s="10" t="str">
        <f>"女"</f>
        <v>女</v>
      </c>
      <c r="E190" s="11" t="str">
        <f>"1997-03-06"</f>
        <v>1997-03-06</v>
      </c>
      <c r="F190" s="10" t="str">
        <f>"202403104923"</f>
        <v>202403104923</v>
      </c>
      <c r="G190" s="12">
        <v>102.9</v>
      </c>
      <c r="H190" s="13">
        <v>112</v>
      </c>
      <c r="I190" s="17">
        <f t="shared" si="10"/>
        <v>214.9</v>
      </c>
      <c r="J190" s="18"/>
    </row>
    <row r="191" spans="1:10" s="1" customFormat="1" ht="15" customHeight="1">
      <c r="A191" s="9">
        <v>189</v>
      </c>
      <c r="B191" s="10" t="str">
        <f>"202401057"</f>
        <v>202401057</v>
      </c>
      <c r="C191" s="10" t="str">
        <f>"姚东"</f>
        <v>姚东</v>
      </c>
      <c r="D191" s="10" t="str">
        <f>"男"</f>
        <v>男</v>
      </c>
      <c r="E191" s="11" t="str">
        <f>"1994-08-30"</f>
        <v>1994-08-30</v>
      </c>
      <c r="F191" s="10" t="str">
        <f>"202403105009"</f>
        <v>202403105009</v>
      </c>
      <c r="G191" s="12">
        <v>102.4</v>
      </c>
      <c r="H191" s="13">
        <v>110.5</v>
      </c>
      <c r="I191" s="17">
        <f t="shared" si="10"/>
        <v>212.9</v>
      </c>
      <c r="J191" s="18"/>
    </row>
    <row r="192" spans="1:10" s="1" customFormat="1" ht="15" customHeight="1">
      <c r="A192" s="9">
        <v>190</v>
      </c>
      <c r="B192" s="10" t="str">
        <f>"202401057"</f>
        <v>202401057</v>
      </c>
      <c r="C192" s="10" t="str">
        <f>"杨雨丛"</f>
        <v>杨雨丛</v>
      </c>
      <c r="D192" s="10" t="str">
        <f>"女"</f>
        <v>女</v>
      </c>
      <c r="E192" s="11" t="str">
        <f>"1996-07-17"</f>
        <v>1996-07-17</v>
      </c>
      <c r="F192" s="10" t="str">
        <f>"202403104924"</f>
        <v>202403104924</v>
      </c>
      <c r="G192" s="12">
        <v>96.6</v>
      </c>
      <c r="H192" s="13">
        <v>116</v>
      </c>
      <c r="I192" s="17">
        <f t="shared" si="10"/>
        <v>212.6</v>
      </c>
      <c r="J192" s="18"/>
    </row>
    <row r="193" spans="1:10" s="1" customFormat="1" ht="15" customHeight="1">
      <c r="A193" s="9">
        <v>191</v>
      </c>
      <c r="B193" s="10" t="str">
        <f>"202401058"</f>
        <v>202401058</v>
      </c>
      <c r="C193" s="10" t="str">
        <f>"张晨曦"</f>
        <v>张晨曦</v>
      </c>
      <c r="D193" s="10" t="str">
        <f>"女"</f>
        <v>女</v>
      </c>
      <c r="E193" s="11" t="str">
        <f>"1993-08-08"</f>
        <v>1993-08-08</v>
      </c>
      <c r="F193" s="10" t="str">
        <f>"202403105016"</f>
        <v>202403105016</v>
      </c>
      <c r="G193" s="12">
        <v>100.7</v>
      </c>
      <c r="H193" s="13">
        <v>115</v>
      </c>
      <c r="I193" s="17">
        <f t="shared" si="10"/>
        <v>215.7</v>
      </c>
      <c r="J193" s="18"/>
    </row>
    <row r="194" spans="1:10" s="1" customFormat="1" ht="15" customHeight="1">
      <c r="A194" s="9">
        <v>192</v>
      </c>
      <c r="B194" s="10" t="str">
        <f>"202401058"</f>
        <v>202401058</v>
      </c>
      <c r="C194" s="10" t="str">
        <f>"鲍余"</f>
        <v>鲍余</v>
      </c>
      <c r="D194" s="10" t="str">
        <f>"女"</f>
        <v>女</v>
      </c>
      <c r="E194" s="11" t="str">
        <f>"1998-11-11"</f>
        <v>1998-11-11</v>
      </c>
      <c r="F194" s="10" t="str">
        <f>"202403105104"</f>
        <v>202403105104</v>
      </c>
      <c r="G194" s="12">
        <v>102.5</v>
      </c>
      <c r="H194" s="13">
        <v>113</v>
      </c>
      <c r="I194" s="17">
        <f t="shared" si="10"/>
        <v>215.5</v>
      </c>
      <c r="J194" s="18"/>
    </row>
    <row r="195" spans="1:10" s="1" customFormat="1" ht="15" customHeight="1">
      <c r="A195" s="9">
        <v>193</v>
      </c>
      <c r="B195" s="10" t="str">
        <f>"202401058"</f>
        <v>202401058</v>
      </c>
      <c r="C195" s="10" t="str">
        <f>"陆国庆"</f>
        <v>陆国庆</v>
      </c>
      <c r="D195" s="10" t="str">
        <f>"男"</f>
        <v>男</v>
      </c>
      <c r="E195" s="11" t="str">
        <f>"2000-10-01"</f>
        <v>2000-10-01</v>
      </c>
      <c r="F195" s="10" t="str">
        <f>"202403105028"</f>
        <v>202403105028</v>
      </c>
      <c r="G195" s="12">
        <v>101.5</v>
      </c>
      <c r="H195" s="13">
        <v>113</v>
      </c>
      <c r="I195" s="17">
        <f aca="true" t="shared" si="14" ref="I195:I211">SUM(G195:H195)</f>
        <v>214.5</v>
      </c>
      <c r="J195" s="18"/>
    </row>
    <row r="196" spans="1:10" s="1" customFormat="1" ht="15" customHeight="1">
      <c r="A196" s="9">
        <v>194</v>
      </c>
      <c r="B196" s="10" t="str">
        <f>"202401059"</f>
        <v>202401059</v>
      </c>
      <c r="C196" s="10" t="str">
        <f>"陈勇"</f>
        <v>陈勇</v>
      </c>
      <c r="D196" s="10" t="str">
        <f>"男"</f>
        <v>男</v>
      </c>
      <c r="E196" s="11" t="str">
        <f>"1994-01-18"</f>
        <v>1994-01-18</v>
      </c>
      <c r="F196" s="10" t="str">
        <f>"202403105116"</f>
        <v>202403105116</v>
      </c>
      <c r="G196" s="12">
        <v>113</v>
      </c>
      <c r="H196" s="13">
        <v>110</v>
      </c>
      <c r="I196" s="17">
        <f t="shared" si="14"/>
        <v>223</v>
      </c>
      <c r="J196" s="18"/>
    </row>
    <row r="197" spans="1:10" s="1" customFormat="1" ht="15" customHeight="1">
      <c r="A197" s="9">
        <v>195</v>
      </c>
      <c r="B197" s="10" t="str">
        <f>"202401059"</f>
        <v>202401059</v>
      </c>
      <c r="C197" s="10" t="str">
        <f>"周悦"</f>
        <v>周悦</v>
      </c>
      <c r="D197" s="10" t="str">
        <f>"女"</f>
        <v>女</v>
      </c>
      <c r="E197" s="11" t="str">
        <f>"1999-07-21"</f>
        <v>1999-07-21</v>
      </c>
      <c r="F197" s="10" t="str">
        <f>"202403105117"</f>
        <v>202403105117</v>
      </c>
      <c r="G197" s="12">
        <v>102</v>
      </c>
      <c r="H197" s="13">
        <v>107</v>
      </c>
      <c r="I197" s="17">
        <f t="shared" si="14"/>
        <v>209</v>
      </c>
      <c r="J197" s="18"/>
    </row>
    <row r="198" spans="1:10" s="1" customFormat="1" ht="15" customHeight="1">
      <c r="A198" s="9">
        <v>196</v>
      </c>
      <c r="B198" s="10" t="str">
        <f>"202401059"</f>
        <v>202401059</v>
      </c>
      <c r="C198" s="10" t="str">
        <f>"凌霞"</f>
        <v>凌霞</v>
      </c>
      <c r="D198" s="10" t="str">
        <f>"女"</f>
        <v>女</v>
      </c>
      <c r="E198" s="11" t="str">
        <f>"1994-05-04"</f>
        <v>1994-05-04</v>
      </c>
      <c r="F198" s="10" t="str">
        <f>"202403105120"</f>
        <v>202403105120</v>
      </c>
      <c r="G198" s="12">
        <v>95.1</v>
      </c>
      <c r="H198" s="13">
        <v>110.5</v>
      </c>
      <c r="I198" s="17">
        <f t="shared" si="14"/>
        <v>205.6</v>
      </c>
      <c r="J198" s="18"/>
    </row>
    <row r="199" spans="1:10" s="1" customFormat="1" ht="15" customHeight="1">
      <c r="A199" s="9">
        <v>197</v>
      </c>
      <c r="B199" s="10" t="str">
        <f>"202401060"</f>
        <v>202401060</v>
      </c>
      <c r="C199" s="10" t="str">
        <f>"孙燕"</f>
        <v>孙燕</v>
      </c>
      <c r="D199" s="10" t="str">
        <f>"女"</f>
        <v>女</v>
      </c>
      <c r="E199" s="11" t="str">
        <f>"1995-06-05"</f>
        <v>1995-06-05</v>
      </c>
      <c r="F199" s="10" t="str">
        <f>"202403105125"</f>
        <v>202403105125</v>
      </c>
      <c r="G199" s="12">
        <v>109.8</v>
      </c>
      <c r="H199" s="13">
        <v>106.5</v>
      </c>
      <c r="I199" s="17">
        <f t="shared" si="14"/>
        <v>216.3</v>
      </c>
      <c r="J199" s="18"/>
    </row>
    <row r="200" spans="1:10" s="1" customFormat="1" ht="15" customHeight="1">
      <c r="A200" s="9">
        <v>198</v>
      </c>
      <c r="B200" s="10" t="str">
        <f>"202401060"</f>
        <v>202401060</v>
      </c>
      <c r="C200" s="10" t="str">
        <f>"代志国"</f>
        <v>代志国</v>
      </c>
      <c r="D200" s="10" t="str">
        <f>"男"</f>
        <v>男</v>
      </c>
      <c r="E200" s="11" t="str">
        <f>"2000-02-10"</f>
        <v>2000-02-10</v>
      </c>
      <c r="F200" s="10" t="str">
        <f>"202403105122"</f>
        <v>202403105122</v>
      </c>
      <c r="G200" s="12">
        <v>103.7</v>
      </c>
      <c r="H200" s="13">
        <v>111.5</v>
      </c>
      <c r="I200" s="17">
        <f t="shared" si="14"/>
        <v>215.2</v>
      </c>
      <c r="J200" s="18"/>
    </row>
    <row r="201" spans="1:10" s="1" customFormat="1" ht="15" customHeight="1">
      <c r="A201" s="9">
        <v>199</v>
      </c>
      <c r="B201" s="10" t="str">
        <f>"202401060"</f>
        <v>202401060</v>
      </c>
      <c r="C201" s="10" t="str">
        <f>"仰孝娟"</f>
        <v>仰孝娟</v>
      </c>
      <c r="D201" s="10" t="str">
        <f>"女"</f>
        <v>女</v>
      </c>
      <c r="E201" s="11" t="str">
        <f>"1994-07-07"</f>
        <v>1994-07-07</v>
      </c>
      <c r="F201" s="10" t="str">
        <f>"202403105123"</f>
        <v>202403105123</v>
      </c>
      <c r="G201" s="12">
        <v>87.5</v>
      </c>
      <c r="H201" s="13">
        <v>107.5</v>
      </c>
      <c r="I201" s="17">
        <f t="shared" si="14"/>
        <v>195</v>
      </c>
      <c r="J201" s="18"/>
    </row>
    <row r="202" spans="1:10" s="1" customFormat="1" ht="15" customHeight="1">
      <c r="A202" s="9">
        <v>200</v>
      </c>
      <c r="B202" s="10" t="str">
        <f>"202401061"</f>
        <v>202401061</v>
      </c>
      <c r="C202" s="10" t="str">
        <f>"张大鹏"</f>
        <v>张大鹏</v>
      </c>
      <c r="D202" s="10" t="str">
        <f>"男"</f>
        <v>男</v>
      </c>
      <c r="E202" s="11" t="str">
        <f>"1998-07-29"</f>
        <v>1998-07-29</v>
      </c>
      <c r="F202" s="10" t="str">
        <f>"202403105130"</f>
        <v>202403105130</v>
      </c>
      <c r="G202" s="12">
        <v>116</v>
      </c>
      <c r="H202" s="13">
        <v>110</v>
      </c>
      <c r="I202" s="17">
        <f t="shared" si="14"/>
        <v>226</v>
      </c>
      <c r="J202" s="18"/>
    </row>
    <row r="203" spans="1:10" s="1" customFormat="1" ht="15" customHeight="1">
      <c r="A203" s="9">
        <v>201</v>
      </c>
      <c r="B203" s="10" t="str">
        <f>"202401061"</f>
        <v>202401061</v>
      </c>
      <c r="C203" s="10" t="str">
        <f>"薛莲"</f>
        <v>薛莲</v>
      </c>
      <c r="D203" s="10" t="str">
        <f>"女"</f>
        <v>女</v>
      </c>
      <c r="E203" s="11" t="str">
        <f>"1996-02-06"</f>
        <v>1996-02-06</v>
      </c>
      <c r="F203" s="10" t="str">
        <f>"202403105211"</f>
        <v>202403105211</v>
      </c>
      <c r="G203" s="12">
        <v>104.7</v>
      </c>
      <c r="H203" s="13">
        <v>111</v>
      </c>
      <c r="I203" s="17">
        <f t="shared" si="14"/>
        <v>215.7</v>
      </c>
      <c r="J203" s="18"/>
    </row>
    <row r="204" spans="1:10" s="1" customFormat="1" ht="15" customHeight="1">
      <c r="A204" s="9">
        <v>202</v>
      </c>
      <c r="B204" s="10" t="str">
        <f>"202401061"</f>
        <v>202401061</v>
      </c>
      <c r="C204" s="10" t="str">
        <f>"胡本丽"</f>
        <v>胡本丽</v>
      </c>
      <c r="D204" s="10" t="str">
        <f>"女"</f>
        <v>女</v>
      </c>
      <c r="E204" s="11" t="str">
        <f>"2000-08-23"</f>
        <v>2000-08-23</v>
      </c>
      <c r="F204" s="10" t="str">
        <f>"202403105203"</f>
        <v>202403105203</v>
      </c>
      <c r="G204" s="12">
        <v>93.6</v>
      </c>
      <c r="H204" s="13">
        <v>109.5</v>
      </c>
      <c r="I204" s="17">
        <f t="shared" si="14"/>
        <v>203.1</v>
      </c>
      <c r="J204" s="18"/>
    </row>
    <row r="205" spans="1:10" s="1" customFormat="1" ht="15" customHeight="1">
      <c r="A205" s="9">
        <v>203</v>
      </c>
      <c r="B205" s="10" t="str">
        <f>"202401062"</f>
        <v>202401062</v>
      </c>
      <c r="C205" s="10" t="str">
        <f>"金朝伟"</f>
        <v>金朝伟</v>
      </c>
      <c r="D205" s="10" t="str">
        <f>"男"</f>
        <v>男</v>
      </c>
      <c r="E205" s="11" t="str">
        <f>"1996-06-02"</f>
        <v>1996-06-02</v>
      </c>
      <c r="F205" s="10" t="str">
        <f>"202403105221"</f>
        <v>202403105221</v>
      </c>
      <c r="G205" s="12">
        <v>112.2</v>
      </c>
      <c r="H205" s="13">
        <v>101.5</v>
      </c>
      <c r="I205" s="17">
        <f t="shared" si="14"/>
        <v>213.7</v>
      </c>
      <c r="J205" s="18"/>
    </row>
    <row r="206" spans="1:10" s="1" customFormat="1" ht="15" customHeight="1">
      <c r="A206" s="9">
        <v>204</v>
      </c>
      <c r="B206" s="10" t="str">
        <f>"202401062"</f>
        <v>202401062</v>
      </c>
      <c r="C206" s="10" t="str">
        <f>"李学业"</f>
        <v>李学业</v>
      </c>
      <c r="D206" s="10" t="str">
        <f>"男"</f>
        <v>男</v>
      </c>
      <c r="E206" s="11" t="str">
        <f>"1995-07-26"</f>
        <v>1995-07-26</v>
      </c>
      <c r="F206" s="10" t="str">
        <f>"202403105227"</f>
        <v>202403105227</v>
      </c>
      <c r="G206" s="12">
        <v>96.5</v>
      </c>
      <c r="H206" s="13">
        <v>109.5</v>
      </c>
      <c r="I206" s="17">
        <f t="shared" si="14"/>
        <v>206</v>
      </c>
      <c r="J206" s="18"/>
    </row>
    <row r="207" spans="1:10" s="1" customFormat="1" ht="15" customHeight="1">
      <c r="A207" s="9">
        <v>205</v>
      </c>
      <c r="B207" s="10" t="str">
        <f>"202401062"</f>
        <v>202401062</v>
      </c>
      <c r="C207" s="10" t="str">
        <f>"梁山"</f>
        <v>梁山</v>
      </c>
      <c r="D207" s="10" t="str">
        <f>"男"</f>
        <v>男</v>
      </c>
      <c r="E207" s="11" t="str">
        <f>"2000-02-25"</f>
        <v>2000-02-25</v>
      </c>
      <c r="F207" s="10" t="str">
        <f>"202403105220"</f>
        <v>202403105220</v>
      </c>
      <c r="G207" s="12">
        <v>110.8</v>
      </c>
      <c r="H207" s="13">
        <v>94.5</v>
      </c>
      <c r="I207" s="17">
        <f t="shared" si="14"/>
        <v>205.3</v>
      </c>
      <c r="J207" s="18"/>
    </row>
    <row r="208" spans="1:10" s="1" customFormat="1" ht="15" customHeight="1">
      <c r="A208" s="9">
        <v>206</v>
      </c>
      <c r="B208" s="10" t="str">
        <f>"202401063"</f>
        <v>202401063</v>
      </c>
      <c r="C208" s="10" t="str">
        <f>"佘凌云"</f>
        <v>佘凌云</v>
      </c>
      <c r="D208" s="10" t="str">
        <f>"女"</f>
        <v>女</v>
      </c>
      <c r="E208" s="11" t="str">
        <f>"1996-05-18"</f>
        <v>1996-05-18</v>
      </c>
      <c r="F208" s="10" t="str">
        <f>"202403105307"</f>
        <v>202403105307</v>
      </c>
      <c r="G208" s="12">
        <v>102.2</v>
      </c>
      <c r="H208" s="13">
        <v>112.5</v>
      </c>
      <c r="I208" s="17">
        <f t="shared" si="14"/>
        <v>214.7</v>
      </c>
      <c r="J208" s="18"/>
    </row>
    <row r="209" spans="1:10" s="1" customFormat="1" ht="15" customHeight="1">
      <c r="A209" s="9">
        <v>207</v>
      </c>
      <c r="B209" s="10" t="str">
        <f>"202401063"</f>
        <v>202401063</v>
      </c>
      <c r="C209" s="10" t="str">
        <f>"陈实"</f>
        <v>陈实</v>
      </c>
      <c r="D209" s="10" t="str">
        <f>"男"</f>
        <v>男</v>
      </c>
      <c r="E209" s="11" t="str">
        <f>"1997-01-11"</f>
        <v>1997-01-11</v>
      </c>
      <c r="F209" s="10" t="str">
        <f>"202403105305"</f>
        <v>202403105305</v>
      </c>
      <c r="G209" s="12">
        <v>98.4</v>
      </c>
      <c r="H209" s="13">
        <v>103.5</v>
      </c>
      <c r="I209" s="17">
        <f t="shared" si="14"/>
        <v>201.9</v>
      </c>
      <c r="J209" s="18"/>
    </row>
    <row r="210" spans="1:10" s="1" customFormat="1" ht="15" customHeight="1">
      <c r="A210" s="9">
        <v>208</v>
      </c>
      <c r="B210" s="10" t="str">
        <f>"202401063"</f>
        <v>202401063</v>
      </c>
      <c r="C210" s="10" t="str">
        <f>"曹雨琴"</f>
        <v>曹雨琴</v>
      </c>
      <c r="D210" s="10" t="str">
        <f>"女"</f>
        <v>女</v>
      </c>
      <c r="E210" s="11" t="str">
        <f>"1991-09-04"</f>
        <v>1991-09-04</v>
      </c>
      <c r="F210" s="10" t="str">
        <f>"202403105302"</f>
        <v>202403105302</v>
      </c>
      <c r="G210" s="12">
        <v>81.9</v>
      </c>
      <c r="H210" s="13">
        <v>111</v>
      </c>
      <c r="I210" s="17">
        <f t="shared" si="14"/>
        <v>192.9</v>
      </c>
      <c r="J210" s="18"/>
    </row>
    <row r="211" spans="1:10" s="1" customFormat="1" ht="15" customHeight="1">
      <c r="A211" s="9">
        <v>209</v>
      </c>
      <c r="B211" s="10" t="str">
        <f aca="true" t="shared" si="15" ref="B211:B216">"202401064"</f>
        <v>202401064</v>
      </c>
      <c r="C211" s="10" t="str">
        <f>"戴越"</f>
        <v>戴越</v>
      </c>
      <c r="D211" s="10" t="str">
        <f>"女"</f>
        <v>女</v>
      </c>
      <c r="E211" s="11" t="str">
        <f>"2001-05-21"</f>
        <v>2001-05-21</v>
      </c>
      <c r="F211" s="10" t="str">
        <f>"202403105316"</f>
        <v>202403105316</v>
      </c>
      <c r="G211" s="12">
        <v>109.3</v>
      </c>
      <c r="H211" s="13">
        <v>115</v>
      </c>
      <c r="I211" s="17">
        <f t="shared" si="14"/>
        <v>224.3</v>
      </c>
      <c r="J211" s="18"/>
    </row>
    <row r="212" spans="1:10" s="1" customFormat="1" ht="15" customHeight="1">
      <c r="A212" s="9">
        <v>210</v>
      </c>
      <c r="B212" s="10" t="str">
        <f t="shared" si="15"/>
        <v>202401064</v>
      </c>
      <c r="C212" s="10" t="str">
        <f>"朱沿蓉"</f>
        <v>朱沿蓉</v>
      </c>
      <c r="D212" s="10" t="str">
        <f>"女"</f>
        <v>女</v>
      </c>
      <c r="E212" s="11" t="str">
        <f>"2001-01-11"</f>
        <v>2001-01-11</v>
      </c>
      <c r="F212" s="10" t="str">
        <f>"202403105408"</f>
        <v>202403105408</v>
      </c>
      <c r="G212" s="12">
        <v>105.5</v>
      </c>
      <c r="H212" s="13">
        <v>114.5</v>
      </c>
      <c r="I212" s="17">
        <f aca="true" t="shared" si="16" ref="I212:I263">SUM(G212:H212)</f>
        <v>220</v>
      </c>
      <c r="J212" s="18"/>
    </row>
    <row r="213" spans="1:10" s="1" customFormat="1" ht="15" customHeight="1">
      <c r="A213" s="9">
        <v>211</v>
      </c>
      <c r="B213" s="10" t="str">
        <f t="shared" si="15"/>
        <v>202401064</v>
      </c>
      <c r="C213" s="10" t="str">
        <f>"年松"</f>
        <v>年松</v>
      </c>
      <c r="D213" s="10" t="str">
        <f aca="true" t="shared" si="17" ref="D213:D218">"男"</f>
        <v>男</v>
      </c>
      <c r="E213" s="11" t="str">
        <f>"1997-10-24"</f>
        <v>1997-10-24</v>
      </c>
      <c r="F213" s="10" t="str">
        <f>"202403105328"</f>
        <v>202403105328</v>
      </c>
      <c r="G213" s="12">
        <v>103.5</v>
      </c>
      <c r="H213" s="13">
        <v>107.5</v>
      </c>
      <c r="I213" s="17">
        <f t="shared" si="16"/>
        <v>211</v>
      </c>
      <c r="J213" s="18"/>
    </row>
    <row r="214" spans="1:10" s="1" customFormat="1" ht="15" customHeight="1">
      <c r="A214" s="9">
        <v>212</v>
      </c>
      <c r="B214" s="10" t="str">
        <f t="shared" si="15"/>
        <v>202401064</v>
      </c>
      <c r="C214" s="10" t="str">
        <f>"李崇阳"</f>
        <v>李崇阳</v>
      </c>
      <c r="D214" s="10" t="str">
        <f t="shared" si="17"/>
        <v>男</v>
      </c>
      <c r="E214" s="11" t="str">
        <f>"2000-10-17"</f>
        <v>2000-10-17</v>
      </c>
      <c r="F214" s="10" t="str">
        <f>"202403105401"</f>
        <v>202403105401</v>
      </c>
      <c r="G214" s="12">
        <v>107.9</v>
      </c>
      <c r="H214" s="13">
        <v>101</v>
      </c>
      <c r="I214" s="17">
        <f t="shared" si="16"/>
        <v>208.9</v>
      </c>
      <c r="J214" s="18"/>
    </row>
    <row r="215" spans="1:10" s="1" customFormat="1" ht="15" customHeight="1">
      <c r="A215" s="9">
        <v>213</v>
      </c>
      <c r="B215" s="10" t="str">
        <f t="shared" si="15"/>
        <v>202401064</v>
      </c>
      <c r="C215" s="10" t="str">
        <f>"徐子寒"</f>
        <v>徐子寒</v>
      </c>
      <c r="D215" s="10" t="str">
        <f t="shared" si="17"/>
        <v>男</v>
      </c>
      <c r="E215" s="11" t="str">
        <f>"2001-01-04"</f>
        <v>2001-01-04</v>
      </c>
      <c r="F215" s="10" t="str">
        <f>"202403105321"</f>
        <v>202403105321</v>
      </c>
      <c r="G215" s="12">
        <v>100.9</v>
      </c>
      <c r="H215" s="13">
        <v>105.5</v>
      </c>
      <c r="I215" s="17">
        <f t="shared" si="16"/>
        <v>206.4</v>
      </c>
      <c r="J215" s="18"/>
    </row>
    <row r="216" spans="1:10" s="1" customFormat="1" ht="15" customHeight="1">
      <c r="A216" s="9">
        <v>214</v>
      </c>
      <c r="B216" s="10" t="str">
        <f t="shared" si="15"/>
        <v>202401064</v>
      </c>
      <c r="C216" s="10" t="str">
        <f>"胡邓伟"</f>
        <v>胡邓伟</v>
      </c>
      <c r="D216" s="10" t="str">
        <f t="shared" si="17"/>
        <v>男</v>
      </c>
      <c r="E216" s="11" t="str">
        <f>"1991-09-24"</f>
        <v>1991-09-24</v>
      </c>
      <c r="F216" s="10" t="str">
        <f>"202403105312"</f>
        <v>202403105312</v>
      </c>
      <c r="G216" s="12">
        <v>92.6</v>
      </c>
      <c r="H216" s="13">
        <v>111</v>
      </c>
      <c r="I216" s="17">
        <f t="shared" si="16"/>
        <v>203.6</v>
      </c>
      <c r="J216" s="18"/>
    </row>
    <row r="217" spans="1:10" s="1" customFormat="1" ht="15" customHeight="1">
      <c r="A217" s="9">
        <v>215</v>
      </c>
      <c r="B217" s="10" t="str">
        <f aca="true" t="shared" si="18" ref="B217:B219">"202401065"</f>
        <v>202401065</v>
      </c>
      <c r="C217" s="10" t="str">
        <f>"赵文静"</f>
        <v>赵文静</v>
      </c>
      <c r="D217" s="10" t="str">
        <f>"女"</f>
        <v>女</v>
      </c>
      <c r="E217" s="11" t="str">
        <f>"1996-05-06"</f>
        <v>1996-05-06</v>
      </c>
      <c r="F217" s="10" t="str">
        <f>"202403105425"</f>
        <v>202403105425</v>
      </c>
      <c r="G217" s="12">
        <v>108.7</v>
      </c>
      <c r="H217" s="13">
        <v>116</v>
      </c>
      <c r="I217" s="17">
        <f t="shared" si="16"/>
        <v>224.7</v>
      </c>
      <c r="J217" s="18"/>
    </row>
    <row r="218" spans="1:10" s="1" customFormat="1" ht="15" customHeight="1">
      <c r="A218" s="9">
        <v>216</v>
      </c>
      <c r="B218" s="10" t="str">
        <f t="shared" si="18"/>
        <v>202401065</v>
      </c>
      <c r="C218" s="10" t="str">
        <f>"张浩文"</f>
        <v>张浩文</v>
      </c>
      <c r="D218" s="10" t="str">
        <f t="shared" si="17"/>
        <v>男</v>
      </c>
      <c r="E218" s="11" t="str">
        <f>"1999-12-21"</f>
        <v>1999-12-21</v>
      </c>
      <c r="F218" s="10" t="str">
        <f>"202403105416"</f>
        <v>202403105416</v>
      </c>
      <c r="G218" s="12">
        <v>99.2</v>
      </c>
      <c r="H218" s="13">
        <v>106</v>
      </c>
      <c r="I218" s="17">
        <f t="shared" si="16"/>
        <v>205.2</v>
      </c>
      <c r="J218" s="18"/>
    </row>
    <row r="219" spans="1:10" s="1" customFormat="1" ht="15" customHeight="1">
      <c r="A219" s="9">
        <v>217</v>
      </c>
      <c r="B219" s="10" t="str">
        <f t="shared" si="18"/>
        <v>202401065</v>
      </c>
      <c r="C219" s="10" t="str">
        <f>"吴田鑫"</f>
        <v>吴田鑫</v>
      </c>
      <c r="D219" s="10" t="str">
        <f>"女"</f>
        <v>女</v>
      </c>
      <c r="E219" s="11" t="str">
        <f>"1998-01-01"</f>
        <v>1998-01-01</v>
      </c>
      <c r="F219" s="10" t="str">
        <f>"202403105424"</f>
        <v>202403105424</v>
      </c>
      <c r="G219" s="12">
        <v>98.6</v>
      </c>
      <c r="H219" s="13">
        <v>101</v>
      </c>
      <c r="I219" s="17">
        <f t="shared" si="16"/>
        <v>199.6</v>
      </c>
      <c r="J219" s="18"/>
    </row>
    <row r="220" spans="1:10" s="1" customFormat="1" ht="15" customHeight="1">
      <c r="A220" s="9">
        <v>218</v>
      </c>
      <c r="B220" s="10" t="str">
        <f>"202401066"</f>
        <v>202401066</v>
      </c>
      <c r="C220" s="10" t="str">
        <f>"阚绪佳"</f>
        <v>阚绪佳</v>
      </c>
      <c r="D220" s="10" t="str">
        <f>"男"</f>
        <v>男</v>
      </c>
      <c r="E220" s="11" t="str">
        <f>"1998-01-30"</f>
        <v>1998-01-30</v>
      </c>
      <c r="F220" s="10" t="str">
        <f>"202403105502"</f>
        <v>202403105502</v>
      </c>
      <c r="G220" s="12">
        <v>105.4</v>
      </c>
      <c r="H220" s="13">
        <v>104</v>
      </c>
      <c r="I220" s="17">
        <f t="shared" si="16"/>
        <v>209.4</v>
      </c>
      <c r="J220" s="18"/>
    </row>
    <row r="221" spans="1:10" s="1" customFormat="1" ht="15" customHeight="1">
      <c r="A221" s="9">
        <v>219</v>
      </c>
      <c r="B221" s="10" t="str">
        <f>"202401066"</f>
        <v>202401066</v>
      </c>
      <c r="C221" s="10" t="str">
        <f>"毛洪旭"</f>
        <v>毛洪旭</v>
      </c>
      <c r="D221" s="10" t="str">
        <f>"男"</f>
        <v>男</v>
      </c>
      <c r="E221" s="11" t="str">
        <f>"1997-04-15"</f>
        <v>1997-04-15</v>
      </c>
      <c r="F221" s="10" t="str">
        <f>"202403105517"</f>
        <v>202403105517</v>
      </c>
      <c r="G221" s="12">
        <v>102</v>
      </c>
      <c r="H221" s="13">
        <v>104</v>
      </c>
      <c r="I221" s="17">
        <f t="shared" si="16"/>
        <v>206</v>
      </c>
      <c r="J221" s="18"/>
    </row>
    <row r="222" spans="1:10" s="1" customFormat="1" ht="15" customHeight="1">
      <c r="A222" s="9">
        <v>220</v>
      </c>
      <c r="B222" s="10" t="str">
        <f>"202401066"</f>
        <v>202401066</v>
      </c>
      <c r="C222" s="10" t="str">
        <f>"施阳"</f>
        <v>施阳</v>
      </c>
      <c r="D222" s="10" t="str">
        <f>"男"</f>
        <v>男</v>
      </c>
      <c r="E222" s="11" t="str">
        <f>"1995-01-14"</f>
        <v>1995-01-14</v>
      </c>
      <c r="F222" s="10" t="str">
        <f>"202403105513"</f>
        <v>202403105513</v>
      </c>
      <c r="G222" s="12">
        <v>93</v>
      </c>
      <c r="H222" s="13">
        <v>111</v>
      </c>
      <c r="I222" s="17">
        <f t="shared" si="16"/>
        <v>204</v>
      </c>
      <c r="J222" s="18"/>
    </row>
    <row r="223" spans="1:10" s="1" customFormat="1" ht="15" customHeight="1">
      <c r="A223" s="9">
        <v>221</v>
      </c>
      <c r="B223" s="10" t="str">
        <f>"202401067"</f>
        <v>202401067</v>
      </c>
      <c r="C223" s="10" t="str">
        <f>"刘阳"</f>
        <v>刘阳</v>
      </c>
      <c r="D223" s="10" t="str">
        <f>"男"</f>
        <v>男</v>
      </c>
      <c r="E223" s="11" t="str">
        <f>"1998-06-12"</f>
        <v>1998-06-12</v>
      </c>
      <c r="F223" s="10" t="str">
        <f>"202403105529"</f>
        <v>202403105529</v>
      </c>
      <c r="G223" s="12">
        <v>113.4</v>
      </c>
      <c r="H223" s="13">
        <v>106.5</v>
      </c>
      <c r="I223" s="17">
        <f t="shared" si="16"/>
        <v>219.9</v>
      </c>
      <c r="J223" s="18"/>
    </row>
    <row r="224" spans="1:10" s="1" customFormat="1" ht="15" customHeight="1">
      <c r="A224" s="9">
        <v>222</v>
      </c>
      <c r="B224" s="10" t="str">
        <f>"202401067"</f>
        <v>202401067</v>
      </c>
      <c r="C224" s="10" t="str">
        <f>"张宁"</f>
        <v>张宁</v>
      </c>
      <c r="D224" s="10" t="str">
        <f>"女"</f>
        <v>女</v>
      </c>
      <c r="E224" s="11" t="str">
        <f>"1997-09-20"</f>
        <v>1997-09-20</v>
      </c>
      <c r="F224" s="10" t="str">
        <f>"202403105602"</f>
        <v>202403105602</v>
      </c>
      <c r="G224" s="12">
        <v>102.8</v>
      </c>
      <c r="H224" s="13">
        <v>111.5</v>
      </c>
      <c r="I224" s="17">
        <f t="shared" si="16"/>
        <v>214.3</v>
      </c>
      <c r="J224" s="18"/>
    </row>
    <row r="225" spans="1:10" s="1" customFormat="1" ht="15" customHeight="1">
      <c r="A225" s="9">
        <v>223</v>
      </c>
      <c r="B225" s="10" t="str">
        <f>"202401067"</f>
        <v>202401067</v>
      </c>
      <c r="C225" s="10" t="str">
        <f>"杜安达"</f>
        <v>杜安达</v>
      </c>
      <c r="D225" s="10" t="str">
        <f>"男"</f>
        <v>男</v>
      </c>
      <c r="E225" s="11" t="str">
        <f>"2002-02-15"</f>
        <v>2002-02-15</v>
      </c>
      <c r="F225" s="10" t="str">
        <f>"202403105526"</f>
        <v>202403105526</v>
      </c>
      <c r="G225" s="12">
        <v>107</v>
      </c>
      <c r="H225" s="13">
        <v>106.5</v>
      </c>
      <c r="I225" s="17">
        <f t="shared" si="16"/>
        <v>213.5</v>
      </c>
      <c r="J225" s="18"/>
    </row>
    <row r="226" spans="1:10" s="1" customFormat="1" ht="15" customHeight="1">
      <c r="A226" s="9">
        <v>224</v>
      </c>
      <c r="B226" s="10" t="str">
        <f>"202401068"</f>
        <v>202401068</v>
      </c>
      <c r="C226" s="10" t="str">
        <f>"杨珂"</f>
        <v>杨珂</v>
      </c>
      <c r="D226" s="10" t="str">
        <f>"女"</f>
        <v>女</v>
      </c>
      <c r="E226" s="11" t="str">
        <f>"2000-08-20"</f>
        <v>2000-08-20</v>
      </c>
      <c r="F226" s="10" t="str">
        <f>"202403105627"</f>
        <v>202403105627</v>
      </c>
      <c r="G226" s="12">
        <v>101.9</v>
      </c>
      <c r="H226" s="13">
        <v>111</v>
      </c>
      <c r="I226" s="17">
        <f t="shared" si="16"/>
        <v>212.9</v>
      </c>
      <c r="J226" s="18"/>
    </row>
    <row r="227" spans="1:10" s="1" customFormat="1" ht="15" customHeight="1">
      <c r="A227" s="9">
        <v>225</v>
      </c>
      <c r="B227" s="10" t="str">
        <f>"202401068"</f>
        <v>202401068</v>
      </c>
      <c r="C227" s="10" t="str">
        <f>"张玮"</f>
        <v>张玮</v>
      </c>
      <c r="D227" s="10" t="str">
        <f>"女"</f>
        <v>女</v>
      </c>
      <c r="E227" s="11" t="str">
        <f>"1991-12-23"</f>
        <v>1991-12-23</v>
      </c>
      <c r="F227" s="10" t="str">
        <f>"202403105617"</f>
        <v>202403105617</v>
      </c>
      <c r="G227" s="12">
        <v>101.6</v>
      </c>
      <c r="H227" s="13">
        <v>108.5</v>
      </c>
      <c r="I227" s="17">
        <f t="shared" si="16"/>
        <v>210.1</v>
      </c>
      <c r="J227" s="18"/>
    </row>
    <row r="228" spans="1:10" s="1" customFormat="1" ht="15" customHeight="1">
      <c r="A228" s="9">
        <v>226</v>
      </c>
      <c r="B228" s="10" t="str">
        <f>"202401068"</f>
        <v>202401068</v>
      </c>
      <c r="C228" s="10" t="str">
        <f>"唐宇阳"</f>
        <v>唐宇阳</v>
      </c>
      <c r="D228" s="10" t="str">
        <f>"男"</f>
        <v>男</v>
      </c>
      <c r="E228" s="11" t="str">
        <f>"2000-02-12"</f>
        <v>2000-02-12</v>
      </c>
      <c r="F228" s="10" t="str">
        <f>"202403105614"</f>
        <v>202403105614</v>
      </c>
      <c r="G228" s="12">
        <v>107</v>
      </c>
      <c r="H228" s="13">
        <v>98.5</v>
      </c>
      <c r="I228" s="17">
        <f t="shared" si="16"/>
        <v>205.5</v>
      </c>
      <c r="J228" s="18"/>
    </row>
    <row r="229" spans="1:10" s="1" customFormat="1" ht="15" customHeight="1">
      <c r="A229" s="9">
        <v>227</v>
      </c>
      <c r="B229" s="10" t="str">
        <f>"202401069"</f>
        <v>202401069</v>
      </c>
      <c r="C229" s="10" t="str">
        <f>"房月"</f>
        <v>房月</v>
      </c>
      <c r="D229" s="10" t="str">
        <f>"女"</f>
        <v>女</v>
      </c>
      <c r="E229" s="11" t="str">
        <f>"1998-12-27"</f>
        <v>1998-12-27</v>
      </c>
      <c r="F229" s="10" t="str">
        <f>"202403105704"</f>
        <v>202403105704</v>
      </c>
      <c r="G229" s="12">
        <v>106.2</v>
      </c>
      <c r="H229" s="13">
        <v>115.5</v>
      </c>
      <c r="I229" s="17">
        <f t="shared" si="16"/>
        <v>221.7</v>
      </c>
      <c r="J229" s="18"/>
    </row>
    <row r="230" spans="1:10" s="1" customFormat="1" ht="15" customHeight="1">
      <c r="A230" s="9">
        <v>228</v>
      </c>
      <c r="B230" s="10" t="str">
        <f>"202401069"</f>
        <v>202401069</v>
      </c>
      <c r="C230" s="10" t="str">
        <f>"尤茂旺"</f>
        <v>尤茂旺</v>
      </c>
      <c r="D230" s="10" t="str">
        <f>"女"</f>
        <v>女</v>
      </c>
      <c r="E230" s="11" t="str">
        <f>"1998-11-17"</f>
        <v>1998-11-17</v>
      </c>
      <c r="F230" s="10" t="str">
        <f>"202403105707"</f>
        <v>202403105707</v>
      </c>
      <c r="G230" s="12">
        <v>101.5</v>
      </c>
      <c r="H230" s="13">
        <v>106</v>
      </c>
      <c r="I230" s="17">
        <f t="shared" si="16"/>
        <v>207.5</v>
      </c>
      <c r="J230" s="18"/>
    </row>
    <row r="231" spans="1:10" s="1" customFormat="1" ht="15" customHeight="1">
      <c r="A231" s="9">
        <v>229</v>
      </c>
      <c r="B231" s="10" t="str">
        <f>"202401069"</f>
        <v>202401069</v>
      </c>
      <c r="C231" s="10" t="str">
        <f>"李曼玉"</f>
        <v>李曼玉</v>
      </c>
      <c r="D231" s="10" t="str">
        <f>"女"</f>
        <v>女</v>
      </c>
      <c r="E231" s="11" t="str">
        <f>"1998-02-26"</f>
        <v>1998-02-26</v>
      </c>
      <c r="F231" s="10" t="str">
        <f>"202403105703"</f>
        <v>202403105703</v>
      </c>
      <c r="G231" s="12">
        <v>101.9</v>
      </c>
      <c r="H231" s="13">
        <v>104.5</v>
      </c>
      <c r="I231" s="17">
        <f t="shared" si="16"/>
        <v>206.4</v>
      </c>
      <c r="J231" s="18"/>
    </row>
    <row r="232" spans="1:10" s="1" customFormat="1" ht="15" customHeight="1">
      <c r="A232" s="9">
        <v>230</v>
      </c>
      <c r="B232" s="10" t="str">
        <f>"202401070"</f>
        <v>202401070</v>
      </c>
      <c r="C232" s="10" t="str">
        <f>"朱月汐"</f>
        <v>朱月汐</v>
      </c>
      <c r="D232" s="10" t="str">
        <f>"女"</f>
        <v>女</v>
      </c>
      <c r="E232" s="11" t="str">
        <f>"2000-10-13"</f>
        <v>2000-10-13</v>
      </c>
      <c r="F232" s="10" t="str">
        <f>"202403105715"</f>
        <v>202403105715</v>
      </c>
      <c r="G232" s="12">
        <v>108.8</v>
      </c>
      <c r="H232" s="13">
        <v>117</v>
      </c>
      <c r="I232" s="17">
        <f t="shared" si="16"/>
        <v>225.8</v>
      </c>
      <c r="J232" s="18"/>
    </row>
    <row r="233" spans="1:10" s="1" customFormat="1" ht="15" customHeight="1">
      <c r="A233" s="9">
        <v>231</v>
      </c>
      <c r="B233" s="10" t="str">
        <f>"202401070"</f>
        <v>202401070</v>
      </c>
      <c r="C233" s="10" t="str">
        <f>"严阳阳"</f>
        <v>严阳阳</v>
      </c>
      <c r="D233" s="10" t="str">
        <f>"男"</f>
        <v>男</v>
      </c>
      <c r="E233" s="11" t="str">
        <f>"1995-07-06"</f>
        <v>1995-07-06</v>
      </c>
      <c r="F233" s="10" t="str">
        <f>"202403105722"</f>
        <v>202403105722</v>
      </c>
      <c r="G233" s="12">
        <v>109.9</v>
      </c>
      <c r="H233" s="13">
        <v>113.5</v>
      </c>
      <c r="I233" s="17">
        <f t="shared" si="16"/>
        <v>223.4</v>
      </c>
      <c r="J233" s="18"/>
    </row>
    <row r="234" spans="1:10" s="1" customFormat="1" ht="15" customHeight="1">
      <c r="A234" s="9">
        <v>232</v>
      </c>
      <c r="B234" s="10" t="str">
        <f>"202401070"</f>
        <v>202401070</v>
      </c>
      <c r="C234" s="10" t="str">
        <f>"石玉"</f>
        <v>石玉</v>
      </c>
      <c r="D234" s="10" t="str">
        <f>"女"</f>
        <v>女</v>
      </c>
      <c r="E234" s="11" t="str">
        <f>"2002-02-26"</f>
        <v>2002-02-26</v>
      </c>
      <c r="F234" s="10" t="str">
        <f>"202403105723"</f>
        <v>202403105723</v>
      </c>
      <c r="G234" s="12">
        <v>108.7</v>
      </c>
      <c r="H234" s="13">
        <v>109.5</v>
      </c>
      <c r="I234" s="17">
        <f t="shared" si="16"/>
        <v>218.2</v>
      </c>
      <c r="J234" s="18"/>
    </row>
    <row r="235" spans="1:10" s="1" customFormat="1" ht="15" customHeight="1">
      <c r="A235" s="9">
        <v>233</v>
      </c>
      <c r="B235" s="10" t="str">
        <f>"202401071"</f>
        <v>202401071</v>
      </c>
      <c r="C235" s="10" t="str">
        <f>"赵宇"</f>
        <v>赵宇</v>
      </c>
      <c r="D235" s="10" t="str">
        <f>"男"</f>
        <v>男</v>
      </c>
      <c r="E235" s="11" t="str">
        <f>"1990-12-10"</f>
        <v>1990-12-10</v>
      </c>
      <c r="F235" s="10" t="str">
        <f>"202403105820"</f>
        <v>202403105820</v>
      </c>
      <c r="G235" s="12">
        <v>114.4</v>
      </c>
      <c r="H235" s="13">
        <v>109.5</v>
      </c>
      <c r="I235" s="17">
        <f t="shared" si="16"/>
        <v>223.9</v>
      </c>
      <c r="J235" s="18"/>
    </row>
    <row r="236" spans="1:10" s="1" customFormat="1" ht="15" customHeight="1">
      <c r="A236" s="9">
        <v>234</v>
      </c>
      <c r="B236" s="10" t="str">
        <f>"202401071"</f>
        <v>202401071</v>
      </c>
      <c r="C236" s="10" t="str">
        <f>"赵大程"</f>
        <v>赵大程</v>
      </c>
      <c r="D236" s="10" t="str">
        <f>"男"</f>
        <v>男</v>
      </c>
      <c r="E236" s="11" t="str">
        <f>"1999-11-24"</f>
        <v>1999-11-24</v>
      </c>
      <c r="F236" s="10" t="str">
        <f>"202403105804"</f>
        <v>202403105804</v>
      </c>
      <c r="G236" s="12">
        <v>102.2</v>
      </c>
      <c r="H236" s="13">
        <v>109</v>
      </c>
      <c r="I236" s="17">
        <f t="shared" si="16"/>
        <v>211.2</v>
      </c>
      <c r="J236" s="18"/>
    </row>
    <row r="237" spans="1:10" s="1" customFormat="1" ht="15" customHeight="1">
      <c r="A237" s="9">
        <v>235</v>
      </c>
      <c r="B237" s="10" t="str">
        <f>"202401071"</f>
        <v>202401071</v>
      </c>
      <c r="C237" s="10" t="str">
        <f>"孙秉瑷"</f>
        <v>孙秉瑷</v>
      </c>
      <c r="D237" s="10" t="str">
        <f>"女"</f>
        <v>女</v>
      </c>
      <c r="E237" s="11" t="str">
        <f>"1998-01-14"</f>
        <v>1998-01-14</v>
      </c>
      <c r="F237" s="10" t="str">
        <f>"202403105810"</f>
        <v>202403105810</v>
      </c>
      <c r="G237" s="12">
        <v>105.4</v>
      </c>
      <c r="H237" s="13">
        <v>103.5</v>
      </c>
      <c r="I237" s="17">
        <f t="shared" si="16"/>
        <v>208.9</v>
      </c>
      <c r="J237" s="18"/>
    </row>
    <row r="238" spans="1:10" s="1" customFormat="1" ht="15" customHeight="1">
      <c r="A238" s="9">
        <v>236</v>
      </c>
      <c r="B238" s="10" t="str">
        <f aca="true" t="shared" si="19" ref="B238:B266">"202401072"</f>
        <v>202401072</v>
      </c>
      <c r="C238" s="10" t="str">
        <f>"丁程晓"</f>
        <v>丁程晓</v>
      </c>
      <c r="D238" s="10" t="str">
        <f>"女"</f>
        <v>女</v>
      </c>
      <c r="E238" s="11" t="str">
        <f>"2000-09-16"</f>
        <v>2000-09-16</v>
      </c>
      <c r="F238" s="10" t="str">
        <f>"202403105912"</f>
        <v>202403105912</v>
      </c>
      <c r="G238" s="12">
        <v>101.7</v>
      </c>
      <c r="H238" s="13">
        <v>114.5</v>
      </c>
      <c r="I238" s="17">
        <f t="shared" si="16"/>
        <v>216.2</v>
      </c>
      <c r="J238" s="18"/>
    </row>
    <row r="239" spans="1:10" s="1" customFormat="1" ht="15" customHeight="1">
      <c r="A239" s="9">
        <v>237</v>
      </c>
      <c r="B239" s="10" t="str">
        <f t="shared" si="19"/>
        <v>202401072</v>
      </c>
      <c r="C239" s="10" t="str">
        <f>"许傲男"</f>
        <v>许傲男</v>
      </c>
      <c r="D239" s="10" t="str">
        <f>"男"</f>
        <v>男</v>
      </c>
      <c r="E239" s="11" t="str">
        <f>"1996-04-08"</f>
        <v>1996-04-08</v>
      </c>
      <c r="F239" s="10" t="str">
        <f>"202403105917"</f>
        <v>202403105917</v>
      </c>
      <c r="G239" s="12">
        <v>98.5</v>
      </c>
      <c r="H239" s="13">
        <v>114.5</v>
      </c>
      <c r="I239" s="17">
        <f t="shared" si="16"/>
        <v>213</v>
      </c>
      <c r="J239" s="18"/>
    </row>
    <row r="240" spans="1:10" s="1" customFormat="1" ht="15" customHeight="1">
      <c r="A240" s="9">
        <v>238</v>
      </c>
      <c r="B240" s="10" t="str">
        <f t="shared" si="19"/>
        <v>202401072</v>
      </c>
      <c r="C240" s="10" t="str">
        <f>"李响"</f>
        <v>李响</v>
      </c>
      <c r="D240" s="10" t="str">
        <f>"女"</f>
        <v>女</v>
      </c>
      <c r="E240" s="11" t="str">
        <f>"2001-01-08"</f>
        <v>2001-01-08</v>
      </c>
      <c r="F240" s="10" t="str">
        <f>"202403105915"</f>
        <v>202403105915</v>
      </c>
      <c r="G240" s="12">
        <v>97.2</v>
      </c>
      <c r="H240" s="13">
        <v>113</v>
      </c>
      <c r="I240" s="17">
        <f t="shared" si="16"/>
        <v>210.2</v>
      </c>
      <c r="J240" s="18"/>
    </row>
    <row r="241" spans="1:10" s="1" customFormat="1" ht="15" customHeight="1">
      <c r="A241" s="9">
        <v>239</v>
      </c>
      <c r="B241" s="10" t="str">
        <f t="shared" si="19"/>
        <v>202401072</v>
      </c>
      <c r="C241" s="10" t="str">
        <f>"张东喆"</f>
        <v>张东喆</v>
      </c>
      <c r="D241" s="10" t="str">
        <f>"男"</f>
        <v>男</v>
      </c>
      <c r="E241" s="11" t="str">
        <f>"1999-01-03"</f>
        <v>1999-01-03</v>
      </c>
      <c r="F241" s="10" t="str">
        <f>"202403105914"</f>
        <v>202403105914</v>
      </c>
      <c r="G241" s="12">
        <v>102.9</v>
      </c>
      <c r="H241" s="13">
        <v>106.5</v>
      </c>
      <c r="I241" s="17">
        <f t="shared" si="16"/>
        <v>209.4</v>
      </c>
      <c r="J241" s="18"/>
    </row>
    <row r="242" spans="1:10" s="1" customFormat="1" ht="15" customHeight="1">
      <c r="A242" s="9">
        <v>240</v>
      </c>
      <c r="B242" s="10" t="str">
        <f t="shared" si="19"/>
        <v>202401072</v>
      </c>
      <c r="C242" s="10" t="str">
        <f>"袁鸿飞"</f>
        <v>袁鸿飞</v>
      </c>
      <c r="D242" s="10" t="str">
        <f>"男"</f>
        <v>男</v>
      </c>
      <c r="E242" s="11" t="str">
        <f>"1998-10-19"</f>
        <v>1998-10-19</v>
      </c>
      <c r="F242" s="10" t="str">
        <f>"202403105825"</f>
        <v>202403105825</v>
      </c>
      <c r="G242" s="12">
        <v>105.4</v>
      </c>
      <c r="H242" s="13">
        <v>102.5</v>
      </c>
      <c r="I242" s="17">
        <f t="shared" si="16"/>
        <v>207.9</v>
      </c>
      <c r="J242" s="18"/>
    </row>
    <row r="243" spans="1:10" s="1" customFormat="1" ht="15" customHeight="1">
      <c r="A243" s="9">
        <v>241</v>
      </c>
      <c r="B243" s="10" t="str">
        <f t="shared" si="19"/>
        <v>202401072</v>
      </c>
      <c r="C243" s="10" t="str">
        <f>"刘源"</f>
        <v>刘源</v>
      </c>
      <c r="D243" s="10" t="str">
        <f>"男"</f>
        <v>男</v>
      </c>
      <c r="E243" s="11" t="str">
        <f>"1995-04-22"</f>
        <v>1995-04-22</v>
      </c>
      <c r="F243" s="10" t="str">
        <f>"202403105906"</f>
        <v>202403105906</v>
      </c>
      <c r="G243" s="12">
        <v>103.7</v>
      </c>
      <c r="H243" s="13">
        <v>103</v>
      </c>
      <c r="I243" s="17">
        <f t="shared" si="16"/>
        <v>206.7</v>
      </c>
      <c r="J243" s="18"/>
    </row>
    <row r="244" spans="1:10" s="1" customFormat="1" ht="15" customHeight="1">
      <c r="A244" s="9">
        <v>242</v>
      </c>
      <c r="B244" s="10" t="str">
        <f>"202401073"</f>
        <v>202401073</v>
      </c>
      <c r="C244" s="10" t="str">
        <f>"李文"</f>
        <v>李文</v>
      </c>
      <c r="D244" s="10" t="str">
        <f>"男"</f>
        <v>男</v>
      </c>
      <c r="E244" s="11" t="str">
        <f>"1996-11-26"</f>
        <v>1996-11-26</v>
      </c>
      <c r="F244" s="10" t="str">
        <f>"202403106114"</f>
        <v>202403106114</v>
      </c>
      <c r="G244" s="12">
        <v>119.3</v>
      </c>
      <c r="H244" s="13">
        <v>104.5</v>
      </c>
      <c r="I244" s="17">
        <f t="shared" si="16"/>
        <v>223.8</v>
      </c>
      <c r="J244" s="18"/>
    </row>
    <row r="245" spans="1:10" s="1" customFormat="1" ht="15" customHeight="1">
      <c r="A245" s="9">
        <v>243</v>
      </c>
      <c r="B245" s="10" t="str">
        <f>"202401073"</f>
        <v>202401073</v>
      </c>
      <c r="C245" s="10" t="str">
        <f>"刘馨月"</f>
        <v>刘馨月</v>
      </c>
      <c r="D245" s="10" t="str">
        <f>"女"</f>
        <v>女</v>
      </c>
      <c r="E245" s="11" t="str">
        <f>"1994-11-02"</f>
        <v>1994-11-02</v>
      </c>
      <c r="F245" s="10" t="str">
        <f>"202403106008"</f>
        <v>202403106008</v>
      </c>
      <c r="G245" s="12">
        <v>106.2</v>
      </c>
      <c r="H245" s="13">
        <v>114</v>
      </c>
      <c r="I245" s="17">
        <f t="shared" si="16"/>
        <v>220.2</v>
      </c>
      <c r="J245" s="18"/>
    </row>
    <row r="246" spans="1:10" s="1" customFormat="1" ht="15" customHeight="1">
      <c r="A246" s="9">
        <v>244</v>
      </c>
      <c r="B246" s="10" t="str">
        <f>"202401073"</f>
        <v>202401073</v>
      </c>
      <c r="C246" s="10" t="str">
        <f>"吴琪"</f>
        <v>吴琪</v>
      </c>
      <c r="D246" s="10" t="str">
        <f>"女"</f>
        <v>女</v>
      </c>
      <c r="E246" s="11" t="str">
        <f>"1998-02-13"</f>
        <v>1998-02-13</v>
      </c>
      <c r="F246" s="10" t="str">
        <f>"202403106112"</f>
        <v>202403106112</v>
      </c>
      <c r="G246" s="12">
        <v>107.5</v>
      </c>
      <c r="H246" s="13">
        <v>106.5</v>
      </c>
      <c r="I246" s="17">
        <f t="shared" si="16"/>
        <v>214</v>
      </c>
      <c r="J246" s="18"/>
    </row>
    <row r="247" spans="1:10" s="1" customFormat="1" ht="15" customHeight="1">
      <c r="A247" s="9">
        <v>245</v>
      </c>
      <c r="B247" s="10" t="str">
        <f>"202401074"</f>
        <v>202401074</v>
      </c>
      <c r="C247" s="10" t="str">
        <f>"王子洋"</f>
        <v>王子洋</v>
      </c>
      <c r="D247" s="10" t="str">
        <f>"男"</f>
        <v>男</v>
      </c>
      <c r="E247" s="11" t="str">
        <f>"1999-10-28"</f>
        <v>1999-10-28</v>
      </c>
      <c r="F247" s="10" t="str">
        <f>"202403106125"</f>
        <v>202403106125</v>
      </c>
      <c r="G247" s="12">
        <v>113.1</v>
      </c>
      <c r="H247" s="13">
        <v>105.5</v>
      </c>
      <c r="I247" s="17">
        <f t="shared" si="16"/>
        <v>218.6</v>
      </c>
      <c r="J247" s="18"/>
    </row>
    <row r="248" spans="1:10" s="1" customFormat="1" ht="15" customHeight="1">
      <c r="A248" s="9">
        <v>246</v>
      </c>
      <c r="B248" s="10" t="str">
        <f>"202401074"</f>
        <v>202401074</v>
      </c>
      <c r="C248" s="10" t="str">
        <f>"朱超"</f>
        <v>朱超</v>
      </c>
      <c r="D248" s="10" t="str">
        <f>"男"</f>
        <v>男</v>
      </c>
      <c r="E248" s="11" t="str">
        <f>"1999-10-15"</f>
        <v>1999-10-15</v>
      </c>
      <c r="F248" s="10" t="str">
        <f>"202403106124"</f>
        <v>202403106124</v>
      </c>
      <c r="G248" s="12">
        <v>101.3</v>
      </c>
      <c r="H248" s="13">
        <v>108</v>
      </c>
      <c r="I248" s="17">
        <f t="shared" si="16"/>
        <v>209.3</v>
      </c>
      <c r="J248" s="18"/>
    </row>
    <row r="249" spans="1:10" s="1" customFormat="1" ht="15" customHeight="1">
      <c r="A249" s="9">
        <v>247</v>
      </c>
      <c r="B249" s="10" t="str">
        <f>"202401074"</f>
        <v>202401074</v>
      </c>
      <c r="C249" s="10" t="str">
        <f>"叶昭"</f>
        <v>叶昭</v>
      </c>
      <c r="D249" s="10" t="str">
        <f>"男"</f>
        <v>男</v>
      </c>
      <c r="E249" s="11" t="str">
        <f>"1994-12-03"</f>
        <v>1994-12-03</v>
      </c>
      <c r="F249" s="10" t="str">
        <f>"202403106118"</f>
        <v>202403106118</v>
      </c>
      <c r="G249" s="12">
        <v>104.8</v>
      </c>
      <c r="H249" s="13">
        <v>101</v>
      </c>
      <c r="I249" s="17">
        <f t="shared" si="16"/>
        <v>205.8</v>
      </c>
      <c r="J249" s="18"/>
    </row>
    <row r="250" spans="1:10" s="1" customFormat="1" ht="15" customHeight="1">
      <c r="A250" s="9">
        <v>248</v>
      </c>
      <c r="B250" s="10" t="str">
        <f>"202401075"</f>
        <v>202401075</v>
      </c>
      <c r="C250" s="10" t="str">
        <f>"杨思雨"</f>
        <v>杨思雨</v>
      </c>
      <c r="D250" s="10" t="str">
        <f>"女"</f>
        <v>女</v>
      </c>
      <c r="E250" s="11" t="str">
        <f>"1997-02-12"</f>
        <v>1997-02-12</v>
      </c>
      <c r="F250" s="10" t="str">
        <f>"202403106225"</f>
        <v>202403106225</v>
      </c>
      <c r="G250" s="12">
        <v>99.4</v>
      </c>
      <c r="H250" s="13">
        <v>117</v>
      </c>
      <c r="I250" s="17">
        <f t="shared" si="16"/>
        <v>216.4</v>
      </c>
      <c r="J250" s="18"/>
    </row>
    <row r="251" spans="1:10" s="1" customFormat="1" ht="15" customHeight="1">
      <c r="A251" s="9">
        <v>249</v>
      </c>
      <c r="B251" s="10" t="str">
        <f>"202401075"</f>
        <v>202401075</v>
      </c>
      <c r="C251" s="10" t="str">
        <f>"陈雨涛"</f>
        <v>陈雨涛</v>
      </c>
      <c r="D251" s="10" t="str">
        <f>"男"</f>
        <v>男</v>
      </c>
      <c r="E251" s="11" t="str">
        <f>"1999-09-20"</f>
        <v>1999-09-20</v>
      </c>
      <c r="F251" s="10" t="str">
        <f>"202403106216"</f>
        <v>202403106216</v>
      </c>
      <c r="G251" s="12">
        <v>98</v>
      </c>
      <c r="H251" s="13">
        <v>102.5</v>
      </c>
      <c r="I251" s="17">
        <f t="shared" si="16"/>
        <v>200.5</v>
      </c>
      <c r="J251" s="18"/>
    </row>
    <row r="252" spans="1:10" s="1" customFormat="1" ht="15" customHeight="1">
      <c r="A252" s="9">
        <v>250</v>
      </c>
      <c r="B252" s="10" t="str">
        <f>"202401075"</f>
        <v>202401075</v>
      </c>
      <c r="C252" s="10" t="str">
        <f>"何雨霖"</f>
        <v>何雨霖</v>
      </c>
      <c r="D252" s="10" t="str">
        <f>"女"</f>
        <v>女</v>
      </c>
      <c r="E252" s="11" t="str">
        <f>"2000-09-28"</f>
        <v>2000-09-28</v>
      </c>
      <c r="F252" s="10" t="str">
        <f>"202403106212"</f>
        <v>202403106212</v>
      </c>
      <c r="G252" s="12">
        <v>90.9</v>
      </c>
      <c r="H252" s="13">
        <v>109</v>
      </c>
      <c r="I252" s="17">
        <f t="shared" si="16"/>
        <v>199.9</v>
      </c>
      <c r="J252" s="18"/>
    </row>
    <row r="253" spans="1:10" s="1" customFormat="1" ht="15" customHeight="1">
      <c r="A253" s="9">
        <v>251</v>
      </c>
      <c r="B253" s="10" t="str">
        <f>"202401076"</f>
        <v>202401076</v>
      </c>
      <c r="C253" s="10" t="str">
        <f>"李文杰"</f>
        <v>李文杰</v>
      </c>
      <c r="D253" s="10" t="str">
        <f>"女"</f>
        <v>女</v>
      </c>
      <c r="E253" s="11" t="str">
        <f>"1998-08-10"</f>
        <v>1998-08-10</v>
      </c>
      <c r="F253" s="10" t="str">
        <f>"202403106303"</f>
        <v>202403106303</v>
      </c>
      <c r="G253" s="12">
        <v>108.6</v>
      </c>
      <c r="H253" s="13">
        <v>107.5</v>
      </c>
      <c r="I253" s="17">
        <f t="shared" si="16"/>
        <v>216.1</v>
      </c>
      <c r="J253" s="18"/>
    </row>
    <row r="254" spans="1:10" s="1" customFormat="1" ht="15" customHeight="1">
      <c r="A254" s="9">
        <v>252</v>
      </c>
      <c r="B254" s="10" t="str">
        <f>"202401076"</f>
        <v>202401076</v>
      </c>
      <c r="C254" s="10" t="str">
        <f>"许浩"</f>
        <v>许浩</v>
      </c>
      <c r="D254" s="10" t="str">
        <f>"男"</f>
        <v>男</v>
      </c>
      <c r="E254" s="11" t="str">
        <f>"1999-08-10"</f>
        <v>1999-08-10</v>
      </c>
      <c r="F254" s="10" t="str">
        <f>"202403106307"</f>
        <v>202403106307</v>
      </c>
      <c r="G254" s="12">
        <v>102.8</v>
      </c>
      <c r="H254" s="13">
        <v>109.5</v>
      </c>
      <c r="I254" s="17">
        <f t="shared" si="16"/>
        <v>212.3</v>
      </c>
      <c r="J254" s="18"/>
    </row>
    <row r="255" spans="1:10" s="1" customFormat="1" ht="15" customHeight="1">
      <c r="A255" s="9">
        <v>253</v>
      </c>
      <c r="B255" s="10" t="str">
        <f>"202401076"</f>
        <v>202401076</v>
      </c>
      <c r="C255" s="10" t="str">
        <f>"甄鑫"</f>
        <v>甄鑫</v>
      </c>
      <c r="D255" s="10" t="str">
        <f>"男"</f>
        <v>男</v>
      </c>
      <c r="E255" s="11" t="str">
        <f>"1999-09-19"</f>
        <v>1999-09-19</v>
      </c>
      <c r="F255" s="10" t="str">
        <f>"202403106313"</f>
        <v>202403106313</v>
      </c>
      <c r="G255" s="12">
        <v>102</v>
      </c>
      <c r="H255" s="13">
        <v>109.5</v>
      </c>
      <c r="I255" s="17">
        <f t="shared" si="16"/>
        <v>211.5</v>
      </c>
      <c r="J255" s="18"/>
    </row>
    <row r="256" spans="1:10" s="1" customFormat="1" ht="15" customHeight="1">
      <c r="A256" s="9">
        <v>254</v>
      </c>
      <c r="B256" s="10" t="str">
        <f>"202401077"</f>
        <v>202401077</v>
      </c>
      <c r="C256" s="10" t="str">
        <f>"李宁"</f>
        <v>李宁</v>
      </c>
      <c r="D256" s="10" t="str">
        <f>"男"</f>
        <v>男</v>
      </c>
      <c r="E256" s="11" t="str">
        <f>"2000-05-02"</f>
        <v>2000-05-02</v>
      </c>
      <c r="F256" s="10" t="str">
        <f>"202403106320"</f>
        <v>202403106320</v>
      </c>
      <c r="G256" s="12">
        <v>101.2</v>
      </c>
      <c r="H256" s="13">
        <v>111.5</v>
      </c>
      <c r="I256" s="17">
        <f t="shared" si="16"/>
        <v>212.7</v>
      </c>
      <c r="J256" s="18"/>
    </row>
    <row r="257" spans="1:10" s="1" customFormat="1" ht="15" customHeight="1">
      <c r="A257" s="9">
        <v>255</v>
      </c>
      <c r="B257" s="10" t="str">
        <f>"202401077"</f>
        <v>202401077</v>
      </c>
      <c r="C257" s="10" t="str">
        <f>"褚先行"</f>
        <v>褚先行</v>
      </c>
      <c r="D257" s="10" t="str">
        <f>"男"</f>
        <v>男</v>
      </c>
      <c r="E257" s="11" t="str">
        <f>"1998-10-21"</f>
        <v>1998-10-21</v>
      </c>
      <c r="F257" s="10" t="str">
        <f>"202403106318"</f>
        <v>202403106318</v>
      </c>
      <c r="G257" s="12">
        <v>87.9</v>
      </c>
      <c r="H257" s="13">
        <v>116.5</v>
      </c>
      <c r="I257" s="17">
        <f t="shared" si="16"/>
        <v>204.4</v>
      </c>
      <c r="J257" s="18"/>
    </row>
    <row r="258" spans="1:10" s="1" customFormat="1" ht="15" customHeight="1">
      <c r="A258" s="9">
        <v>256</v>
      </c>
      <c r="B258" s="10" t="str">
        <f>"202401078"</f>
        <v>202401078</v>
      </c>
      <c r="C258" s="10" t="str">
        <f>"孙若曦"</f>
        <v>孙若曦</v>
      </c>
      <c r="D258" s="10" t="str">
        <f>"女"</f>
        <v>女</v>
      </c>
      <c r="E258" s="11" t="str">
        <f>"1999-07-05"</f>
        <v>1999-07-05</v>
      </c>
      <c r="F258" s="10" t="str">
        <f>"202403106419"</f>
        <v>202403106419</v>
      </c>
      <c r="G258" s="12">
        <v>113.8</v>
      </c>
      <c r="H258" s="13">
        <v>110</v>
      </c>
      <c r="I258" s="17">
        <f t="shared" si="16"/>
        <v>223.8</v>
      </c>
      <c r="J258" s="18"/>
    </row>
    <row r="259" spans="1:10" s="1" customFormat="1" ht="15" customHeight="1">
      <c r="A259" s="9">
        <v>257</v>
      </c>
      <c r="B259" s="10" t="str">
        <f>"202401078"</f>
        <v>202401078</v>
      </c>
      <c r="C259" s="10" t="str">
        <f>"刘琳"</f>
        <v>刘琳</v>
      </c>
      <c r="D259" s="10" t="str">
        <f>"女"</f>
        <v>女</v>
      </c>
      <c r="E259" s="11" t="str">
        <f>"1998-12-11"</f>
        <v>1998-12-11</v>
      </c>
      <c r="F259" s="10" t="str">
        <f>"202403106422"</f>
        <v>202403106422</v>
      </c>
      <c r="G259" s="12">
        <v>107.9</v>
      </c>
      <c r="H259" s="13">
        <v>111</v>
      </c>
      <c r="I259" s="17">
        <f t="shared" si="16"/>
        <v>218.9</v>
      </c>
      <c r="J259" s="18"/>
    </row>
    <row r="260" spans="1:10" s="1" customFormat="1" ht="15" customHeight="1">
      <c r="A260" s="9">
        <v>258</v>
      </c>
      <c r="B260" s="10" t="str">
        <f>"202401078"</f>
        <v>202401078</v>
      </c>
      <c r="C260" s="10" t="str">
        <f>"蒋琪"</f>
        <v>蒋琪</v>
      </c>
      <c r="D260" s="10" t="str">
        <f>"男"</f>
        <v>男</v>
      </c>
      <c r="E260" s="11" t="str">
        <f>"2002-07-26"</f>
        <v>2002-07-26</v>
      </c>
      <c r="F260" s="10" t="str">
        <f>"202403106328"</f>
        <v>202403106328</v>
      </c>
      <c r="G260" s="12">
        <v>106.3</v>
      </c>
      <c r="H260" s="13">
        <v>106</v>
      </c>
      <c r="I260" s="17">
        <f t="shared" si="16"/>
        <v>212.3</v>
      </c>
      <c r="J260" s="18"/>
    </row>
    <row r="261" spans="1:10" s="1" customFormat="1" ht="15" customHeight="1">
      <c r="A261" s="9">
        <v>259</v>
      </c>
      <c r="B261" s="10" t="str">
        <f>"202401079"</f>
        <v>202401079</v>
      </c>
      <c r="C261" s="10" t="str">
        <f>"刘玙璠"</f>
        <v>刘玙璠</v>
      </c>
      <c r="D261" s="10" t="str">
        <f>"女"</f>
        <v>女</v>
      </c>
      <c r="E261" s="11" t="str">
        <f>"2003-08-02"</f>
        <v>2003-08-02</v>
      </c>
      <c r="F261" s="10" t="str">
        <f>"202403106504"</f>
        <v>202403106504</v>
      </c>
      <c r="G261" s="12">
        <v>113.7</v>
      </c>
      <c r="H261" s="13">
        <v>107</v>
      </c>
      <c r="I261" s="17">
        <f t="shared" si="16"/>
        <v>220.7</v>
      </c>
      <c r="J261" s="18"/>
    </row>
    <row r="262" spans="1:10" s="1" customFormat="1" ht="15" customHeight="1">
      <c r="A262" s="9">
        <v>260</v>
      </c>
      <c r="B262" s="10" t="str">
        <f>"202401079"</f>
        <v>202401079</v>
      </c>
      <c r="C262" s="10" t="str">
        <f>"石相承"</f>
        <v>石相承</v>
      </c>
      <c r="D262" s="10" t="str">
        <f>"男"</f>
        <v>男</v>
      </c>
      <c r="E262" s="11" t="str">
        <f>"2002-08-16"</f>
        <v>2002-08-16</v>
      </c>
      <c r="F262" s="10" t="str">
        <f>"202403106514"</f>
        <v>202403106514</v>
      </c>
      <c r="G262" s="12">
        <v>107.6</v>
      </c>
      <c r="H262" s="13">
        <v>110.5</v>
      </c>
      <c r="I262" s="17">
        <f t="shared" si="16"/>
        <v>218.1</v>
      </c>
      <c r="J262" s="18"/>
    </row>
    <row r="263" spans="1:10" s="1" customFormat="1" ht="15" customHeight="1">
      <c r="A263" s="9">
        <v>261</v>
      </c>
      <c r="B263" s="10" t="str">
        <f>"202401079"</f>
        <v>202401079</v>
      </c>
      <c r="C263" s="10" t="str">
        <f>"张震"</f>
        <v>张震</v>
      </c>
      <c r="D263" s="10" t="str">
        <f>"男"</f>
        <v>男</v>
      </c>
      <c r="E263" s="11" t="str">
        <f>"1998-07-27"</f>
        <v>1998-07-27</v>
      </c>
      <c r="F263" s="10" t="str">
        <f>"202403106522"</f>
        <v>202403106522</v>
      </c>
      <c r="G263" s="12">
        <v>102.6</v>
      </c>
      <c r="H263" s="13">
        <v>112.5</v>
      </c>
      <c r="I263" s="17">
        <f t="shared" si="16"/>
        <v>215.1</v>
      </c>
      <c r="J263" s="18"/>
    </row>
    <row r="264" spans="1:10" s="1" customFormat="1" ht="15" customHeight="1">
      <c r="A264" s="9">
        <v>262</v>
      </c>
      <c r="B264" s="10" t="str">
        <f aca="true" t="shared" si="20" ref="B264:B295">"202401080"</f>
        <v>202401080</v>
      </c>
      <c r="C264" s="10" t="str">
        <f>"常迪"</f>
        <v>常迪</v>
      </c>
      <c r="D264" s="10" t="str">
        <f aca="true" t="shared" si="21" ref="D264:D275">"女"</f>
        <v>女</v>
      </c>
      <c r="E264" s="11" t="str">
        <f>"2002-12-03"</f>
        <v>2002-12-03</v>
      </c>
      <c r="F264" s="10" t="str">
        <f>"202403106628"</f>
        <v>202403106628</v>
      </c>
      <c r="G264" s="12">
        <v>105.1</v>
      </c>
      <c r="H264" s="13">
        <v>119.5</v>
      </c>
      <c r="I264" s="17">
        <f aca="true" t="shared" si="22" ref="I264:I300">SUM(G264:H264)</f>
        <v>224.6</v>
      </c>
      <c r="J264" s="18"/>
    </row>
    <row r="265" spans="1:10" s="1" customFormat="1" ht="15" customHeight="1">
      <c r="A265" s="9">
        <v>263</v>
      </c>
      <c r="B265" s="10" t="str">
        <f t="shared" si="20"/>
        <v>202401080</v>
      </c>
      <c r="C265" s="10" t="str">
        <f>"耿颖"</f>
        <v>耿颖</v>
      </c>
      <c r="D265" s="10" t="str">
        <f t="shared" si="21"/>
        <v>女</v>
      </c>
      <c r="E265" s="11" t="str">
        <f>"2002-11-15"</f>
        <v>2002-11-15</v>
      </c>
      <c r="F265" s="10" t="str">
        <f>"202403106530"</f>
        <v>202403106530</v>
      </c>
      <c r="G265" s="12">
        <v>99.6</v>
      </c>
      <c r="H265" s="13">
        <v>115</v>
      </c>
      <c r="I265" s="17">
        <f t="shared" si="22"/>
        <v>214.6</v>
      </c>
      <c r="J265" s="18"/>
    </row>
    <row r="266" spans="1:10" s="1" customFormat="1" ht="15" customHeight="1">
      <c r="A266" s="9">
        <v>264</v>
      </c>
      <c r="B266" s="10" t="str">
        <f t="shared" si="20"/>
        <v>202401080</v>
      </c>
      <c r="C266" s="10" t="str">
        <f>"胡亚楠"</f>
        <v>胡亚楠</v>
      </c>
      <c r="D266" s="10" t="str">
        <f t="shared" si="21"/>
        <v>女</v>
      </c>
      <c r="E266" s="11" t="str">
        <f>"2002-07-07"</f>
        <v>2002-07-07</v>
      </c>
      <c r="F266" s="10" t="str">
        <f>"202403106607"</f>
        <v>202403106607</v>
      </c>
      <c r="G266" s="12">
        <v>103.2</v>
      </c>
      <c r="H266" s="13">
        <v>107</v>
      </c>
      <c r="I266" s="17">
        <f t="shared" si="22"/>
        <v>210.2</v>
      </c>
      <c r="J266" s="18"/>
    </row>
    <row r="267" spans="1:10" s="1" customFormat="1" ht="15" customHeight="1">
      <c r="A267" s="9">
        <v>265</v>
      </c>
      <c r="B267" s="10" t="str">
        <f t="shared" si="20"/>
        <v>202401080</v>
      </c>
      <c r="C267" s="10" t="str">
        <f>"李若鑫"</f>
        <v>李若鑫</v>
      </c>
      <c r="D267" s="10" t="str">
        <f t="shared" si="21"/>
        <v>女</v>
      </c>
      <c r="E267" s="11" t="str">
        <f>"2002-07-01"</f>
        <v>2002-07-01</v>
      </c>
      <c r="F267" s="10" t="str">
        <f>"202403106627"</f>
        <v>202403106627</v>
      </c>
      <c r="G267" s="12">
        <v>95.7</v>
      </c>
      <c r="H267" s="13">
        <v>111</v>
      </c>
      <c r="I267" s="17">
        <f t="shared" si="22"/>
        <v>206.7</v>
      </c>
      <c r="J267" s="18"/>
    </row>
    <row r="268" spans="1:10" s="1" customFormat="1" ht="15" customHeight="1">
      <c r="A268" s="9">
        <v>266</v>
      </c>
      <c r="B268" s="10" t="str">
        <f t="shared" si="20"/>
        <v>202401080</v>
      </c>
      <c r="C268" s="10" t="str">
        <f>"方紫宁"</f>
        <v>方紫宁</v>
      </c>
      <c r="D268" s="10" t="str">
        <f t="shared" si="21"/>
        <v>女</v>
      </c>
      <c r="E268" s="11" t="str">
        <f>"2001-05-04"</f>
        <v>2001-05-04</v>
      </c>
      <c r="F268" s="10" t="str">
        <f>"202403106622"</f>
        <v>202403106622</v>
      </c>
      <c r="G268" s="12">
        <v>91.6</v>
      </c>
      <c r="H268" s="13">
        <v>114</v>
      </c>
      <c r="I268" s="17">
        <f t="shared" si="22"/>
        <v>205.6</v>
      </c>
      <c r="J268" s="18"/>
    </row>
    <row r="269" spans="1:10" s="1" customFormat="1" ht="15" customHeight="1">
      <c r="A269" s="9">
        <v>267</v>
      </c>
      <c r="B269" s="10" t="str">
        <f t="shared" si="20"/>
        <v>202401080</v>
      </c>
      <c r="C269" s="10" t="str">
        <f>"陈卷叠"</f>
        <v>陈卷叠</v>
      </c>
      <c r="D269" s="10" t="str">
        <f t="shared" si="21"/>
        <v>女</v>
      </c>
      <c r="E269" s="11" t="str">
        <f>"1997-12-05"</f>
        <v>1997-12-05</v>
      </c>
      <c r="F269" s="10" t="str">
        <f>"202403106611"</f>
        <v>202403106611</v>
      </c>
      <c r="G269" s="12">
        <v>97.4</v>
      </c>
      <c r="H269" s="13">
        <v>106</v>
      </c>
      <c r="I269" s="17">
        <f t="shared" si="22"/>
        <v>203.4</v>
      </c>
      <c r="J269" s="18"/>
    </row>
    <row r="270" spans="1:10" s="1" customFormat="1" ht="15" customHeight="1">
      <c r="A270" s="9">
        <v>268</v>
      </c>
      <c r="B270" s="10" t="str">
        <f t="shared" si="20"/>
        <v>202401080</v>
      </c>
      <c r="C270" s="10" t="str">
        <f>"许柳"</f>
        <v>许柳</v>
      </c>
      <c r="D270" s="10" t="str">
        <f t="shared" si="21"/>
        <v>女</v>
      </c>
      <c r="E270" s="11" t="str">
        <f>"1998-03-02"</f>
        <v>1998-03-02</v>
      </c>
      <c r="F270" s="10" t="str">
        <f>"202403106629"</f>
        <v>202403106629</v>
      </c>
      <c r="G270" s="12">
        <v>97.7</v>
      </c>
      <c r="H270" s="13">
        <v>104</v>
      </c>
      <c r="I270" s="17">
        <f t="shared" si="22"/>
        <v>201.7</v>
      </c>
      <c r="J270" s="18"/>
    </row>
    <row r="271" spans="1:10" s="1" customFormat="1" ht="15" customHeight="1">
      <c r="A271" s="9">
        <v>269</v>
      </c>
      <c r="B271" s="10" t="str">
        <f t="shared" si="20"/>
        <v>202401080</v>
      </c>
      <c r="C271" s="10" t="str">
        <f>"张玮祎"</f>
        <v>张玮祎</v>
      </c>
      <c r="D271" s="10" t="str">
        <f t="shared" si="21"/>
        <v>女</v>
      </c>
      <c r="E271" s="11" t="str">
        <f>"2000-07-04"</f>
        <v>2000-07-04</v>
      </c>
      <c r="F271" s="10" t="str">
        <f>"202403106625"</f>
        <v>202403106625</v>
      </c>
      <c r="G271" s="12">
        <v>99.8</v>
      </c>
      <c r="H271" s="13">
        <v>100.5</v>
      </c>
      <c r="I271" s="17">
        <f t="shared" si="22"/>
        <v>200.3</v>
      </c>
      <c r="J271" s="18"/>
    </row>
    <row r="272" spans="1:10" s="1" customFormat="1" ht="15" customHeight="1">
      <c r="A272" s="9">
        <v>270</v>
      </c>
      <c r="B272" s="10" t="str">
        <f t="shared" si="20"/>
        <v>202401080</v>
      </c>
      <c r="C272" s="10" t="str">
        <f>"张琎"</f>
        <v>张琎</v>
      </c>
      <c r="D272" s="10" t="str">
        <f t="shared" si="21"/>
        <v>女</v>
      </c>
      <c r="E272" s="11" t="str">
        <f>"1996-11-21"</f>
        <v>1996-11-21</v>
      </c>
      <c r="F272" s="10" t="str">
        <f>"202403106614"</f>
        <v>202403106614</v>
      </c>
      <c r="G272" s="12">
        <v>86.9</v>
      </c>
      <c r="H272" s="13">
        <v>111</v>
      </c>
      <c r="I272" s="17">
        <f t="shared" si="22"/>
        <v>197.9</v>
      </c>
      <c r="J272" s="18"/>
    </row>
    <row r="273" spans="1:10" s="1" customFormat="1" ht="15" customHeight="1">
      <c r="A273" s="9">
        <v>271</v>
      </c>
      <c r="B273" s="10" t="str">
        <f aca="true" t="shared" si="23" ref="B273:B281">"202401081"</f>
        <v>202401081</v>
      </c>
      <c r="C273" s="10" t="str">
        <f>"王妍"</f>
        <v>王妍</v>
      </c>
      <c r="D273" s="10" t="str">
        <f t="shared" si="21"/>
        <v>女</v>
      </c>
      <c r="E273" s="11" t="str">
        <f>"2000-01-20"</f>
        <v>2000-01-20</v>
      </c>
      <c r="F273" s="10" t="str">
        <f>"202403106701"</f>
        <v>202403106701</v>
      </c>
      <c r="G273" s="12">
        <v>113.1</v>
      </c>
      <c r="H273" s="13">
        <v>107</v>
      </c>
      <c r="I273" s="17">
        <f t="shared" si="22"/>
        <v>220.1</v>
      </c>
      <c r="J273" s="18"/>
    </row>
    <row r="274" spans="1:10" s="1" customFormat="1" ht="15" customHeight="1">
      <c r="A274" s="9">
        <v>272</v>
      </c>
      <c r="B274" s="10" t="str">
        <f t="shared" si="23"/>
        <v>202401081</v>
      </c>
      <c r="C274" s="10" t="str">
        <f>"张立川"</f>
        <v>张立川</v>
      </c>
      <c r="D274" s="10" t="str">
        <f>"男"</f>
        <v>男</v>
      </c>
      <c r="E274" s="11" t="str">
        <f>"2001-02-04"</f>
        <v>2001-02-04</v>
      </c>
      <c r="F274" s="10" t="str">
        <f>"202403106727"</f>
        <v>202403106727</v>
      </c>
      <c r="G274" s="12">
        <v>117.8</v>
      </c>
      <c r="H274" s="13">
        <v>99</v>
      </c>
      <c r="I274" s="17">
        <f t="shared" si="22"/>
        <v>216.8</v>
      </c>
      <c r="J274" s="18"/>
    </row>
    <row r="275" spans="1:10" s="1" customFormat="1" ht="15" customHeight="1">
      <c r="A275" s="9">
        <v>273</v>
      </c>
      <c r="B275" s="10" t="str">
        <f t="shared" si="23"/>
        <v>202401081</v>
      </c>
      <c r="C275" s="10" t="str">
        <f>"张思文"</f>
        <v>张思文</v>
      </c>
      <c r="D275" s="10" t="str">
        <f>"女"</f>
        <v>女</v>
      </c>
      <c r="E275" s="11" t="str">
        <f>"1999-09-20"</f>
        <v>1999-09-20</v>
      </c>
      <c r="F275" s="10" t="str">
        <f>"202403106709"</f>
        <v>202403106709</v>
      </c>
      <c r="G275" s="12">
        <v>98.4</v>
      </c>
      <c r="H275" s="13">
        <v>113</v>
      </c>
      <c r="I275" s="17">
        <f t="shared" si="22"/>
        <v>211.4</v>
      </c>
      <c r="J275" s="18"/>
    </row>
    <row r="276" spans="1:10" s="1" customFormat="1" ht="15" customHeight="1">
      <c r="A276" s="9">
        <v>274</v>
      </c>
      <c r="B276" s="10" t="str">
        <f t="shared" si="23"/>
        <v>202401081</v>
      </c>
      <c r="C276" s="10" t="str">
        <f>"岳兵"</f>
        <v>岳兵</v>
      </c>
      <c r="D276" s="10" t="str">
        <f>"男"</f>
        <v>男</v>
      </c>
      <c r="E276" s="11" t="str">
        <f>"1999-06-25"</f>
        <v>1999-06-25</v>
      </c>
      <c r="F276" s="10" t="str">
        <f>"202403106703"</f>
        <v>202403106703</v>
      </c>
      <c r="G276" s="12">
        <v>106.3</v>
      </c>
      <c r="H276" s="13">
        <v>101.5</v>
      </c>
      <c r="I276" s="17">
        <f t="shared" si="22"/>
        <v>207.8</v>
      </c>
      <c r="J276" s="18"/>
    </row>
    <row r="277" spans="1:10" s="1" customFormat="1" ht="15" customHeight="1">
      <c r="A277" s="9">
        <v>275</v>
      </c>
      <c r="B277" s="10" t="str">
        <f t="shared" si="23"/>
        <v>202401081</v>
      </c>
      <c r="C277" s="10" t="str">
        <f>"陶娴婧"</f>
        <v>陶娴婧</v>
      </c>
      <c r="D277" s="10" t="str">
        <f>"女"</f>
        <v>女</v>
      </c>
      <c r="E277" s="11" t="str">
        <f>"2002-08-11"</f>
        <v>2002-08-11</v>
      </c>
      <c r="F277" s="10" t="str">
        <f>"202403106707"</f>
        <v>202403106707</v>
      </c>
      <c r="G277" s="12">
        <v>98.4</v>
      </c>
      <c r="H277" s="13">
        <v>107.5</v>
      </c>
      <c r="I277" s="17">
        <f t="shared" si="22"/>
        <v>205.9</v>
      </c>
      <c r="J277" s="18"/>
    </row>
    <row r="278" spans="1:10" s="1" customFormat="1" ht="15" customHeight="1">
      <c r="A278" s="9">
        <v>276</v>
      </c>
      <c r="B278" s="10" t="str">
        <f t="shared" si="23"/>
        <v>202401081</v>
      </c>
      <c r="C278" s="10" t="str">
        <f>"朱雅婷"</f>
        <v>朱雅婷</v>
      </c>
      <c r="D278" s="10" t="str">
        <f>"女"</f>
        <v>女</v>
      </c>
      <c r="E278" s="11" t="str">
        <f>"1999-03-04"</f>
        <v>1999-03-04</v>
      </c>
      <c r="F278" s="10" t="str">
        <f>"202403106713"</f>
        <v>202403106713</v>
      </c>
      <c r="G278" s="12">
        <v>99.6</v>
      </c>
      <c r="H278" s="13">
        <v>105.5</v>
      </c>
      <c r="I278" s="17">
        <f t="shared" si="22"/>
        <v>205.1</v>
      </c>
      <c r="J278" s="18"/>
    </row>
    <row r="279" spans="1:10" s="1" customFormat="1" ht="15" customHeight="1">
      <c r="A279" s="9">
        <v>277</v>
      </c>
      <c r="B279" s="10" t="str">
        <f t="shared" si="23"/>
        <v>202401081</v>
      </c>
      <c r="C279" s="10" t="str">
        <f>"刘君"</f>
        <v>刘君</v>
      </c>
      <c r="D279" s="10" t="str">
        <f>"男"</f>
        <v>男</v>
      </c>
      <c r="E279" s="11" t="str">
        <f>"1997-03-11"</f>
        <v>1997-03-11</v>
      </c>
      <c r="F279" s="10" t="str">
        <f>"202403106702"</f>
        <v>202403106702</v>
      </c>
      <c r="G279" s="12">
        <v>96.2</v>
      </c>
      <c r="H279" s="13">
        <v>107.5</v>
      </c>
      <c r="I279" s="17">
        <f t="shared" si="22"/>
        <v>203.7</v>
      </c>
      <c r="J279" s="18"/>
    </row>
    <row r="280" spans="1:10" s="1" customFormat="1" ht="15" customHeight="1">
      <c r="A280" s="9">
        <v>278</v>
      </c>
      <c r="B280" s="10" t="str">
        <f t="shared" si="23"/>
        <v>202401081</v>
      </c>
      <c r="C280" s="10" t="str">
        <f>"张卓然"</f>
        <v>张卓然</v>
      </c>
      <c r="D280" s="10" t="str">
        <f>"女"</f>
        <v>女</v>
      </c>
      <c r="E280" s="11" t="str">
        <f>"1999-11-20"</f>
        <v>1999-11-20</v>
      </c>
      <c r="F280" s="10" t="str">
        <f>"202403106728"</f>
        <v>202403106728</v>
      </c>
      <c r="G280" s="12">
        <v>86.5</v>
      </c>
      <c r="H280" s="13">
        <v>115.5</v>
      </c>
      <c r="I280" s="17">
        <f t="shared" si="22"/>
        <v>202</v>
      </c>
      <c r="J280" s="18"/>
    </row>
    <row r="281" spans="1:10" s="1" customFormat="1" ht="15" customHeight="1">
      <c r="A281" s="9">
        <v>279</v>
      </c>
      <c r="B281" s="10" t="str">
        <f t="shared" si="23"/>
        <v>202401081</v>
      </c>
      <c r="C281" s="10" t="str">
        <f>"徐亚"</f>
        <v>徐亚</v>
      </c>
      <c r="D281" s="10" t="str">
        <f>"女"</f>
        <v>女</v>
      </c>
      <c r="E281" s="11" t="str">
        <f>"2000-08-18"</f>
        <v>2000-08-18</v>
      </c>
      <c r="F281" s="10" t="str">
        <f>"202403106715"</f>
        <v>202403106715</v>
      </c>
      <c r="G281" s="12">
        <v>93.7</v>
      </c>
      <c r="H281" s="13">
        <v>107.5</v>
      </c>
      <c r="I281" s="17">
        <f t="shared" si="22"/>
        <v>201.2</v>
      </c>
      <c r="J281" s="18"/>
    </row>
    <row r="282" spans="1:10" s="1" customFormat="1" ht="15" customHeight="1">
      <c r="A282" s="9">
        <v>280</v>
      </c>
      <c r="B282" s="10" t="str">
        <f aca="true" t="shared" si="24" ref="B282:B290">"202401082"</f>
        <v>202401082</v>
      </c>
      <c r="C282" s="10" t="str">
        <f>"方惠中"</f>
        <v>方惠中</v>
      </c>
      <c r="D282" s="10" t="str">
        <f>"女"</f>
        <v>女</v>
      </c>
      <c r="E282" s="11" t="str">
        <f>"1998-11-26"</f>
        <v>1998-11-26</v>
      </c>
      <c r="F282" s="10" t="str">
        <f>"202403106829"</f>
        <v>202403106829</v>
      </c>
      <c r="G282" s="12">
        <v>112.6</v>
      </c>
      <c r="H282" s="13">
        <v>116</v>
      </c>
      <c r="I282" s="17">
        <f t="shared" si="22"/>
        <v>228.6</v>
      </c>
      <c r="J282" s="18"/>
    </row>
    <row r="283" spans="1:10" s="1" customFormat="1" ht="15" customHeight="1">
      <c r="A283" s="9">
        <v>281</v>
      </c>
      <c r="B283" s="10" t="str">
        <f t="shared" si="24"/>
        <v>202401082</v>
      </c>
      <c r="C283" s="10" t="str">
        <f>"王扬"</f>
        <v>王扬</v>
      </c>
      <c r="D283" s="10" t="str">
        <f>"男"</f>
        <v>男</v>
      </c>
      <c r="E283" s="11" t="str">
        <f>"1996-05-15"</f>
        <v>1996-05-15</v>
      </c>
      <c r="F283" s="10" t="str">
        <f>"202403106922"</f>
        <v>202403106922</v>
      </c>
      <c r="G283" s="12">
        <v>102.4</v>
      </c>
      <c r="H283" s="13">
        <v>116</v>
      </c>
      <c r="I283" s="17">
        <f t="shared" si="22"/>
        <v>218.4</v>
      </c>
      <c r="J283" s="18"/>
    </row>
    <row r="284" spans="1:10" s="1" customFormat="1" ht="15" customHeight="1">
      <c r="A284" s="9">
        <v>282</v>
      </c>
      <c r="B284" s="10" t="str">
        <f t="shared" si="24"/>
        <v>202401082</v>
      </c>
      <c r="C284" s="10" t="str">
        <f>"田富文"</f>
        <v>田富文</v>
      </c>
      <c r="D284" s="10" t="str">
        <f>"女"</f>
        <v>女</v>
      </c>
      <c r="E284" s="11" t="str">
        <f>"1999-02-17"</f>
        <v>1999-02-17</v>
      </c>
      <c r="F284" s="10" t="str">
        <f>"202403106925"</f>
        <v>202403106925</v>
      </c>
      <c r="G284" s="12">
        <v>100.8</v>
      </c>
      <c r="H284" s="13">
        <v>111</v>
      </c>
      <c r="I284" s="17">
        <f t="shared" si="22"/>
        <v>211.8</v>
      </c>
      <c r="J284" s="18"/>
    </row>
    <row r="285" spans="1:10" s="1" customFormat="1" ht="15" customHeight="1">
      <c r="A285" s="9">
        <v>283</v>
      </c>
      <c r="B285" s="10" t="str">
        <f t="shared" si="24"/>
        <v>202401082</v>
      </c>
      <c r="C285" s="10" t="str">
        <f>"薛金涛"</f>
        <v>薛金涛</v>
      </c>
      <c r="D285" s="10" t="str">
        <f>"男"</f>
        <v>男</v>
      </c>
      <c r="E285" s="11" t="str">
        <f>"1999-09-14"</f>
        <v>1999-09-14</v>
      </c>
      <c r="F285" s="10" t="str">
        <f>"202403106904"</f>
        <v>202403106904</v>
      </c>
      <c r="G285" s="12">
        <v>98.7</v>
      </c>
      <c r="H285" s="13">
        <v>112</v>
      </c>
      <c r="I285" s="17">
        <f t="shared" si="22"/>
        <v>210.7</v>
      </c>
      <c r="J285" s="18"/>
    </row>
    <row r="286" spans="1:10" s="1" customFormat="1" ht="15" customHeight="1">
      <c r="A286" s="9">
        <v>284</v>
      </c>
      <c r="B286" s="10" t="str">
        <f t="shared" si="24"/>
        <v>202401082</v>
      </c>
      <c r="C286" s="10" t="str">
        <f>"陈加敏"</f>
        <v>陈加敏</v>
      </c>
      <c r="D286" s="10" t="str">
        <f>"女"</f>
        <v>女</v>
      </c>
      <c r="E286" s="11" t="str">
        <f>"1997-08-15"</f>
        <v>1997-08-15</v>
      </c>
      <c r="F286" s="10" t="str">
        <f>"202403106907"</f>
        <v>202403106907</v>
      </c>
      <c r="G286" s="12">
        <v>96</v>
      </c>
      <c r="H286" s="13">
        <v>114.5</v>
      </c>
      <c r="I286" s="17">
        <f t="shared" si="22"/>
        <v>210.5</v>
      </c>
      <c r="J286" s="18"/>
    </row>
    <row r="287" spans="1:10" s="1" customFormat="1" ht="15" customHeight="1">
      <c r="A287" s="9">
        <v>285</v>
      </c>
      <c r="B287" s="10" t="str">
        <f t="shared" si="24"/>
        <v>202401082</v>
      </c>
      <c r="C287" s="10" t="str">
        <f>"石其星"</f>
        <v>石其星</v>
      </c>
      <c r="D287" s="10" t="str">
        <f>"男"</f>
        <v>男</v>
      </c>
      <c r="E287" s="11" t="str">
        <f>"2000-07-15"</f>
        <v>2000-07-15</v>
      </c>
      <c r="F287" s="10" t="str">
        <f>"202403106825"</f>
        <v>202403106825</v>
      </c>
      <c r="G287" s="12">
        <v>98.1</v>
      </c>
      <c r="H287" s="13">
        <v>111</v>
      </c>
      <c r="I287" s="17">
        <f t="shared" si="22"/>
        <v>209.1</v>
      </c>
      <c r="J287" s="18"/>
    </row>
    <row r="288" spans="1:10" s="1" customFormat="1" ht="15" customHeight="1">
      <c r="A288" s="9">
        <v>286</v>
      </c>
      <c r="B288" s="10" t="str">
        <f t="shared" si="24"/>
        <v>202401082</v>
      </c>
      <c r="C288" s="10" t="str">
        <f>"后德童庆"</f>
        <v>后德童庆</v>
      </c>
      <c r="D288" s="10" t="str">
        <f>"女"</f>
        <v>女</v>
      </c>
      <c r="E288" s="11" t="str">
        <f>"1999-09-28"</f>
        <v>1999-09-28</v>
      </c>
      <c r="F288" s="10" t="str">
        <f>"202403106811"</f>
        <v>202403106811</v>
      </c>
      <c r="G288" s="12">
        <v>91.6</v>
      </c>
      <c r="H288" s="13">
        <v>116.5</v>
      </c>
      <c r="I288" s="17">
        <f t="shared" si="22"/>
        <v>208.1</v>
      </c>
      <c r="J288" s="18"/>
    </row>
    <row r="289" spans="1:10" s="1" customFormat="1" ht="15" customHeight="1">
      <c r="A289" s="9">
        <v>287</v>
      </c>
      <c r="B289" s="10" t="str">
        <f t="shared" si="24"/>
        <v>202401082</v>
      </c>
      <c r="C289" s="10" t="str">
        <f>"王淑慧"</f>
        <v>王淑慧</v>
      </c>
      <c r="D289" s="10" t="str">
        <f>"女"</f>
        <v>女</v>
      </c>
      <c r="E289" s="11" t="str">
        <f>"1993-11-30"</f>
        <v>1993-11-30</v>
      </c>
      <c r="F289" s="10" t="str">
        <f>"202403106813"</f>
        <v>202403106813</v>
      </c>
      <c r="G289" s="12">
        <v>101.9</v>
      </c>
      <c r="H289" s="13">
        <v>106</v>
      </c>
      <c r="I289" s="17">
        <f t="shared" si="22"/>
        <v>207.9</v>
      </c>
      <c r="J289" s="18"/>
    </row>
    <row r="290" spans="1:10" s="1" customFormat="1" ht="15" customHeight="1">
      <c r="A290" s="9">
        <v>288</v>
      </c>
      <c r="B290" s="10" t="str">
        <f t="shared" si="24"/>
        <v>202401082</v>
      </c>
      <c r="C290" s="10" t="str">
        <f>"赵朔"</f>
        <v>赵朔</v>
      </c>
      <c r="D290" s="10" t="str">
        <f>"女"</f>
        <v>女</v>
      </c>
      <c r="E290" s="11" t="str">
        <f>"2002-02-12"</f>
        <v>2002-02-12</v>
      </c>
      <c r="F290" s="10" t="str">
        <f>"202403106915"</f>
        <v>202403106915</v>
      </c>
      <c r="G290" s="12">
        <v>95.6</v>
      </c>
      <c r="H290" s="13">
        <v>109.5</v>
      </c>
      <c r="I290" s="17">
        <f t="shared" si="22"/>
        <v>205.1</v>
      </c>
      <c r="J290" s="18"/>
    </row>
    <row r="291" spans="1:10" s="1" customFormat="1" ht="15" customHeight="1">
      <c r="A291" s="9">
        <v>289</v>
      </c>
      <c r="B291" s="10" t="str">
        <f aca="true" t="shared" si="25" ref="B291:B298">"202401083"</f>
        <v>202401083</v>
      </c>
      <c r="C291" s="10" t="str">
        <f>"何琴"</f>
        <v>何琴</v>
      </c>
      <c r="D291" s="10" t="str">
        <f>"女"</f>
        <v>女</v>
      </c>
      <c r="E291" s="11" t="str">
        <f>"2001-04-20"</f>
        <v>2001-04-20</v>
      </c>
      <c r="F291" s="10" t="str">
        <f>"202403107011"</f>
        <v>202403107011</v>
      </c>
      <c r="G291" s="12">
        <v>106.1</v>
      </c>
      <c r="H291" s="13">
        <v>108</v>
      </c>
      <c r="I291" s="17">
        <f aca="true" t="shared" si="26" ref="I291:I325">SUM(G291:H291)</f>
        <v>214.1</v>
      </c>
      <c r="J291" s="18"/>
    </row>
    <row r="292" spans="1:10" s="1" customFormat="1" ht="15" customHeight="1">
      <c r="A292" s="9">
        <v>290</v>
      </c>
      <c r="B292" s="10" t="str">
        <f t="shared" si="25"/>
        <v>202401083</v>
      </c>
      <c r="C292" s="10" t="str">
        <f>"付嘉坤"</f>
        <v>付嘉坤</v>
      </c>
      <c r="D292" s="10" t="str">
        <f>"男"</f>
        <v>男</v>
      </c>
      <c r="E292" s="11" t="str">
        <f>"2000-02-15"</f>
        <v>2000-02-15</v>
      </c>
      <c r="F292" s="10" t="str">
        <f>"202403107009"</f>
        <v>202403107009</v>
      </c>
      <c r="G292" s="12">
        <v>99.9</v>
      </c>
      <c r="H292" s="13">
        <v>109.5</v>
      </c>
      <c r="I292" s="17">
        <f t="shared" si="26"/>
        <v>209.4</v>
      </c>
      <c r="J292" s="18"/>
    </row>
    <row r="293" spans="1:10" s="1" customFormat="1" ht="15" customHeight="1">
      <c r="A293" s="9">
        <v>291</v>
      </c>
      <c r="B293" s="10" t="str">
        <f t="shared" si="25"/>
        <v>202401083</v>
      </c>
      <c r="C293" s="10" t="str">
        <f>"王安军"</f>
        <v>王安军</v>
      </c>
      <c r="D293" s="10" t="str">
        <f>"男"</f>
        <v>男</v>
      </c>
      <c r="E293" s="11" t="str">
        <f>"1998-12-18"</f>
        <v>1998-12-18</v>
      </c>
      <c r="F293" s="10" t="str">
        <f>"202403107014"</f>
        <v>202403107014</v>
      </c>
      <c r="G293" s="12">
        <v>98.6</v>
      </c>
      <c r="H293" s="13">
        <v>108.5</v>
      </c>
      <c r="I293" s="17">
        <f t="shared" si="26"/>
        <v>207.1</v>
      </c>
      <c r="J293" s="18"/>
    </row>
    <row r="294" spans="1:10" s="1" customFormat="1" ht="15" customHeight="1">
      <c r="A294" s="9">
        <v>292</v>
      </c>
      <c r="B294" s="10" t="str">
        <f t="shared" si="25"/>
        <v>202401083</v>
      </c>
      <c r="C294" s="10" t="str">
        <f>"张永双"</f>
        <v>张永双</v>
      </c>
      <c r="D294" s="10" t="str">
        <f>"女"</f>
        <v>女</v>
      </c>
      <c r="E294" s="11" t="str">
        <f>"2001-07-14"</f>
        <v>2001-07-14</v>
      </c>
      <c r="F294" s="10" t="str">
        <f>"202403107013"</f>
        <v>202403107013</v>
      </c>
      <c r="G294" s="12">
        <v>103.3</v>
      </c>
      <c r="H294" s="13">
        <v>103.5</v>
      </c>
      <c r="I294" s="17">
        <f t="shared" si="26"/>
        <v>206.8</v>
      </c>
      <c r="J294" s="18"/>
    </row>
    <row r="295" spans="1:10" s="1" customFormat="1" ht="15" customHeight="1">
      <c r="A295" s="9">
        <v>293</v>
      </c>
      <c r="B295" s="10" t="str">
        <f t="shared" si="25"/>
        <v>202401083</v>
      </c>
      <c r="C295" s="10" t="str">
        <f>"梅世凡"</f>
        <v>梅世凡</v>
      </c>
      <c r="D295" s="10" t="str">
        <f>"女"</f>
        <v>女</v>
      </c>
      <c r="E295" s="11" t="str">
        <f>"2001-04-21"</f>
        <v>2001-04-21</v>
      </c>
      <c r="F295" s="10" t="str">
        <f>"202403107010"</f>
        <v>202403107010</v>
      </c>
      <c r="G295" s="12">
        <v>89.2</v>
      </c>
      <c r="H295" s="13">
        <v>105.5</v>
      </c>
      <c r="I295" s="17">
        <f t="shared" si="26"/>
        <v>194.7</v>
      </c>
      <c r="J295" s="18"/>
    </row>
    <row r="296" spans="1:10" s="1" customFormat="1" ht="15" customHeight="1">
      <c r="A296" s="9">
        <v>294</v>
      </c>
      <c r="B296" s="10" t="str">
        <f t="shared" si="25"/>
        <v>202401083</v>
      </c>
      <c r="C296" s="10" t="str">
        <f>"宋子秋"</f>
        <v>宋子秋</v>
      </c>
      <c r="D296" s="10" t="str">
        <f>"女"</f>
        <v>女</v>
      </c>
      <c r="E296" s="11" t="str">
        <f>"2000-11-07"</f>
        <v>2000-11-07</v>
      </c>
      <c r="F296" s="10" t="str">
        <f>"202403107016"</f>
        <v>202403107016</v>
      </c>
      <c r="G296" s="12">
        <v>78.8</v>
      </c>
      <c r="H296" s="13">
        <v>108</v>
      </c>
      <c r="I296" s="17">
        <f t="shared" si="26"/>
        <v>186.8</v>
      </c>
      <c r="J296" s="18"/>
    </row>
    <row r="297" spans="1:10" s="1" customFormat="1" ht="15" customHeight="1">
      <c r="A297" s="9">
        <v>295</v>
      </c>
      <c r="B297" s="10" t="str">
        <f t="shared" si="25"/>
        <v>202401083</v>
      </c>
      <c r="C297" s="10" t="str">
        <f>"李誌"</f>
        <v>李誌</v>
      </c>
      <c r="D297" s="10" t="str">
        <f>"男"</f>
        <v>男</v>
      </c>
      <c r="E297" s="11" t="str">
        <f>"2001-01-08"</f>
        <v>2001-01-08</v>
      </c>
      <c r="F297" s="10" t="str">
        <f>"202403107012"</f>
        <v>202403107012</v>
      </c>
      <c r="G297" s="12">
        <v>78.8</v>
      </c>
      <c r="H297" s="13">
        <v>103.5</v>
      </c>
      <c r="I297" s="17">
        <f t="shared" si="26"/>
        <v>182.3</v>
      </c>
      <c r="J297" s="18"/>
    </row>
    <row r="298" spans="1:10" s="1" customFormat="1" ht="15" customHeight="1">
      <c r="A298" s="9">
        <v>296</v>
      </c>
      <c r="B298" s="10" t="str">
        <f t="shared" si="25"/>
        <v>202401083</v>
      </c>
      <c r="C298" s="10" t="str">
        <f>"张发成"</f>
        <v>张发成</v>
      </c>
      <c r="D298" s="10" t="str">
        <f>"男"</f>
        <v>男</v>
      </c>
      <c r="E298" s="11" t="str">
        <f>"1998-03-06"</f>
        <v>1998-03-06</v>
      </c>
      <c r="F298" s="10" t="str">
        <f>"202403107015"</f>
        <v>202403107015</v>
      </c>
      <c r="G298" s="12">
        <v>63.1</v>
      </c>
      <c r="H298" s="13">
        <v>107.5</v>
      </c>
      <c r="I298" s="17">
        <f t="shared" si="26"/>
        <v>170.6</v>
      </c>
      <c r="J298" s="18"/>
    </row>
    <row r="299" spans="1:10" s="1" customFormat="1" ht="15" customHeight="1">
      <c r="A299" s="9">
        <v>297</v>
      </c>
      <c r="B299" s="10" t="str">
        <f aca="true" t="shared" si="27" ref="B299:B314">"202401084"</f>
        <v>202401084</v>
      </c>
      <c r="C299" s="10" t="str">
        <f>"乔明鑫"</f>
        <v>乔明鑫</v>
      </c>
      <c r="D299" s="10" t="str">
        <f>"男"</f>
        <v>男</v>
      </c>
      <c r="E299" s="11" t="str">
        <f>"1999-03-22"</f>
        <v>1999-03-22</v>
      </c>
      <c r="F299" s="10" t="str">
        <f>"202403107027"</f>
        <v>202403107027</v>
      </c>
      <c r="G299" s="12">
        <v>99.7</v>
      </c>
      <c r="H299" s="13">
        <v>117</v>
      </c>
      <c r="I299" s="17">
        <f t="shared" si="26"/>
        <v>216.7</v>
      </c>
      <c r="J299" s="18"/>
    </row>
    <row r="300" spans="1:10" s="1" customFormat="1" ht="15" customHeight="1">
      <c r="A300" s="9">
        <v>298</v>
      </c>
      <c r="B300" s="10" t="str">
        <f t="shared" si="27"/>
        <v>202401084</v>
      </c>
      <c r="C300" s="10" t="str">
        <f>"林文静"</f>
        <v>林文静</v>
      </c>
      <c r="D300" s="10" t="str">
        <f aca="true" t="shared" si="28" ref="D300:D305">"女"</f>
        <v>女</v>
      </c>
      <c r="E300" s="11" t="str">
        <f>"1999-08-16"</f>
        <v>1999-08-16</v>
      </c>
      <c r="F300" s="10" t="str">
        <f>"202403107029"</f>
        <v>202403107029</v>
      </c>
      <c r="G300" s="12">
        <v>104</v>
      </c>
      <c r="H300" s="13">
        <v>109</v>
      </c>
      <c r="I300" s="17">
        <f t="shared" si="26"/>
        <v>213</v>
      </c>
      <c r="J300" s="18"/>
    </row>
    <row r="301" spans="1:10" s="1" customFormat="1" ht="15" customHeight="1">
      <c r="A301" s="9">
        <v>299</v>
      </c>
      <c r="B301" s="10" t="str">
        <f t="shared" si="27"/>
        <v>202401084</v>
      </c>
      <c r="C301" s="10" t="str">
        <f>"马璐平"</f>
        <v>马璐平</v>
      </c>
      <c r="D301" s="10" t="str">
        <f t="shared" si="28"/>
        <v>女</v>
      </c>
      <c r="E301" s="11" t="str">
        <f>"2002-11-22"</f>
        <v>2002-11-22</v>
      </c>
      <c r="F301" s="10" t="str">
        <f>"202403107031"</f>
        <v>202403107031</v>
      </c>
      <c r="G301" s="12">
        <v>97.1</v>
      </c>
      <c r="H301" s="13">
        <v>113.5</v>
      </c>
      <c r="I301" s="17">
        <f t="shared" si="26"/>
        <v>210.6</v>
      </c>
      <c r="J301" s="18"/>
    </row>
    <row r="302" spans="1:10" s="1" customFormat="1" ht="15" customHeight="1">
      <c r="A302" s="9">
        <v>300</v>
      </c>
      <c r="B302" s="10" t="str">
        <f t="shared" si="27"/>
        <v>202401084</v>
      </c>
      <c r="C302" s="10" t="str">
        <f>"董亦雅"</f>
        <v>董亦雅</v>
      </c>
      <c r="D302" s="10" t="str">
        <f t="shared" si="28"/>
        <v>女</v>
      </c>
      <c r="E302" s="11" t="str">
        <f>"2002-07-16"</f>
        <v>2002-07-16</v>
      </c>
      <c r="F302" s="10" t="str">
        <f>"202403107021"</f>
        <v>202403107021</v>
      </c>
      <c r="G302" s="12">
        <v>96.3</v>
      </c>
      <c r="H302" s="13">
        <v>108</v>
      </c>
      <c r="I302" s="17">
        <f t="shared" si="26"/>
        <v>204.3</v>
      </c>
      <c r="J302" s="18"/>
    </row>
    <row r="303" spans="1:10" s="1" customFormat="1" ht="15" customHeight="1">
      <c r="A303" s="9">
        <v>301</v>
      </c>
      <c r="B303" s="10" t="str">
        <f t="shared" si="27"/>
        <v>202401084</v>
      </c>
      <c r="C303" s="10" t="str">
        <f>"崔雨竹"</f>
        <v>崔雨竹</v>
      </c>
      <c r="D303" s="10" t="str">
        <f t="shared" si="28"/>
        <v>女</v>
      </c>
      <c r="E303" s="11" t="str">
        <f>"1998-10-08"</f>
        <v>1998-10-08</v>
      </c>
      <c r="F303" s="10" t="str">
        <f>"202403107019"</f>
        <v>202403107019</v>
      </c>
      <c r="G303" s="12">
        <v>83.5</v>
      </c>
      <c r="H303" s="13">
        <v>113.5</v>
      </c>
      <c r="I303" s="17">
        <f t="shared" si="26"/>
        <v>197</v>
      </c>
      <c r="J303" s="18"/>
    </row>
    <row r="304" spans="1:10" s="1" customFormat="1" ht="15" customHeight="1">
      <c r="A304" s="9">
        <v>302</v>
      </c>
      <c r="B304" s="10" t="str">
        <f t="shared" si="27"/>
        <v>202401084</v>
      </c>
      <c r="C304" s="10" t="str">
        <f>"蒋书婷"</f>
        <v>蒋书婷</v>
      </c>
      <c r="D304" s="10" t="str">
        <f t="shared" si="28"/>
        <v>女</v>
      </c>
      <c r="E304" s="11" t="str">
        <f>"1996-09-30"</f>
        <v>1996-09-30</v>
      </c>
      <c r="F304" s="10" t="str">
        <f>"202403107017"</f>
        <v>202403107017</v>
      </c>
      <c r="G304" s="12">
        <v>93.1</v>
      </c>
      <c r="H304" s="13">
        <v>102</v>
      </c>
      <c r="I304" s="17">
        <f t="shared" si="26"/>
        <v>195.1</v>
      </c>
      <c r="J304" s="18"/>
    </row>
    <row r="305" spans="1:10" s="1" customFormat="1" ht="15" customHeight="1">
      <c r="A305" s="9">
        <v>303</v>
      </c>
      <c r="B305" s="10" t="str">
        <f aca="true" t="shared" si="29" ref="B305:B310">"202401085"</f>
        <v>202401085</v>
      </c>
      <c r="C305" s="10" t="str">
        <f>"刘妍"</f>
        <v>刘妍</v>
      </c>
      <c r="D305" s="10" t="str">
        <f t="shared" si="28"/>
        <v>女</v>
      </c>
      <c r="E305" s="11" t="str">
        <f>"1998-12-24"</f>
        <v>1998-12-24</v>
      </c>
      <c r="F305" s="10" t="str">
        <f>"202403107131"</f>
        <v>202403107131</v>
      </c>
      <c r="G305" s="12">
        <v>110</v>
      </c>
      <c r="H305" s="13">
        <v>116.5</v>
      </c>
      <c r="I305" s="17">
        <f t="shared" si="26"/>
        <v>226.5</v>
      </c>
      <c r="J305" s="18"/>
    </row>
    <row r="306" spans="1:10" s="1" customFormat="1" ht="15" customHeight="1">
      <c r="A306" s="9">
        <v>304</v>
      </c>
      <c r="B306" s="10" t="str">
        <f t="shared" si="29"/>
        <v>202401085</v>
      </c>
      <c r="C306" s="10" t="str">
        <f>"张晗"</f>
        <v>张晗</v>
      </c>
      <c r="D306" s="10" t="str">
        <f>"男"</f>
        <v>男</v>
      </c>
      <c r="E306" s="11" t="str">
        <f>"1995-09-26"</f>
        <v>1995-09-26</v>
      </c>
      <c r="F306" s="10" t="str">
        <f>"202403107206"</f>
        <v>202403107206</v>
      </c>
      <c r="G306" s="12">
        <v>102.1</v>
      </c>
      <c r="H306" s="13">
        <v>106</v>
      </c>
      <c r="I306" s="17">
        <f t="shared" si="26"/>
        <v>208.1</v>
      </c>
      <c r="J306" s="18"/>
    </row>
    <row r="307" spans="1:10" s="1" customFormat="1" ht="15" customHeight="1">
      <c r="A307" s="9">
        <v>305</v>
      </c>
      <c r="B307" s="10" t="str">
        <f t="shared" si="29"/>
        <v>202401085</v>
      </c>
      <c r="C307" s="10" t="str">
        <f>"邢锋"</f>
        <v>邢锋</v>
      </c>
      <c r="D307" s="10" t="str">
        <f>"男"</f>
        <v>男</v>
      </c>
      <c r="E307" s="11" t="str">
        <f>"1996-12-15"</f>
        <v>1996-12-15</v>
      </c>
      <c r="F307" s="10" t="str">
        <f>"202403107219"</f>
        <v>202403107219</v>
      </c>
      <c r="G307" s="12">
        <v>95.1</v>
      </c>
      <c r="H307" s="13">
        <v>109</v>
      </c>
      <c r="I307" s="17">
        <f t="shared" si="26"/>
        <v>204.1</v>
      </c>
      <c r="J307" s="18"/>
    </row>
    <row r="308" spans="1:10" s="1" customFormat="1" ht="15" customHeight="1">
      <c r="A308" s="9">
        <v>306</v>
      </c>
      <c r="B308" s="10" t="str">
        <f t="shared" si="29"/>
        <v>202401085</v>
      </c>
      <c r="C308" s="10" t="str">
        <f>"黄语鑫"</f>
        <v>黄语鑫</v>
      </c>
      <c r="D308" s="10" t="str">
        <f>"女"</f>
        <v>女</v>
      </c>
      <c r="E308" s="11" t="str">
        <f>"2002-03-02"</f>
        <v>2002-03-02</v>
      </c>
      <c r="F308" s="10" t="str">
        <f>"202403107218"</f>
        <v>202403107218</v>
      </c>
      <c r="G308" s="12">
        <v>83.9</v>
      </c>
      <c r="H308" s="13">
        <v>118.5</v>
      </c>
      <c r="I308" s="17">
        <f t="shared" si="26"/>
        <v>202.4</v>
      </c>
      <c r="J308" s="18"/>
    </row>
    <row r="309" spans="1:10" s="1" customFormat="1" ht="15" customHeight="1">
      <c r="A309" s="9">
        <v>307</v>
      </c>
      <c r="B309" s="10" t="str">
        <f t="shared" si="29"/>
        <v>202401085</v>
      </c>
      <c r="C309" s="10" t="str">
        <f>"吴婷婷"</f>
        <v>吴婷婷</v>
      </c>
      <c r="D309" s="10" t="str">
        <f>"女"</f>
        <v>女</v>
      </c>
      <c r="E309" s="11" t="str">
        <f>"1993-09-03"</f>
        <v>1993-09-03</v>
      </c>
      <c r="F309" s="10" t="str">
        <f>"202403107214"</f>
        <v>202403107214</v>
      </c>
      <c r="G309" s="12">
        <v>91.1</v>
      </c>
      <c r="H309" s="13">
        <v>111</v>
      </c>
      <c r="I309" s="17">
        <f t="shared" si="26"/>
        <v>202.1</v>
      </c>
      <c r="J309" s="18"/>
    </row>
    <row r="310" spans="1:10" s="1" customFormat="1" ht="15" customHeight="1">
      <c r="A310" s="9">
        <v>308</v>
      </c>
      <c r="B310" s="10" t="str">
        <f t="shared" si="29"/>
        <v>202401085</v>
      </c>
      <c r="C310" s="10" t="str">
        <f>"周代娣"</f>
        <v>周代娣</v>
      </c>
      <c r="D310" s="10" t="str">
        <f>"女"</f>
        <v>女</v>
      </c>
      <c r="E310" s="11" t="str">
        <f>"1997-07-29"</f>
        <v>1997-07-29</v>
      </c>
      <c r="F310" s="10" t="str">
        <f>"202403107109"</f>
        <v>202403107109</v>
      </c>
      <c r="G310" s="12">
        <v>88.2</v>
      </c>
      <c r="H310" s="13">
        <v>112</v>
      </c>
      <c r="I310" s="17">
        <f t="shared" si="26"/>
        <v>200.2</v>
      </c>
      <c r="J310" s="18"/>
    </row>
    <row r="311" spans="1:10" s="1" customFormat="1" ht="15" customHeight="1">
      <c r="A311" s="9">
        <v>309</v>
      </c>
      <c r="B311" s="10" t="str">
        <f aca="true" t="shared" si="30" ref="B311:B317">"202401086"</f>
        <v>202401086</v>
      </c>
      <c r="C311" s="10" t="str">
        <f>"张志远"</f>
        <v>张志远</v>
      </c>
      <c r="D311" s="10" t="str">
        <f>"男"</f>
        <v>男</v>
      </c>
      <c r="E311" s="11" t="str">
        <f>"1995-11-12"</f>
        <v>1995-11-12</v>
      </c>
      <c r="F311" s="10" t="str">
        <f>"202403107331"</f>
        <v>202403107331</v>
      </c>
      <c r="G311" s="12">
        <v>103.9</v>
      </c>
      <c r="H311" s="13">
        <v>110.5</v>
      </c>
      <c r="I311" s="17">
        <f aca="true" t="shared" si="31" ref="I311:I317">SUM(G311:H311)</f>
        <v>214.4</v>
      </c>
      <c r="J311" s="18"/>
    </row>
    <row r="312" spans="1:10" s="1" customFormat="1" ht="15" customHeight="1">
      <c r="A312" s="9">
        <v>310</v>
      </c>
      <c r="B312" s="10" t="str">
        <f t="shared" si="30"/>
        <v>202401086</v>
      </c>
      <c r="C312" s="10" t="str">
        <f>"李晨"</f>
        <v>李晨</v>
      </c>
      <c r="D312" s="10" t="str">
        <f>"男"</f>
        <v>男</v>
      </c>
      <c r="E312" s="11" t="str">
        <f>"2000-10-05"</f>
        <v>2000-10-05</v>
      </c>
      <c r="F312" s="10" t="str">
        <f>"202403107327"</f>
        <v>202403107327</v>
      </c>
      <c r="G312" s="12">
        <v>95.8</v>
      </c>
      <c r="H312" s="13">
        <v>105.5</v>
      </c>
      <c r="I312" s="17">
        <f t="shared" si="31"/>
        <v>201.3</v>
      </c>
      <c r="J312" s="18"/>
    </row>
    <row r="313" spans="1:10" s="1" customFormat="1" ht="15" customHeight="1">
      <c r="A313" s="9">
        <v>311</v>
      </c>
      <c r="B313" s="10" t="str">
        <f t="shared" si="30"/>
        <v>202401086</v>
      </c>
      <c r="C313" s="10" t="str">
        <f>"陈业祥"</f>
        <v>陈业祥</v>
      </c>
      <c r="D313" s="10" t="str">
        <f>"男"</f>
        <v>男</v>
      </c>
      <c r="E313" s="11" t="str">
        <f>"1997-05-11"</f>
        <v>1997-05-11</v>
      </c>
      <c r="F313" s="10" t="str">
        <f>"202403107330"</f>
        <v>202403107330</v>
      </c>
      <c r="G313" s="12">
        <v>96.5</v>
      </c>
      <c r="H313" s="13">
        <v>103.5</v>
      </c>
      <c r="I313" s="17">
        <f t="shared" si="31"/>
        <v>200</v>
      </c>
      <c r="J313" s="18"/>
    </row>
    <row r="314" spans="1:10" s="1" customFormat="1" ht="15" customHeight="1">
      <c r="A314" s="9">
        <v>312</v>
      </c>
      <c r="B314" s="10" t="str">
        <f t="shared" si="30"/>
        <v>202401086</v>
      </c>
      <c r="C314" s="10" t="str">
        <f>"刘双"</f>
        <v>刘双</v>
      </c>
      <c r="D314" s="10" t="str">
        <f>"男"</f>
        <v>男</v>
      </c>
      <c r="E314" s="11" t="str">
        <f>"1995-08-27"</f>
        <v>1995-08-27</v>
      </c>
      <c r="F314" s="10" t="str">
        <f>"202403107328"</f>
        <v>202403107328</v>
      </c>
      <c r="G314" s="12">
        <v>87.5</v>
      </c>
      <c r="H314" s="13">
        <v>109</v>
      </c>
      <c r="I314" s="17">
        <f t="shared" si="31"/>
        <v>196.5</v>
      </c>
      <c r="J314" s="18"/>
    </row>
    <row r="315" spans="1:10" s="1" customFormat="1" ht="15" customHeight="1">
      <c r="A315" s="9">
        <v>313</v>
      </c>
      <c r="B315" s="10" t="str">
        <f t="shared" si="30"/>
        <v>202401086</v>
      </c>
      <c r="C315" s="10" t="str">
        <f>"周百卉"</f>
        <v>周百卉</v>
      </c>
      <c r="D315" s="10" t="str">
        <f>"女"</f>
        <v>女</v>
      </c>
      <c r="E315" s="11" t="str">
        <f>"1995-10-20"</f>
        <v>1995-10-20</v>
      </c>
      <c r="F315" s="10" t="str">
        <f>"202403107329"</f>
        <v>202403107329</v>
      </c>
      <c r="G315" s="12">
        <v>88.3</v>
      </c>
      <c r="H315" s="13">
        <v>104.5</v>
      </c>
      <c r="I315" s="17">
        <f t="shared" si="31"/>
        <v>192.8</v>
      </c>
      <c r="J315" s="18"/>
    </row>
    <row r="316" spans="1:10" s="1" customFormat="1" ht="15" customHeight="1">
      <c r="A316" s="9">
        <v>314</v>
      </c>
      <c r="B316" s="10" t="str">
        <f t="shared" si="30"/>
        <v>202401086</v>
      </c>
      <c r="C316" s="10" t="str">
        <f>"鲁力"</f>
        <v>鲁力</v>
      </c>
      <c r="D316" s="10" t="str">
        <f>"男"</f>
        <v>男</v>
      </c>
      <c r="E316" s="11" t="str">
        <f>"2000-09-19"</f>
        <v>2000-09-19</v>
      </c>
      <c r="F316" s="10" t="str">
        <f>"202403107325"</f>
        <v>202403107325</v>
      </c>
      <c r="G316" s="12">
        <v>72.7</v>
      </c>
      <c r="H316" s="13">
        <v>99</v>
      </c>
      <c r="I316" s="17">
        <f t="shared" si="31"/>
        <v>171.7</v>
      </c>
      <c r="J316" s="18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lenovo</cp:lastModifiedBy>
  <dcterms:created xsi:type="dcterms:W3CDTF">2024-03-20T01:39:46Z</dcterms:created>
  <dcterms:modified xsi:type="dcterms:W3CDTF">2024-04-22T07:55:13Z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A019145CBBF746DEBBC31C2FA9B58180_13</vt:lpwstr>
  </property>
  <property fmtid="{D5CDD505-2E9C-101B-9397-08002B2CF9AE}" pid="4" name="KSOProductBuildV">
    <vt:lpwstr>2052-12.1.0.16729</vt:lpwstr>
  </property>
</Properties>
</file>