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2023年固镇县中小学教师公开招聘拟聘用人员名单" sheetId="1" r:id="rId1"/>
  </sheets>
  <definedNames>
    <definedName name="_xlnm.Print_Titles" localSheetId="0">'2023年固镇县中小学教师公开招聘拟聘用人员名单'!$1:$2</definedName>
  </definedNames>
  <calcPr fullCalcOnLoad="1"/>
</workbook>
</file>

<file path=xl/sharedStrings.xml><?xml version="1.0" encoding="utf-8"?>
<sst xmlns="http://schemas.openxmlformats.org/spreadsheetml/2006/main" count="853" uniqueCount="118">
  <si>
    <t>2023年固镇县中小学教师公开招聘拟聘用人员名单</t>
  </si>
  <si>
    <t>序号</t>
  </si>
  <si>
    <t>准考证号</t>
  </si>
  <si>
    <t>岗位代码</t>
  </si>
  <si>
    <t>岗位名称</t>
  </si>
  <si>
    <t>姓名</t>
  </si>
  <si>
    <t>《学科专业知识》</t>
  </si>
  <si>
    <t>《教育综合知识》</t>
  </si>
  <si>
    <t>笔试总成绩</t>
  </si>
  <si>
    <t>面试分数</t>
  </si>
  <si>
    <t>笔面合成成绩</t>
  </si>
  <si>
    <t>选择岗位</t>
  </si>
  <si>
    <t>备注</t>
  </si>
  <si>
    <t>小学语文D组</t>
  </si>
  <si>
    <t>安圩学校</t>
  </si>
  <si>
    <t>小学数学D组</t>
  </si>
  <si>
    <t>小学英语C组</t>
  </si>
  <si>
    <t>小学语文B组</t>
  </si>
  <si>
    <t>第二实验小学</t>
  </si>
  <si>
    <t>小学英语B组</t>
  </si>
  <si>
    <t>小学体育B组</t>
  </si>
  <si>
    <t>濠城中心学校及下属学校</t>
  </si>
  <si>
    <t>23031827</t>
  </si>
  <si>
    <t>230202</t>
  </si>
  <si>
    <t>马艳茹</t>
  </si>
  <si>
    <t>小学语文C组</t>
  </si>
  <si>
    <t>23033406</t>
  </si>
  <si>
    <t>230203</t>
  </si>
  <si>
    <t>丁佳莉</t>
  </si>
  <si>
    <t>小学数学A组</t>
  </si>
  <si>
    <t>初中语文A组</t>
  </si>
  <si>
    <t>濠城中学</t>
  </si>
  <si>
    <t>初中数学C组</t>
  </si>
  <si>
    <t>初中英语A组</t>
  </si>
  <si>
    <t>初中物理A组</t>
  </si>
  <si>
    <t>初中地理</t>
  </si>
  <si>
    <t>初中生物</t>
  </si>
  <si>
    <t>23013402</t>
  </si>
  <si>
    <t>230117</t>
  </si>
  <si>
    <t>初中历史</t>
  </si>
  <si>
    <t>程飞</t>
  </si>
  <si>
    <t>初中体育</t>
  </si>
  <si>
    <t>初中物理B组</t>
  </si>
  <si>
    <t>何集中学</t>
  </si>
  <si>
    <t>湖沟中心学校及下属学校</t>
  </si>
  <si>
    <t>23035029</t>
  </si>
  <si>
    <t>230204</t>
  </si>
  <si>
    <t>王雨晴</t>
  </si>
  <si>
    <t>小学数学C组</t>
  </si>
  <si>
    <t>23046204</t>
  </si>
  <si>
    <t>230210</t>
  </si>
  <si>
    <t>张亭亭</t>
  </si>
  <si>
    <t>连城中心学校及下属学校</t>
  </si>
  <si>
    <t>小学数学B组</t>
  </si>
  <si>
    <t>23020204</t>
  </si>
  <si>
    <t>230212</t>
  </si>
  <si>
    <t>小学音乐</t>
  </si>
  <si>
    <t>屈振燕</t>
  </si>
  <si>
    <t>初中语文B组</t>
  </si>
  <si>
    <t>连站中学</t>
  </si>
  <si>
    <t>初中数学A组</t>
  </si>
  <si>
    <t>初中英语D组</t>
  </si>
  <si>
    <t>刘集中心学校及下属学校</t>
  </si>
  <si>
    <t>初中语文C组</t>
  </si>
  <si>
    <t>刘集中学</t>
  </si>
  <si>
    <t>初中数学B组</t>
  </si>
  <si>
    <t>民族中学</t>
  </si>
  <si>
    <t>初中英语B组</t>
  </si>
  <si>
    <t>磨盘张中学</t>
  </si>
  <si>
    <t>仁和集学校</t>
  </si>
  <si>
    <t>第三中学</t>
  </si>
  <si>
    <t>23010703</t>
  </si>
  <si>
    <t>230113</t>
  </si>
  <si>
    <t>王梦姣</t>
  </si>
  <si>
    <t>23010729</t>
  </si>
  <si>
    <t>徐永志</t>
  </si>
  <si>
    <t>23013317</t>
  </si>
  <si>
    <t>230115</t>
  </si>
  <si>
    <t>初中化学</t>
  </si>
  <si>
    <t>赵清云</t>
  </si>
  <si>
    <t>初中音乐</t>
  </si>
  <si>
    <t>23013028</t>
  </si>
  <si>
    <t>230118</t>
  </si>
  <si>
    <t>梅雪婷</t>
  </si>
  <si>
    <t>初中信息技术</t>
  </si>
  <si>
    <t>小学语文A组</t>
  </si>
  <si>
    <t>实验小学</t>
  </si>
  <si>
    <t>小学英语A组</t>
  </si>
  <si>
    <t>小学  音乐</t>
  </si>
  <si>
    <t>小学体育A组</t>
  </si>
  <si>
    <t>小学美术</t>
  </si>
  <si>
    <t>23022323</t>
  </si>
  <si>
    <t>230215</t>
  </si>
  <si>
    <t>梁琛</t>
  </si>
  <si>
    <t>小学科学</t>
  </si>
  <si>
    <t>实验中学</t>
  </si>
  <si>
    <t>初中政治</t>
  </si>
  <si>
    <t>初中美术</t>
  </si>
  <si>
    <t>初中语文 A组</t>
  </si>
  <si>
    <t>实验中学（固镇一中校区）</t>
  </si>
  <si>
    <t>初中英语C组</t>
  </si>
  <si>
    <t>第四中学</t>
  </si>
  <si>
    <t>23010627</t>
  </si>
  <si>
    <t>房紫燕</t>
  </si>
  <si>
    <t>特殊教育</t>
  </si>
  <si>
    <t>特殊教育学校</t>
  </si>
  <si>
    <t>瓦疃中学</t>
  </si>
  <si>
    <t>23036312</t>
  </si>
  <si>
    <t>230216</t>
  </si>
  <si>
    <t>朱爽</t>
  </si>
  <si>
    <t>王庄中心学校及下属学校</t>
  </si>
  <si>
    <t>23045826</t>
  </si>
  <si>
    <t>230209</t>
  </si>
  <si>
    <t>张猛</t>
  </si>
  <si>
    <t>第五小学教育集团</t>
  </si>
  <si>
    <t>新马桥中心校（磨盘张片区）</t>
  </si>
  <si>
    <t>新马桥中心学校及下属学校</t>
  </si>
  <si>
    <t>第一小学教育集团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</si>
</sst>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3"/>
  <sheetViews>
    <sheetView tabSelected="1" zoomScale="85" zoomScaleNormal="85" workbookViewId="0" topLeftCell="A43">
      <selection activeCell="N12" sqref="N12"/>
    </sheetView>
  </sheetViews>
  <sheetFormatPr defaultColWidth="9.00390625" defaultRowHeight="14.25" customHeight="1"/>
  <cols>
    <col min="1" max="1" width="7.375" style="4" customWidth="1"/>
    <col min="2" max="2" width="9.875" style="5" customWidth="1"/>
    <col min="3" max="3" width="11.125" style="5" customWidth="1"/>
    <col min="4" max="4" width="13.875" style="6" customWidth="1"/>
    <col min="5" max="5" width="10.00390625" style="7" customWidth="1"/>
    <col min="6" max="6" width="10.25390625" style="7" customWidth="1"/>
    <col min="7" max="7" width="9.75390625" style="7" customWidth="1"/>
    <col min="8" max="8" width="8.875" style="8" customWidth="1"/>
    <col min="9" max="9" width="9.00390625" style="7" customWidth="1"/>
    <col min="10" max="10" width="8.125" style="9" customWidth="1"/>
    <col min="11" max="11" width="28.125" style="7" customWidth="1"/>
    <col min="12" max="12" width="9.125" style="7" customWidth="1"/>
    <col min="13" max="16384" width="9.00390625" style="10" customWidth="1"/>
  </cols>
  <sheetData>
    <row r="1" spans="1:12" ht="51" customHeight="1">
      <c r="A1" s="11" t="s">
        <v>0</v>
      </c>
      <c r="B1" s="12"/>
      <c r="C1" s="12"/>
      <c r="D1" s="13"/>
      <c r="E1" s="11"/>
      <c r="F1" s="11"/>
      <c r="G1" s="11"/>
      <c r="H1" s="11"/>
      <c r="I1" s="11"/>
      <c r="J1" s="11"/>
      <c r="K1" s="11"/>
      <c r="L1" s="11"/>
    </row>
    <row r="2" spans="1:12" s="1" customFormat="1" ht="51.75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6" t="s">
        <v>7</v>
      </c>
      <c r="H2" s="16" t="s">
        <v>8</v>
      </c>
      <c r="I2" s="19" t="s">
        <v>9</v>
      </c>
      <c r="J2" s="19" t="s">
        <v>10</v>
      </c>
      <c r="K2" s="15" t="s">
        <v>11</v>
      </c>
      <c r="L2" s="15" t="s">
        <v>12</v>
      </c>
    </row>
    <row r="3" spans="1:12" s="2" customFormat="1" ht="30" customHeight="1">
      <c r="A3" s="17">
        <v>1</v>
      </c>
      <c r="B3" s="18" t="str">
        <f>"23036001"</f>
        <v>23036001</v>
      </c>
      <c r="C3" s="18" t="str">
        <f>"230204"</f>
        <v>230204</v>
      </c>
      <c r="D3" s="18" t="s">
        <v>13</v>
      </c>
      <c r="E3" s="18" t="str">
        <f>"马月圆"</f>
        <v>马月圆</v>
      </c>
      <c r="F3" s="18">
        <v>102</v>
      </c>
      <c r="G3" s="18">
        <v>86</v>
      </c>
      <c r="H3" s="18">
        <f>F3*0.6+G3*0.4</f>
        <v>95.6</v>
      </c>
      <c r="I3" s="18">
        <v>82.2</v>
      </c>
      <c r="J3" s="18">
        <v>81.44</v>
      </c>
      <c r="K3" s="18" t="s">
        <v>14</v>
      </c>
      <c r="L3" s="18"/>
    </row>
    <row r="4" spans="1:12" s="2" customFormat="1" ht="30" customHeight="1">
      <c r="A4" s="17">
        <v>2</v>
      </c>
      <c r="B4" s="18" t="str">
        <f>"23044806"</f>
        <v>23044806</v>
      </c>
      <c r="C4" s="18" t="str">
        <f>"230208"</f>
        <v>230208</v>
      </c>
      <c r="D4" s="18" t="s">
        <v>15</v>
      </c>
      <c r="E4" s="18" t="str">
        <f>"徐天翔"</f>
        <v>徐天翔</v>
      </c>
      <c r="F4" s="18">
        <v>81</v>
      </c>
      <c r="G4" s="18">
        <v>90.5</v>
      </c>
      <c r="H4" s="18">
        <f>F4*0.6+G4*0.4</f>
        <v>84.80000000000001</v>
      </c>
      <c r="I4" s="18">
        <v>82.8</v>
      </c>
      <c r="J4" s="18">
        <v>79.16</v>
      </c>
      <c r="K4" s="18" t="s">
        <v>14</v>
      </c>
      <c r="L4" s="18"/>
    </row>
    <row r="5" spans="1:12" s="2" customFormat="1" ht="30" customHeight="1">
      <c r="A5" s="17">
        <v>3</v>
      </c>
      <c r="B5" s="18" t="str">
        <f>"23044430"</f>
        <v>23044430</v>
      </c>
      <c r="C5" s="18" t="str">
        <f>"230208"</f>
        <v>230208</v>
      </c>
      <c r="D5" s="18" t="s">
        <v>15</v>
      </c>
      <c r="E5" s="18" t="str">
        <f>"张文浩"</f>
        <v>张文浩</v>
      </c>
      <c r="F5" s="18">
        <v>87</v>
      </c>
      <c r="G5" s="18">
        <v>88</v>
      </c>
      <c r="H5" s="18">
        <f>F5*0.6+G5*0.4</f>
        <v>87.4</v>
      </c>
      <c r="I5" s="18">
        <v>81.8</v>
      </c>
      <c r="J5" s="18">
        <v>79.10999999999999</v>
      </c>
      <c r="K5" s="18" t="s">
        <v>14</v>
      </c>
      <c r="L5" s="18"/>
    </row>
    <row r="6" spans="1:12" s="2" customFormat="1" ht="30" customHeight="1">
      <c r="A6" s="17">
        <v>4</v>
      </c>
      <c r="B6" s="18" t="str">
        <f>"23047406"</f>
        <v>23047406</v>
      </c>
      <c r="C6" s="18" t="str">
        <f>"230211"</f>
        <v>230211</v>
      </c>
      <c r="D6" s="18" t="s">
        <v>16</v>
      </c>
      <c r="E6" s="18" t="str">
        <f>"张秀秀"</f>
        <v>张秀秀</v>
      </c>
      <c r="F6" s="18">
        <v>95.5</v>
      </c>
      <c r="G6" s="18">
        <v>86</v>
      </c>
      <c r="H6" s="18">
        <v>91.7</v>
      </c>
      <c r="I6" s="18">
        <v>82.5</v>
      </c>
      <c r="J6" s="18">
        <v>80.675</v>
      </c>
      <c r="K6" s="18" t="s">
        <v>14</v>
      </c>
      <c r="L6" s="18"/>
    </row>
    <row r="7" spans="1:12" s="2" customFormat="1" ht="30" customHeight="1">
      <c r="A7" s="17">
        <v>5</v>
      </c>
      <c r="B7" s="18" t="str">
        <f>"23032616"</f>
        <v>23032616</v>
      </c>
      <c r="C7" s="18" t="str">
        <f aca="true" t="shared" si="0" ref="C7:C12">"230202"</f>
        <v>230202</v>
      </c>
      <c r="D7" s="18" t="s">
        <v>17</v>
      </c>
      <c r="E7" s="18" t="str">
        <f>"孔琳慧"</f>
        <v>孔琳慧</v>
      </c>
      <c r="F7" s="18">
        <v>98</v>
      </c>
      <c r="G7" s="18">
        <v>93.5</v>
      </c>
      <c r="H7" s="18">
        <f aca="true" t="shared" si="1" ref="H7:H26">F7*0.6+G7*0.4</f>
        <v>96.19999999999999</v>
      </c>
      <c r="I7" s="18">
        <v>88</v>
      </c>
      <c r="J7" s="18">
        <v>85.65</v>
      </c>
      <c r="K7" s="18" t="s">
        <v>18</v>
      </c>
      <c r="L7" s="18"/>
    </row>
    <row r="8" spans="1:12" s="2" customFormat="1" ht="30" customHeight="1">
      <c r="A8" s="17">
        <v>6</v>
      </c>
      <c r="B8" s="18" t="str">
        <f>"23031625"</f>
        <v>23031625</v>
      </c>
      <c r="C8" s="18" t="str">
        <f t="shared" si="0"/>
        <v>230202</v>
      </c>
      <c r="D8" s="18" t="s">
        <v>17</v>
      </c>
      <c r="E8" s="18" t="str">
        <f>"董永佳"</f>
        <v>董永佳</v>
      </c>
      <c r="F8" s="18">
        <v>102.5</v>
      </c>
      <c r="G8" s="18">
        <v>86</v>
      </c>
      <c r="H8" s="18">
        <f t="shared" si="1"/>
        <v>95.9</v>
      </c>
      <c r="I8" s="18">
        <v>86.8</v>
      </c>
      <c r="J8" s="18">
        <v>84.73499999999999</v>
      </c>
      <c r="K8" s="18" t="s">
        <v>18</v>
      </c>
      <c r="L8" s="18"/>
    </row>
    <row r="9" spans="1:12" s="2" customFormat="1" ht="30" customHeight="1">
      <c r="A9" s="17">
        <v>7</v>
      </c>
      <c r="B9" s="18" t="str">
        <f>"23032309"</f>
        <v>23032309</v>
      </c>
      <c r="C9" s="18" t="str">
        <f t="shared" si="0"/>
        <v>230202</v>
      </c>
      <c r="D9" s="18" t="s">
        <v>17</v>
      </c>
      <c r="E9" s="18" t="str">
        <f>"张雅萍"</f>
        <v>张雅萍</v>
      </c>
      <c r="F9" s="18">
        <v>99</v>
      </c>
      <c r="G9" s="18">
        <v>91.5</v>
      </c>
      <c r="H9" s="18">
        <f t="shared" si="1"/>
        <v>96</v>
      </c>
      <c r="I9" s="18">
        <v>84.2</v>
      </c>
      <c r="J9" s="18">
        <v>82.94</v>
      </c>
      <c r="K9" s="18" t="s">
        <v>18</v>
      </c>
      <c r="L9" s="18"/>
    </row>
    <row r="10" spans="1:12" s="2" customFormat="1" ht="30" customHeight="1">
      <c r="A10" s="17">
        <v>8</v>
      </c>
      <c r="B10" s="18" t="str">
        <f>"23031730"</f>
        <v>23031730</v>
      </c>
      <c r="C10" s="18" t="str">
        <f t="shared" si="0"/>
        <v>230202</v>
      </c>
      <c r="D10" s="18" t="s">
        <v>17</v>
      </c>
      <c r="E10" s="18" t="str">
        <f>"徐丹莉"</f>
        <v>徐丹莉</v>
      </c>
      <c r="F10" s="18">
        <v>105</v>
      </c>
      <c r="G10" s="18">
        <v>91.5</v>
      </c>
      <c r="H10" s="18">
        <f t="shared" si="1"/>
        <v>99.6</v>
      </c>
      <c r="I10" s="18">
        <v>82.2</v>
      </c>
      <c r="J10" s="18">
        <v>82.44</v>
      </c>
      <c r="K10" s="18" t="s">
        <v>18</v>
      </c>
      <c r="L10" s="18"/>
    </row>
    <row r="11" spans="1:12" s="2" customFormat="1" ht="30" customHeight="1">
      <c r="A11" s="17">
        <v>9</v>
      </c>
      <c r="B11" s="18" t="str">
        <f>"23032004"</f>
        <v>23032004</v>
      </c>
      <c r="C11" s="18" t="str">
        <f t="shared" si="0"/>
        <v>230202</v>
      </c>
      <c r="D11" s="18" t="s">
        <v>17</v>
      </c>
      <c r="E11" s="18" t="str">
        <f>"周雪洁"</f>
        <v>周雪洁</v>
      </c>
      <c r="F11" s="18">
        <v>104</v>
      </c>
      <c r="G11" s="18">
        <v>84.5</v>
      </c>
      <c r="H11" s="18">
        <f t="shared" si="1"/>
        <v>96.2</v>
      </c>
      <c r="I11" s="18">
        <v>82.6</v>
      </c>
      <c r="J11" s="18">
        <v>81.86999999999999</v>
      </c>
      <c r="K11" s="18" t="s">
        <v>18</v>
      </c>
      <c r="L11" s="18"/>
    </row>
    <row r="12" spans="1:12" s="2" customFormat="1" ht="30" customHeight="1">
      <c r="A12" s="17">
        <v>10</v>
      </c>
      <c r="B12" s="18" t="str">
        <f>"23032214"</f>
        <v>23032214</v>
      </c>
      <c r="C12" s="18" t="str">
        <f t="shared" si="0"/>
        <v>230202</v>
      </c>
      <c r="D12" s="18" t="s">
        <v>17</v>
      </c>
      <c r="E12" s="18" t="str">
        <f>"温娟娟"</f>
        <v>温娟娟</v>
      </c>
      <c r="F12" s="18">
        <v>96</v>
      </c>
      <c r="G12" s="18">
        <v>97.5</v>
      </c>
      <c r="H12" s="18">
        <f t="shared" si="1"/>
        <v>96.6</v>
      </c>
      <c r="I12" s="18">
        <v>81.8</v>
      </c>
      <c r="J12" s="18">
        <v>81.41</v>
      </c>
      <c r="K12" s="18" t="s">
        <v>18</v>
      </c>
      <c r="L12" s="18"/>
    </row>
    <row r="13" spans="1:12" s="2" customFormat="1" ht="30" customHeight="1">
      <c r="A13" s="17">
        <v>11</v>
      </c>
      <c r="B13" s="18" t="str">
        <f>"23044116"</f>
        <v>23044116</v>
      </c>
      <c r="C13" s="18" t="str">
        <f aca="true" t="shared" si="2" ref="C13:C18">"230208"</f>
        <v>230208</v>
      </c>
      <c r="D13" s="18" t="s">
        <v>15</v>
      </c>
      <c r="E13" s="18" t="str">
        <f>"印梦圆"</f>
        <v>印梦圆</v>
      </c>
      <c r="F13" s="18">
        <v>104</v>
      </c>
      <c r="G13" s="18">
        <v>89</v>
      </c>
      <c r="H13" s="18">
        <f t="shared" si="1"/>
        <v>98</v>
      </c>
      <c r="I13" s="18">
        <v>82</v>
      </c>
      <c r="J13" s="18">
        <v>81.9</v>
      </c>
      <c r="K13" s="18" t="s">
        <v>18</v>
      </c>
      <c r="L13" s="18"/>
    </row>
    <row r="14" spans="1:12" s="2" customFormat="1" ht="30" customHeight="1">
      <c r="A14" s="17">
        <v>12</v>
      </c>
      <c r="B14" s="18" t="str">
        <f>"23044618"</f>
        <v>23044618</v>
      </c>
      <c r="C14" s="18" t="str">
        <f t="shared" si="2"/>
        <v>230208</v>
      </c>
      <c r="D14" s="18" t="s">
        <v>15</v>
      </c>
      <c r="E14" s="18" t="str">
        <f>"陈丹丹"</f>
        <v>陈丹丹</v>
      </c>
      <c r="F14" s="18">
        <v>100</v>
      </c>
      <c r="G14" s="18">
        <v>90.5</v>
      </c>
      <c r="H14" s="18">
        <f t="shared" si="1"/>
        <v>96.2</v>
      </c>
      <c r="I14" s="18">
        <v>82.4</v>
      </c>
      <c r="J14" s="18">
        <v>81.73</v>
      </c>
      <c r="K14" s="18" t="s">
        <v>18</v>
      </c>
      <c r="L14" s="18"/>
    </row>
    <row r="15" spans="1:12" s="2" customFormat="1" ht="30" customHeight="1">
      <c r="A15" s="17">
        <v>13</v>
      </c>
      <c r="B15" s="18" t="str">
        <f>"23044301"</f>
        <v>23044301</v>
      </c>
      <c r="C15" s="18" t="str">
        <f t="shared" si="2"/>
        <v>230208</v>
      </c>
      <c r="D15" s="18" t="s">
        <v>15</v>
      </c>
      <c r="E15" s="18" t="str">
        <f>"王秋雨"</f>
        <v>王秋雨</v>
      </c>
      <c r="F15" s="18">
        <v>94</v>
      </c>
      <c r="G15" s="18">
        <v>83.5</v>
      </c>
      <c r="H15" s="18">
        <f t="shared" si="1"/>
        <v>89.8</v>
      </c>
      <c r="I15" s="18">
        <v>83.4</v>
      </c>
      <c r="J15" s="18">
        <v>80.83</v>
      </c>
      <c r="K15" s="18" t="s">
        <v>18</v>
      </c>
      <c r="L15" s="18"/>
    </row>
    <row r="16" spans="1:12" s="2" customFormat="1" ht="30" customHeight="1">
      <c r="A16" s="17">
        <v>14</v>
      </c>
      <c r="B16" s="18" t="str">
        <f>"23044629"</f>
        <v>23044629</v>
      </c>
      <c r="C16" s="18" t="str">
        <f t="shared" si="2"/>
        <v>230208</v>
      </c>
      <c r="D16" s="18" t="s">
        <v>15</v>
      </c>
      <c r="E16" s="18" t="str">
        <f>"高朗"</f>
        <v>高朗</v>
      </c>
      <c r="F16" s="18">
        <v>99</v>
      </c>
      <c r="G16" s="18">
        <v>73.5</v>
      </c>
      <c r="H16" s="18">
        <f t="shared" si="1"/>
        <v>88.8</v>
      </c>
      <c r="I16" s="18">
        <v>83.4</v>
      </c>
      <c r="J16" s="18">
        <v>80.58</v>
      </c>
      <c r="K16" s="18" t="s">
        <v>18</v>
      </c>
      <c r="L16" s="18"/>
    </row>
    <row r="17" spans="1:12" s="2" customFormat="1" ht="30" customHeight="1">
      <c r="A17" s="17">
        <v>15</v>
      </c>
      <c r="B17" s="18" t="str">
        <f>"23044506"</f>
        <v>23044506</v>
      </c>
      <c r="C17" s="18" t="str">
        <f t="shared" si="2"/>
        <v>230208</v>
      </c>
      <c r="D17" s="18" t="s">
        <v>15</v>
      </c>
      <c r="E17" s="18" t="str">
        <f>"张娣"</f>
        <v>张娣</v>
      </c>
      <c r="F17" s="18">
        <v>87</v>
      </c>
      <c r="G17" s="18">
        <v>82.5</v>
      </c>
      <c r="H17" s="18">
        <f t="shared" si="1"/>
        <v>85.19999999999999</v>
      </c>
      <c r="I17" s="18">
        <v>83.4</v>
      </c>
      <c r="J17" s="18">
        <v>79.68</v>
      </c>
      <c r="K17" s="18" t="s">
        <v>18</v>
      </c>
      <c r="L17" s="18"/>
    </row>
    <row r="18" spans="1:12" s="2" customFormat="1" ht="30" customHeight="1">
      <c r="A18" s="17">
        <v>16</v>
      </c>
      <c r="B18" s="18" t="str">
        <f>"23044903"</f>
        <v>23044903</v>
      </c>
      <c r="C18" s="18" t="str">
        <f t="shared" si="2"/>
        <v>230208</v>
      </c>
      <c r="D18" s="18" t="s">
        <v>15</v>
      </c>
      <c r="E18" s="18" t="str">
        <f>"单文喆"</f>
        <v>单文喆</v>
      </c>
      <c r="F18" s="18">
        <v>96</v>
      </c>
      <c r="G18" s="18">
        <v>70.5</v>
      </c>
      <c r="H18" s="18">
        <f t="shared" si="1"/>
        <v>85.8</v>
      </c>
      <c r="I18" s="18">
        <v>82.6</v>
      </c>
      <c r="J18" s="18">
        <v>79.27</v>
      </c>
      <c r="K18" s="18" t="s">
        <v>18</v>
      </c>
      <c r="L18" s="18"/>
    </row>
    <row r="19" spans="1:12" s="2" customFormat="1" ht="30" customHeight="1">
      <c r="A19" s="17">
        <v>17</v>
      </c>
      <c r="B19" s="18" t="str">
        <f>"23046024"</f>
        <v>23046024</v>
      </c>
      <c r="C19" s="18" t="str">
        <f>"230210"</f>
        <v>230210</v>
      </c>
      <c r="D19" s="18" t="s">
        <v>19</v>
      </c>
      <c r="E19" s="18" t="str">
        <f>"曹梦雅"</f>
        <v>曹梦雅</v>
      </c>
      <c r="F19" s="18">
        <v>95.5</v>
      </c>
      <c r="G19" s="18">
        <v>95</v>
      </c>
      <c r="H19" s="18">
        <f t="shared" si="1"/>
        <v>95.3</v>
      </c>
      <c r="I19" s="18">
        <v>82.6</v>
      </c>
      <c r="J19" s="18">
        <v>81.645</v>
      </c>
      <c r="K19" s="18" t="s">
        <v>18</v>
      </c>
      <c r="L19" s="18"/>
    </row>
    <row r="20" spans="1:12" s="2" customFormat="1" ht="30" customHeight="1">
      <c r="A20" s="17">
        <v>18</v>
      </c>
      <c r="B20" s="18" t="str">
        <f>"23046224"</f>
        <v>23046224</v>
      </c>
      <c r="C20" s="18" t="str">
        <f>"230210"</f>
        <v>230210</v>
      </c>
      <c r="D20" s="18" t="s">
        <v>19</v>
      </c>
      <c r="E20" s="18" t="str">
        <f>"路璐"</f>
        <v>路璐</v>
      </c>
      <c r="F20" s="18">
        <v>102</v>
      </c>
      <c r="G20" s="18">
        <v>93.5</v>
      </c>
      <c r="H20" s="18">
        <f t="shared" si="1"/>
        <v>98.6</v>
      </c>
      <c r="I20" s="18">
        <v>80</v>
      </c>
      <c r="J20" s="18">
        <v>80.65</v>
      </c>
      <c r="K20" s="18" t="s">
        <v>18</v>
      </c>
      <c r="L20" s="18"/>
    </row>
    <row r="21" spans="1:12" s="2" customFormat="1" ht="30" customHeight="1">
      <c r="A21" s="17">
        <v>19</v>
      </c>
      <c r="B21" s="18" t="str">
        <f>"23046004"</f>
        <v>23046004</v>
      </c>
      <c r="C21" s="18" t="str">
        <f>"230210"</f>
        <v>230210</v>
      </c>
      <c r="D21" s="18" t="s">
        <v>19</v>
      </c>
      <c r="E21" s="18" t="str">
        <f>"张耀午"</f>
        <v>张耀午</v>
      </c>
      <c r="F21" s="18">
        <v>91</v>
      </c>
      <c r="G21" s="18">
        <v>84.5</v>
      </c>
      <c r="H21" s="18">
        <f t="shared" si="1"/>
        <v>88.4</v>
      </c>
      <c r="I21" s="18">
        <v>83.4</v>
      </c>
      <c r="J21" s="18">
        <v>80.48</v>
      </c>
      <c r="K21" s="18" t="s">
        <v>18</v>
      </c>
      <c r="L21" s="18"/>
    </row>
    <row r="22" spans="1:12" s="2" customFormat="1" ht="30" customHeight="1">
      <c r="A22" s="17">
        <v>20</v>
      </c>
      <c r="B22" s="18" t="str">
        <f>"23046314"</f>
        <v>23046314</v>
      </c>
      <c r="C22" s="18" t="str">
        <f>"230210"</f>
        <v>230210</v>
      </c>
      <c r="D22" s="18" t="s">
        <v>19</v>
      </c>
      <c r="E22" s="18" t="str">
        <f>"陈留玲"</f>
        <v>陈留玲</v>
      </c>
      <c r="F22" s="18">
        <v>88.5</v>
      </c>
      <c r="G22" s="18">
        <v>90.5</v>
      </c>
      <c r="H22" s="18">
        <f t="shared" si="1"/>
        <v>89.30000000000001</v>
      </c>
      <c r="I22" s="18">
        <v>82.2</v>
      </c>
      <c r="J22" s="18">
        <v>79.86500000000001</v>
      </c>
      <c r="K22" s="18" t="s">
        <v>18</v>
      </c>
      <c r="L22" s="18"/>
    </row>
    <row r="23" spans="1:12" s="2" customFormat="1" ht="30" customHeight="1">
      <c r="A23" s="17">
        <v>21</v>
      </c>
      <c r="B23" s="18" t="str">
        <f>"23046506"</f>
        <v>23046506</v>
      </c>
      <c r="C23" s="18" t="str">
        <f>"230210"</f>
        <v>230210</v>
      </c>
      <c r="D23" s="18" t="s">
        <v>19</v>
      </c>
      <c r="E23" s="18" t="str">
        <f>"席微"</f>
        <v>席微</v>
      </c>
      <c r="F23" s="18">
        <v>89</v>
      </c>
      <c r="G23" s="18">
        <v>89</v>
      </c>
      <c r="H23" s="18">
        <f t="shared" si="1"/>
        <v>89</v>
      </c>
      <c r="I23" s="18">
        <v>81.2</v>
      </c>
      <c r="J23" s="18">
        <v>79.09</v>
      </c>
      <c r="K23" s="18" t="s">
        <v>18</v>
      </c>
      <c r="L23" s="18"/>
    </row>
    <row r="24" spans="1:12" ht="30" customHeight="1">
      <c r="A24" s="17">
        <v>22</v>
      </c>
      <c r="B24" s="18" t="str">
        <f>"23021807"</f>
        <v>23021807</v>
      </c>
      <c r="C24" s="18" t="str">
        <f>"230214"</f>
        <v>230214</v>
      </c>
      <c r="D24" s="18" t="s">
        <v>20</v>
      </c>
      <c r="E24" s="18" t="str">
        <f>"徐颂"</f>
        <v>徐颂</v>
      </c>
      <c r="F24" s="18">
        <v>89</v>
      </c>
      <c r="G24" s="18">
        <v>76.5</v>
      </c>
      <c r="H24" s="18">
        <f t="shared" si="1"/>
        <v>84</v>
      </c>
      <c r="I24" s="18">
        <v>83</v>
      </c>
      <c r="J24" s="18">
        <v>79.1</v>
      </c>
      <c r="K24" s="18" t="s">
        <v>18</v>
      </c>
      <c r="L24" s="18"/>
    </row>
    <row r="25" spans="1:12" ht="30" customHeight="1">
      <c r="A25" s="17">
        <v>23</v>
      </c>
      <c r="B25" s="18" t="str">
        <f>"23032308"</f>
        <v>23032308</v>
      </c>
      <c r="C25" s="18" t="str">
        <f>"230202"</f>
        <v>230202</v>
      </c>
      <c r="D25" s="18" t="s">
        <v>17</v>
      </c>
      <c r="E25" s="18" t="str">
        <f>"王倩倩"</f>
        <v>王倩倩</v>
      </c>
      <c r="F25" s="18">
        <v>99</v>
      </c>
      <c r="G25" s="18">
        <v>87</v>
      </c>
      <c r="H25" s="18">
        <f t="shared" si="1"/>
        <v>94.2</v>
      </c>
      <c r="I25" s="18">
        <v>79.2</v>
      </c>
      <c r="J25" s="18">
        <v>78.99</v>
      </c>
      <c r="K25" s="18" t="s">
        <v>21</v>
      </c>
      <c r="L25" s="18"/>
    </row>
    <row r="26" spans="1:12" ht="30" customHeight="1">
      <c r="A26" s="17">
        <v>24</v>
      </c>
      <c r="B26" s="18" t="str">
        <f>"23031622"</f>
        <v>23031622</v>
      </c>
      <c r="C26" s="18" t="str">
        <f>"230202"</f>
        <v>230202</v>
      </c>
      <c r="D26" s="18" t="s">
        <v>17</v>
      </c>
      <c r="E26" s="18" t="str">
        <f>"杨洋"</f>
        <v>杨洋</v>
      </c>
      <c r="F26" s="18">
        <v>90</v>
      </c>
      <c r="G26" s="18">
        <v>98.5</v>
      </c>
      <c r="H26" s="18">
        <f t="shared" si="1"/>
        <v>93.4</v>
      </c>
      <c r="I26" s="18">
        <v>79.2</v>
      </c>
      <c r="J26" s="18">
        <v>78.78999999999999</v>
      </c>
      <c r="K26" s="18" t="s">
        <v>21</v>
      </c>
      <c r="L26" s="18"/>
    </row>
    <row r="27" spans="1:12" ht="30" customHeight="1">
      <c r="A27" s="17">
        <v>25</v>
      </c>
      <c r="B27" s="18" t="s">
        <v>22</v>
      </c>
      <c r="C27" s="18" t="s">
        <v>23</v>
      </c>
      <c r="D27" s="18" t="s">
        <v>17</v>
      </c>
      <c r="E27" s="18" t="s">
        <v>24</v>
      </c>
      <c r="F27" s="18">
        <v>102</v>
      </c>
      <c r="G27" s="18">
        <v>82</v>
      </c>
      <c r="H27" s="18">
        <v>94</v>
      </c>
      <c r="I27" s="18">
        <v>78</v>
      </c>
      <c r="J27" s="18">
        <v>78.1</v>
      </c>
      <c r="K27" s="18" t="s">
        <v>21</v>
      </c>
      <c r="L27" s="18"/>
    </row>
    <row r="28" spans="1:12" ht="30" customHeight="1">
      <c r="A28" s="17">
        <v>26</v>
      </c>
      <c r="B28" s="18" t="str">
        <f>"23033025"</f>
        <v>23033025</v>
      </c>
      <c r="C28" s="18" t="str">
        <f>"230203"</f>
        <v>230203</v>
      </c>
      <c r="D28" s="18" t="s">
        <v>25</v>
      </c>
      <c r="E28" s="18" t="str">
        <f>"翟岩"</f>
        <v>翟岩</v>
      </c>
      <c r="F28" s="18">
        <v>100</v>
      </c>
      <c r="G28" s="18">
        <v>99</v>
      </c>
      <c r="H28" s="18">
        <f>F28*0.6+G28*0.4</f>
        <v>99.6</v>
      </c>
      <c r="I28" s="18">
        <v>79.8</v>
      </c>
      <c r="J28" s="18">
        <v>80.75999999999999</v>
      </c>
      <c r="K28" s="18" t="s">
        <v>21</v>
      </c>
      <c r="L28" s="18"/>
    </row>
    <row r="29" spans="1:12" ht="30" customHeight="1">
      <c r="A29" s="17">
        <v>27</v>
      </c>
      <c r="B29" s="18" t="str">
        <f>"23033628"</f>
        <v>23033628</v>
      </c>
      <c r="C29" s="18" t="str">
        <f>"230203"</f>
        <v>230203</v>
      </c>
      <c r="D29" s="18" t="s">
        <v>25</v>
      </c>
      <c r="E29" s="18" t="str">
        <f>"赵筱"</f>
        <v>赵筱</v>
      </c>
      <c r="F29" s="18">
        <v>97</v>
      </c>
      <c r="G29" s="18">
        <v>100.5</v>
      </c>
      <c r="H29" s="18">
        <f>F29*0.6+G29*0.4</f>
        <v>98.4</v>
      </c>
      <c r="I29" s="18">
        <v>80.2</v>
      </c>
      <c r="J29" s="18">
        <v>80.74000000000001</v>
      </c>
      <c r="K29" s="18" t="s">
        <v>21</v>
      </c>
      <c r="L29" s="18"/>
    </row>
    <row r="30" spans="1:12" ht="30" customHeight="1">
      <c r="A30" s="17">
        <v>28</v>
      </c>
      <c r="B30" s="18" t="str">
        <f>"23033907"</f>
        <v>23033907</v>
      </c>
      <c r="C30" s="18" t="str">
        <f>"230203"</f>
        <v>230203</v>
      </c>
      <c r="D30" s="18" t="s">
        <v>25</v>
      </c>
      <c r="E30" s="18" t="str">
        <f>"孟晚晴"</f>
        <v>孟晚晴</v>
      </c>
      <c r="F30" s="18">
        <v>102</v>
      </c>
      <c r="G30" s="18">
        <v>94</v>
      </c>
      <c r="H30" s="18">
        <f>F30*0.6+G30*0.4</f>
        <v>98.8</v>
      </c>
      <c r="I30" s="18">
        <v>79.8</v>
      </c>
      <c r="J30" s="18">
        <v>80.55999999999999</v>
      </c>
      <c r="K30" s="18" t="s">
        <v>21</v>
      </c>
      <c r="L30" s="18"/>
    </row>
    <row r="31" spans="1:12" ht="30" customHeight="1">
      <c r="A31" s="17">
        <v>29</v>
      </c>
      <c r="B31" s="18" t="str">
        <f>"23034010"</f>
        <v>23034010</v>
      </c>
      <c r="C31" s="18" t="str">
        <f>"230203"</f>
        <v>230203</v>
      </c>
      <c r="D31" s="18" t="s">
        <v>25</v>
      </c>
      <c r="E31" s="18" t="str">
        <f>"魏雪梅"</f>
        <v>魏雪梅</v>
      </c>
      <c r="F31" s="18">
        <v>100.5</v>
      </c>
      <c r="G31" s="18">
        <v>99</v>
      </c>
      <c r="H31" s="18">
        <f>F31*0.6+G31*0.4</f>
        <v>99.9</v>
      </c>
      <c r="I31" s="18">
        <v>79.2</v>
      </c>
      <c r="J31" s="18">
        <v>80.415</v>
      </c>
      <c r="K31" s="18" t="s">
        <v>21</v>
      </c>
      <c r="L31" s="18"/>
    </row>
    <row r="32" spans="1:12" ht="30" customHeight="1">
      <c r="A32" s="17">
        <v>30</v>
      </c>
      <c r="B32" s="18" t="str">
        <f>"23033819"</f>
        <v>23033819</v>
      </c>
      <c r="C32" s="18" t="str">
        <f>"230203"</f>
        <v>230203</v>
      </c>
      <c r="D32" s="18" t="s">
        <v>25</v>
      </c>
      <c r="E32" s="18" t="str">
        <f>"周芯蕊"</f>
        <v>周芯蕊</v>
      </c>
      <c r="F32" s="18">
        <v>98</v>
      </c>
      <c r="G32" s="18">
        <v>98.5</v>
      </c>
      <c r="H32" s="18">
        <f>F32*0.6+G32*0.4</f>
        <v>98.2</v>
      </c>
      <c r="I32" s="18">
        <v>79.8</v>
      </c>
      <c r="J32" s="18">
        <v>80.41</v>
      </c>
      <c r="K32" s="18" t="s">
        <v>21</v>
      </c>
      <c r="L32" s="18"/>
    </row>
    <row r="33" spans="1:12" ht="30" customHeight="1">
      <c r="A33" s="17">
        <v>31</v>
      </c>
      <c r="B33" s="18" t="s">
        <v>26</v>
      </c>
      <c r="C33" s="18" t="s">
        <v>27</v>
      </c>
      <c r="D33" s="18" t="s">
        <v>25</v>
      </c>
      <c r="E33" s="18" t="s">
        <v>28</v>
      </c>
      <c r="F33" s="18">
        <v>93</v>
      </c>
      <c r="G33" s="18">
        <v>101.5</v>
      </c>
      <c r="H33" s="18">
        <v>96.4</v>
      </c>
      <c r="I33" s="18">
        <v>80.4</v>
      </c>
      <c r="J33" s="18">
        <v>80.38</v>
      </c>
      <c r="K33" s="18" t="s">
        <v>21</v>
      </c>
      <c r="L33" s="18"/>
    </row>
    <row r="34" spans="1:12" ht="30" customHeight="1">
      <c r="A34" s="17">
        <v>32</v>
      </c>
      <c r="B34" s="18" t="str">
        <f>"23041005"</f>
        <v>23041005</v>
      </c>
      <c r="C34" s="18" t="str">
        <f>"230205"</f>
        <v>230205</v>
      </c>
      <c r="D34" s="18" t="s">
        <v>29</v>
      </c>
      <c r="E34" s="18" t="str">
        <f>"徐玉"</f>
        <v>徐玉</v>
      </c>
      <c r="F34" s="18">
        <v>95</v>
      </c>
      <c r="G34" s="18">
        <v>82.5</v>
      </c>
      <c r="H34" s="18">
        <f>F34*0.6+G34*0.4</f>
        <v>90</v>
      </c>
      <c r="I34" s="18">
        <v>82.2</v>
      </c>
      <c r="J34" s="18">
        <v>80.03999999999999</v>
      </c>
      <c r="K34" s="18" t="s">
        <v>21</v>
      </c>
      <c r="L34" s="18"/>
    </row>
    <row r="35" spans="1:12" ht="30" customHeight="1">
      <c r="A35" s="17">
        <v>33</v>
      </c>
      <c r="B35" s="18" t="str">
        <f>"23040512"</f>
        <v>23040512</v>
      </c>
      <c r="C35" s="18" t="str">
        <f>"230205"</f>
        <v>230205</v>
      </c>
      <c r="D35" s="18" t="s">
        <v>29</v>
      </c>
      <c r="E35" s="18" t="str">
        <f>"王志明"</f>
        <v>王志明</v>
      </c>
      <c r="F35" s="18">
        <v>108</v>
      </c>
      <c r="G35" s="18">
        <v>58.5</v>
      </c>
      <c r="H35" s="18">
        <f>F35*0.6+G35*0.4</f>
        <v>88.2</v>
      </c>
      <c r="I35" s="18">
        <v>82.2</v>
      </c>
      <c r="J35" s="18">
        <v>79.59</v>
      </c>
      <c r="K35" s="18" t="s">
        <v>21</v>
      </c>
      <c r="L35" s="18"/>
    </row>
    <row r="36" spans="1:12" ht="30" customHeight="1">
      <c r="A36" s="17">
        <v>34</v>
      </c>
      <c r="B36" s="18" t="str">
        <f>"23040710"</f>
        <v>23040710</v>
      </c>
      <c r="C36" s="18" t="str">
        <f>"230205"</f>
        <v>230205</v>
      </c>
      <c r="D36" s="18" t="s">
        <v>29</v>
      </c>
      <c r="E36" s="18" t="str">
        <f>"张晓晓"</f>
        <v>张晓晓</v>
      </c>
      <c r="F36" s="18">
        <v>92</v>
      </c>
      <c r="G36" s="18">
        <v>82.5</v>
      </c>
      <c r="H36" s="18">
        <f>F36*0.6+G36*0.4</f>
        <v>88.19999999999999</v>
      </c>
      <c r="I36" s="18">
        <v>82.2</v>
      </c>
      <c r="J36" s="18">
        <v>79.59</v>
      </c>
      <c r="K36" s="18" t="s">
        <v>21</v>
      </c>
      <c r="L36" s="18"/>
    </row>
    <row r="37" spans="1:12" ht="30" customHeight="1">
      <c r="A37" s="17">
        <v>35</v>
      </c>
      <c r="B37" s="18" t="str">
        <f>"23040416"</f>
        <v>23040416</v>
      </c>
      <c r="C37" s="18" t="str">
        <f>"230205"</f>
        <v>230205</v>
      </c>
      <c r="D37" s="18" t="s">
        <v>29</v>
      </c>
      <c r="E37" s="18" t="str">
        <f>"乔旭"</f>
        <v>乔旭</v>
      </c>
      <c r="F37" s="18">
        <v>95</v>
      </c>
      <c r="G37" s="18">
        <v>74.5</v>
      </c>
      <c r="H37" s="18">
        <f>F37*0.6+G37*0.4</f>
        <v>86.8</v>
      </c>
      <c r="I37" s="18">
        <v>82.2</v>
      </c>
      <c r="J37" s="18">
        <v>79.24</v>
      </c>
      <c r="K37" s="18" t="s">
        <v>21</v>
      </c>
      <c r="L37" s="18"/>
    </row>
    <row r="38" spans="1:12" ht="30" customHeight="1">
      <c r="A38" s="17">
        <v>36</v>
      </c>
      <c r="B38" s="18" t="str">
        <f>"23010226"</f>
        <v>23010226</v>
      </c>
      <c r="C38" s="18" t="str">
        <f>"230101"</f>
        <v>230101</v>
      </c>
      <c r="D38" s="18" t="s">
        <v>30</v>
      </c>
      <c r="E38" s="18" t="str">
        <f>"常子悦"</f>
        <v>常子悦</v>
      </c>
      <c r="F38" s="18">
        <v>76</v>
      </c>
      <c r="G38" s="18">
        <v>60</v>
      </c>
      <c r="H38" s="18">
        <v>69.6</v>
      </c>
      <c r="I38" s="18">
        <v>82.4</v>
      </c>
      <c r="J38" s="18">
        <v>75.08</v>
      </c>
      <c r="K38" s="18" t="s">
        <v>31</v>
      </c>
      <c r="L38" s="18"/>
    </row>
    <row r="39" spans="1:12" ht="30" customHeight="1">
      <c r="A39" s="17">
        <v>37</v>
      </c>
      <c r="B39" s="18" t="str">
        <f>"23012519"</f>
        <v>23012519</v>
      </c>
      <c r="C39" s="18" t="str">
        <f>"230106"</f>
        <v>230106</v>
      </c>
      <c r="D39" s="18" t="s">
        <v>32</v>
      </c>
      <c r="E39" s="18" t="str">
        <f>"王威"</f>
        <v>王威</v>
      </c>
      <c r="F39" s="18">
        <v>99</v>
      </c>
      <c r="G39" s="18">
        <v>85</v>
      </c>
      <c r="H39" s="18">
        <v>93.4</v>
      </c>
      <c r="I39" s="18">
        <v>81.6</v>
      </c>
      <c r="J39" s="18">
        <v>80.47</v>
      </c>
      <c r="K39" s="18" t="s">
        <v>31</v>
      </c>
      <c r="L39" s="18"/>
    </row>
    <row r="40" spans="1:12" ht="30" customHeight="1">
      <c r="A40" s="17">
        <v>38</v>
      </c>
      <c r="B40" s="18" t="str">
        <f>"23012527"</f>
        <v>23012527</v>
      </c>
      <c r="C40" s="18" t="str">
        <f>"230106"</f>
        <v>230106</v>
      </c>
      <c r="D40" s="18" t="s">
        <v>32</v>
      </c>
      <c r="E40" s="18" t="str">
        <f>"唐李兵"</f>
        <v>唐李兵</v>
      </c>
      <c r="F40" s="18">
        <v>88</v>
      </c>
      <c r="G40" s="18">
        <v>93</v>
      </c>
      <c r="H40" s="18">
        <v>90</v>
      </c>
      <c r="I40" s="18">
        <v>80</v>
      </c>
      <c r="J40" s="18">
        <v>78.5</v>
      </c>
      <c r="K40" s="18" t="s">
        <v>31</v>
      </c>
      <c r="L40" s="18"/>
    </row>
    <row r="41" spans="1:12" ht="30" customHeight="1">
      <c r="A41" s="17">
        <v>39</v>
      </c>
      <c r="B41" s="18" t="str">
        <f>"23010825"</f>
        <v>23010825</v>
      </c>
      <c r="C41" s="18" t="str">
        <f>"230107"</f>
        <v>230107</v>
      </c>
      <c r="D41" s="18" t="s">
        <v>33</v>
      </c>
      <c r="E41" s="18" t="str">
        <f>"张乐乐"</f>
        <v>张乐乐</v>
      </c>
      <c r="F41" s="18">
        <v>114</v>
      </c>
      <c r="G41" s="18">
        <v>82</v>
      </c>
      <c r="H41" s="18">
        <f>F41*0.6+G41*0.4</f>
        <v>101.19999999999999</v>
      </c>
      <c r="I41" s="18">
        <v>81.2</v>
      </c>
      <c r="J41" s="18">
        <v>82.13999999999999</v>
      </c>
      <c r="K41" s="18" t="s">
        <v>31</v>
      </c>
      <c r="L41" s="18"/>
    </row>
    <row r="42" spans="1:12" ht="30" customHeight="1">
      <c r="A42" s="17">
        <v>40</v>
      </c>
      <c r="B42" s="18" t="str">
        <f>"23010921"</f>
        <v>23010921</v>
      </c>
      <c r="C42" s="18" t="str">
        <f>"230107"</f>
        <v>230107</v>
      </c>
      <c r="D42" s="18" t="s">
        <v>33</v>
      </c>
      <c r="E42" s="18" t="str">
        <f>"徐家乐"</f>
        <v>徐家乐</v>
      </c>
      <c r="F42" s="18">
        <v>96</v>
      </c>
      <c r="G42" s="18">
        <v>99</v>
      </c>
      <c r="H42" s="18">
        <f>F42*0.6+G42*0.4</f>
        <v>97.19999999999999</v>
      </c>
      <c r="I42" s="18">
        <v>82.6</v>
      </c>
      <c r="J42" s="18">
        <v>82.11999999999999</v>
      </c>
      <c r="K42" s="18" t="s">
        <v>31</v>
      </c>
      <c r="L42" s="18"/>
    </row>
    <row r="43" spans="1:12" ht="30" customHeight="1">
      <c r="A43" s="17">
        <v>41</v>
      </c>
      <c r="B43" s="18" t="str">
        <f>"23012901"</f>
        <v>23012901</v>
      </c>
      <c r="C43" s="18" t="str">
        <f>"230111"</f>
        <v>230111</v>
      </c>
      <c r="D43" s="18" t="s">
        <v>34</v>
      </c>
      <c r="E43" s="18" t="str">
        <f>"王惠娟"</f>
        <v>王惠娟</v>
      </c>
      <c r="F43" s="18">
        <v>57</v>
      </c>
      <c r="G43" s="18">
        <v>80</v>
      </c>
      <c r="H43" s="18">
        <f>F43+G43*0.4</f>
        <v>89</v>
      </c>
      <c r="I43" s="18">
        <v>80.8</v>
      </c>
      <c r="J43" s="18">
        <v>78.81</v>
      </c>
      <c r="K43" s="18" t="s">
        <v>31</v>
      </c>
      <c r="L43" s="18"/>
    </row>
    <row r="44" spans="1:12" ht="30" customHeight="1">
      <c r="A44" s="17">
        <v>42</v>
      </c>
      <c r="B44" s="18" t="str">
        <f>"23012813"</f>
        <v>23012813</v>
      </c>
      <c r="C44" s="18" t="str">
        <f>"230111"</f>
        <v>230111</v>
      </c>
      <c r="D44" s="18" t="s">
        <v>34</v>
      </c>
      <c r="E44" s="18" t="str">
        <f>"吴凯"</f>
        <v>吴凯</v>
      </c>
      <c r="F44" s="18">
        <v>44</v>
      </c>
      <c r="G44" s="18">
        <v>95</v>
      </c>
      <c r="H44" s="18">
        <f>F44+G44*0.4</f>
        <v>82</v>
      </c>
      <c r="I44" s="18">
        <v>81.6</v>
      </c>
      <c r="J44" s="18">
        <v>77.61999999999999</v>
      </c>
      <c r="K44" s="18" t="s">
        <v>31</v>
      </c>
      <c r="L44" s="18"/>
    </row>
    <row r="45" spans="1:12" ht="30" customHeight="1">
      <c r="A45" s="17">
        <v>43</v>
      </c>
      <c r="B45" s="18" t="str">
        <f>"23012802"</f>
        <v>23012802</v>
      </c>
      <c r="C45" s="18" t="str">
        <f>"230111"</f>
        <v>230111</v>
      </c>
      <c r="D45" s="18" t="s">
        <v>34</v>
      </c>
      <c r="E45" s="18" t="str">
        <f>"陈先先"</f>
        <v>陈先先</v>
      </c>
      <c r="F45" s="18">
        <v>40</v>
      </c>
      <c r="G45" s="18">
        <v>81</v>
      </c>
      <c r="H45" s="18">
        <f>F45+G45*0.4</f>
        <v>72.4</v>
      </c>
      <c r="I45" s="18">
        <v>84.8</v>
      </c>
      <c r="J45" s="18">
        <v>77.46</v>
      </c>
      <c r="K45" s="18" t="s">
        <v>31</v>
      </c>
      <c r="L45" s="18"/>
    </row>
    <row r="46" spans="1:12" ht="30" customHeight="1">
      <c r="A46" s="17">
        <v>44</v>
      </c>
      <c r="B46" s="18" t="str">
        <f>"23010710"</f>
        <v>23010710</v>
      </c>
      <c r="C46" s="18" t="str">
        <f>"230113"</f>
        <v>230113</v>
      </c>
      <c r="D46" s="18" t="s">
        <v>35</v>
      </c>
      <c r="E46" s="18" t="str">
        <f>"梁慧"</f>
        <v>梁慧</v>
      </c>
      <c r="F46" s="18">
        <v>90</v>
      </c>
      <c r="G46" s="18">
        <v>85</v>
      </c>
      <c r="H46" s="18">
        <f>F46*0.6+G46*0.4</f>
        <v>88</v>
      </c>
      <c r="I46" s="18">
        <v>75</v>
      </c>
      <c r="J46" s="18">
        <v>74.5</v>
      </c>
      <c r="K46" s="18" t="s">
        <v>31</v>
      </c>
      <c r="L46" s="18"/>
    </row>
    <row r="47" spans="1:12" ht="30" customHeight="1">
      <c r="A47" s="17">
        <v>45</v>
      </c>
      <c r="B47" s="18" t="str">
        <f>"23013511"</f>
        <v>23013511</v>
      </c>
      <c r="C47" s="18" t="str">
        <f>"230114"</f>
        <v>230114</v>
      </c>
      <c r="D47" s="18" t="s">
        <v>36</v>
      </c>
      <c r="E47" s="18" t="str">
        <f>"盛雨桐"</f>
        <v>盛雨桐</v>
      </c>
      <c r="F47" s="18">
        <v>83</v>
      </c>
      <c r="G47" s="18">
        <v>69</v>
      </c>
      <c r="H47" s="18">
        <f>F47*0.6+G47*0.4</f>
        <v>77.4</v>
      </c>
      <c r="I47" s="18">
        <v>84.54</v>
      </c>
      <c r="J47" s="18">
        <v>78.528</v>
      </c>
      <c r="K47" s="18" t="s">
        <v>31</v>
      </c>
      <c r="L47" s="18"/>
    </row>
    <row r="48" spans="1:12" ht="30" customHeight="1">
      <c r="A48" s="17">
        <v>46</v>
      </c>
      <c r="B48" s="18" t="s">
        <v>37</v>
      </c>
      <c r="C48" s="18" t="s">
        <v>38</v>
      </c>
      <c r="D48" s="18" t="s">
        <v>39</v>
      </c>
      <c r="E48" s="18" t="s">
        <v>40</v>
      </c>
      <c r="F48" s="18">
        <v>74</v>
      </c>
      <c r="G48" s="18">
        <v>72</v>
      </c>
      <c r="H48" s="18">
        <v>82.08</v>
      </c>
      <c r="I48" s="18">
        <v>83.6</v>
      </c>
      <c r="J48" s="18">
        <v>79.04</v>
      </c>
      <c r="K48" s="18" t="s">
        <v>31</v>
      </c>
      <c r="L48" s="18"/>
    </row>
    <row r="49" spans="1:12" ht="30" customHeight="1">
      <c r="A49" s="17">
        <v>47</v>
      </c>
      <c r="B49" s="18" t="str">
        <f>"23014105"</f>
        <v>23014105</v>
      </c>
      <c r="C49" s="18" t="str">
        <f>"230119"</f>
        <v>230119</v>
      </c>
      <c r="D49" s="18" t="s">
        <v>41</v>
      </c>
      <c r="E49" s="18" t="str">
        <f>"张雪勇"</f>
        <v>张雪勇</v>
      </c>
      <c r="F49" s="18">
        <v>94</v>
      </c>
      <c r="G49" s="18">
        <v>83</v>
      </c>
      <c r="H49" s="18">
        <f>F49*0.6+G49*0.4</f>
        <v>89.6</v>
      </c>
      <c r="I49" s="18">
        <v>81.8</v>
      </c>
      <c r="J49" s="18">
        <v>79.66</v>
      </c>
      <c r="K49" s="18" t="s">
        <v>31</v>
      </c>
      <c r="L49" s="18"/>
    </row>
    <row r="50" spans="1:12" ht="30" customHeight="1">
      <c r="A50" s="17">
        <v>48</v>
      </c>
      <c r="B50" s="18" t="str">
        <f>"23013923"</f>
        <v>23013923</v>
      </c>
      <c r="C50" s="18" t="str">
        <f>"230119"</f>
        <v>230119</v>
      </c>
      <c r="D50" s="18" t="s">
        <v>41</v>
      </c>
      <c r="E50" s="18" t="str">
        <f>"沈国辉"</f>
        <v>沈国辉</v>
      </c>
      <c r="F50" s="18">
        <v>93</v>
      </c>
      <c r="G50" s="18">
        <v>99</v>
      </c>
      <c r="H50" s="18">
        <v>95.4</v>
      </c>
      <c r="I50" s="18">
        <v>79.6</v>
      </c>
      <c r="J50" s="18">
        <v>79.57</v>
      </c>
      <c r="K50" s="18" t="s">
        <v>31</v>
      </c>
      <c r="L50" s="18"/>
    </row>
    <row r="51" spans="1:12" ht="30" customHeight="1">
      <c r="A51" s="17">
        <v>49</v>
      </c>
      <c r="B51" s="18" t="str">
        <f>"23012915"</f>
        <v>23012915</v>
      </c>
      <c r="C51" s="18" t="str">
        <f>"230112"</f>
        <v>230112</v>
      </c>
      <c r="D51" s="18" t="s">
        <v>42</v>
      </c>
      <c r="E51" s="18" t="str">
        <f>"王世杰"</f>
        <v>王世杰</v>
      </c>
      <c r="F51" s="18">
        <v>58</v>
      </c>
      <c r="G51" s="18">
        <v>66</v>
      </c>
      <c r="H51" s="18">
        <f>F51+G51*0.4</f>
        <v>84.4</v>
      </c>
      <c r="I51" s="18">
        <v>79.4</v>
      </c>
      <c r="J51" s="18">
        <v>76.68</v>
      </c>
      <c r="K51" s="18" t="s">
        <v>43</v>
      </c>
      <c r="L51" s="18"/>
    </row>
    <row r="52" spans="1:12" ht="30" customHeight="1">
      <c r="A52" s="17">
        <v>50</v>
      </c>
      <c r="B52" s="18" t="str">
        <f>"23035505"</f>
        <v>23035505</v>
      </c>
      <c r="C52" s="18" t="str">
        <f>"230204"</f>
        <v>230204</v>
      </c>
      <c r="D52" s="18" t="s">
        <v>13</v>
      </c>
      <c r="E52" s="18" t="str">
        <f>"王姗"</f>
        <v>王姗</v>
      </c>
      <c r="F52" s="18">
        <v>103</v>
      </c>
      <c r="G52" s="18">
        <v>94</v>
      </c>
      <c r="H52" s="18">
        <f>F52*0.6+G52*0.4</f>
        <v>99.4</v>
      </c>
      <c r="I52" s="18">
        <v>82.6</v>
      </c>
      <c r="J52" s="18">
        <v>82.66999999999999</v>
      </c>
      <c r="K52" s="18" t="s">
        <v>44</v>
      </c>
      <c r="L52" s="18"/>
    </row>
    <row r="53" spans="1:12" ht="30" customHeight="1">
      <c r="A53" s="17">
        <v>51</v>
      </c>
      <c r="B53" s="18" t="str">
        <f>"23034903"</f>
        <v>23034903</v>
      </c>
      <c r="C53" s="18" t="str">
        <f>"230204"</f>
        <v>230204</v>
      </c>
      <c r="D53" s="18" t="s">
        <v>13</v>
      </c>
      <c r="E53" s="18" t="str">
        <f>"蔡梦妮"</f>
        <v>蔡梦妮</v>
      </c>
      <c r="F53" s="18">
        <v>101.5</v>
      </c>
      <c r="G53" s="18">
        <v>97</v>
      </c>
      <c r="H53" s="18">
        <f>F53*0.6+G53*0.4</f>
        <v>99.7</v>
      </c>
      <c r="I53" s="18">
        <v>81.2</v>
      </c>
      <c r="J53" s="18">
        <v>81.765</v>
      </c>
      <c r="K53" s="18" t="s">
        <v>44</v>
      </c>
      <c r="L53" s="18"/>
    </row>
    <row r="54" spans="1:12" ht="30" customHeight="1">
      <c r="A54" s="17">
        <v>52</v>
      </c>
      <c r="B54" s="18" t="str">
        <f>"23035830"</f>
        <v>23035830</v>
      </c>
      <c r="C54" s="18" t="str">
        <f>"230204"</f>
        <v>230204</v>
      </c>
      <c r="D54" s="18" t="s">
        <v>13</v>
      </c>
      <c r="E54" s="18" t="str">
        <f>"夏铭爽"</f>
        <v>夏铭爽</v>
      </c>
      <c r="F54" s="18">
        <v>99</v>
      </c>
      <c r="G54" s="18">
        <v>94.5</v>
      </c>
      <c r="H54" s="18">
        <f>F54*0.6+G54*0.4</f>
        <v>97.2</v>
      </c>
      <c r="I54" s="18">
        <v>81.6</v>
      </c>
      <c r="J54" s="18">
        <v>81.41999999999999</v>
      </c>
      <c r="K54" s="18" t="s">
        <v>44</v>
      </c>
      <c r="L54" s="18"/>
    </row>
    <row r="55" spans="1:12" ht="30" customHeight="1">
      <c r="A55" s="17">
        <v>53</v>
      </c>
      <c r="B55" s="18" t="s">
        <v>45</v>
      </c>
      <c r="C55" s="18" t="s">
        <v>46</v>
      </c>
      <c r="D55" s="18" t="s">
        <v>13</v>
      </c>
      <c r="E55" s="18" t="s">
        <v>47</v>
      </c>
      <c r="F55" s="18">
        <v>105</v>
      </c>
      <c r="G55" s="18">
        <v>90</v>
      </c>
      <c r="H55" s="18">
        <v>99</v>
      </c>
      <c r="I55" s="18">
        <v>80.8</v>
      </c>
      <c r="J55" s="18">
        <v>81.31</v>
      </c>
      <c r="K55" s="18" t="s">
        <v>44</v>
      </c>
      <c r="L55" s="18"/>
    </row>
    <row r="56" spans="1:12" ht="30" customHeight="1">
      <c r="A56" s="17">
        <v>54</v>
      </c>
      <c r="B56" s="18" t="str">
        <f>"23043315"</f>
        <v>23043315</v>
      </c>
      <c r="C56" s="18" t="str">
        <f>"230207"</f>
        <v>230207</v>
      </c>
      <c r="D56" s="18" t="s">
        <v>48</v>
      </c>
      <c r="E56" s="18" t="str">
        <f>"韩金婷"</f>
        <v>韩金婷</v>
      </c>
      <c r="F56" s="18">
        <v>99</v>
      </c>
      <c r="G56" s="18">
        <v>87.5</v>
      </c>
      <c r="H56" s="18">
        <f aca="true" t="shared" si="3" ref="H56:H62">F56*0.6+G56*0.4</f>
        <v>94.4</v>
      </c>
      <c r="I56" s="18">
        <v>83.8</v>
      </c>
      <c r="J56" s="18">
        <v>82.26</v>
      </c>
      <c r="K56" s="18" t="s">
        <v>44</v>
      </c>
      <c r="L56" s="18"/>
    </row>
    <row r="57" spans="1:12" ht="30" customHeight="1">
      <c r="A57" s="17">
        <v>55</v>
      </c>
      <c r="B57" s="18" t="str">
        <f>"23043116"</f>
        <v>23043116</v>
      </c>
      <c r="C57" s="18" t="str">
        <f>"230207"</f>
        <v>230207</v>
      </c>
      <c r="D57" s="18" t="s">
        <v>48</v>
      </c>
      <c r="E57" s="18" t="str">
        <f>"张悦"</f>
        <v>张悦</v>
      </c>
      <c r="F57" s="18">
        <v>98</v>
      </c>
      <c r="G57" s="18">
        <v>93</v>
      </c>
      <c r="H57" s="18">
        <f t="shared" si="3"/>
        <v>96</v>
      </c>
      <c r="I57" s="18">
        <v>83.2</v>
      </c>
      <c r="J57" s="18">
        <v>82.24</v>
      </c>
      <c r="K57" s="18" t="s">
        <v>44</v>
      </c>
      <c r="L57" s="18"/>
    </row>
    <row r="58" spans="1:12" ht="30" customHeight="1">
      <c r="A58" s="17">
        <v>56</v>
      </c>
      <c r="B58" s="18" t="str">
        <f>"23046105"</f>
        <v>23046105</v>
      </c>
      <c r="C58" s="18" t="str">
        <f>"230210"</f>
        <v>230210</v>
      </c>
      <c r="D58" s="18" t="s">
        <v>19</v>
      </c>
      <c r="E58" s="18" t="str">
        <f>"杨阳"</f>
        <v>杨阳</v>
      </c>
      <c r="F58" s="18">
        <v>82</v>
      </c>
      <c r="G58" s="18">
        <v>88.5</v>
      </c>
      <c r="H58" s="18">
        <f t="shared" si="3"/>
        <v>84.6</v>
      </c>
      <c r="I58" s="18">
        <v>82.2</v>
      </c>
      <c r="J58" s="18">
        <v>78.69</v>
      </c>
      <c r="K58" s="18" t="s">
        <v>44</v>
      </c>
      <c r="L58" s="18"/>
    </row>
    <row r="59" spans="1:12" ht="30" customHeight="1">
      <c r="A59" s="17">
        <v>57</v>
      </c>
      <c r="B59" s="18" t="str">
        <f>"23046504"</f>
        <v>23046504</v>
      </c>
      <c r="C59" s="18" t="str">
        <f>"230210"</f>
        <v>230210</v>
      </c>
      <c r="D59" s="18" t="s">
        <v>19</v>
      </c>
      <c r="E59" s="18" t="str">
        <f>"马瑞瑞"</f>
        <v>马瑞瑞</v>
      </c>
      <c r="F59" s="18">
        <v>83</v>
      </c>
      <c r="G59" s="18">
        <v>92</v>
      </c>
      <c r="H59" s="18">
        <f t="shared" si="3"/>
        <v>86.6</v>
      </c>
      <c r="I59" s="18">
        <v>81.4</v>
      </c>
      <c r="J59" s="18">
        <v>78.63</v>
      </c>
      <c r="K59" s="18" t="s">
        <v>44</v>
      </c>
      <c r="L59" s="18"/>
    </row>
    <row r="60" spans="1:12" ht="30" customHeight="1">
      <c r="A60" s="17">
        <v>58</v>
      </c>
      <c r="B60" s="18" t="str">
        <f>"23046316"</f>
        <v>23046316</v>
      </c>
      <c r="C60" s="18" t="str">
        <f>"230210"</f>
        <v>230210</v>
      </c>
      <c r="D60" s="18" t="s">
        <v>19</v>
      </c>
      <c r="E60" s="18" t="str">
        <f>"汪悦"</f>
        <v>汪悦</v>
      </c>
      <c r="F60" s="18">
        <v>80.5</v>
      </c>
      <c r="G60" s="18">
        <v>88.5</v>
      </c>
      <c r="H60" s="18">
        <f t="shared" si="3"/>
        <v>83.69999999999999</v>
      </c>
      <c r="I60" s="18">
        <v>82.4</v>
      </c>
      <c r="J60" s="18">
        <v>78.605</v>
      </c>
      <c r="K60" s="18" t="s">
        <v>44</v>
      </c>
      <c r="L60" s="18"/>
    </row>
    <row r="61" spans="1:12" ht="30" customHeight="1">
      <c r="A61" s="17">
        <v>59</v>
      </c>
      <c r="B61" s="18" t="str">
        <f>"23046108"</f>
        <v>23046108</v>
      </c>
      <c r="C61" s="18" t="str">
        <f>"230210"</f>
        <v>230210</v>
      </c>
      <c r="D61" s="18" t="s">
        <v>19</v>
      </c>
      <c r="E61" s="18" t="str">
        <f>"胡雨婷"</f>
        <v>胡雨婷</v>
      </c>
      <c r="F61" s="18">
        <v>88</v>
      </c>
      <c r="G61" s="18">
        <v>88</v>
      </c>
      <c r="H61" s="18">
        <f t="shared" si="3"/>
        <v>88</v>
      </c>
      <c r="I61" s="18">
        <v>80.6</v>
      </c>
      <c r="J61" s="18">
        <v>78.42</v>
      </c>
      <c r="K61" s="18" t="s">
        <v>44</v>
      </c>
      <c r="L61" s="18"/>
    </row>
    <row r="62" spans="1:12" ht="30" customHeight="1">
      <c r="A62" s="17">
        <v>60</v>
      </c>
      <c r="B62" s="18" t="str">
        <f>"23046401"</f>
        <v>23046401</v>
      </c>
      <c r="C62" s="18" t="str">
        <f>"230210"</f>
        <v>230210</v>
      </c>
      <c r="D62" s="18" t="s">
        <v>19</v>
      </c>
      <c r="E62" s="18" t="str">
        <f>"方丽"</f>
        <v>方丽</v>
      </c>
      <c r="F62" s="18">
        <v>86.5</v>
      </c>
      <c r="G62" s="18">
        <v>91</v>
      </c>
      <c r="H62" s="18">
        <f t="shared" si="3"/>
        <v>88.3</v>
      </c>
      <c r="I62" s="18">
        <v>80.2</v>
      </c>
      <c r="J62" s="18">
        <v>78.215</v>
      </c>
      <c r="K62" s="18" t="s">
        <v>44</v>
      </c>
      <c r="L62" s="18"/>
    </row>
    <row r="63" spans="1:12" ht="30" customHeight="1">
      <c r="A63" s="17">
        <v>61</v>
      </c>
      <c r="B63" s="18" t="s">
        <v>49</v>
      </c>
      <c r="C63" s="18" t="s">
        <v>50</v>
      </c>
      <c r="D63" s="18" t="s">
        <v>19</v>
      </c>
      <c r="E63" s="18" t="s">
        <v>51</v>
      </c>
      <c r="F63" s="18">
        <v>84.5</v>
      </c>
      <c r="G63" s="18">
        <v>91.5</v>
      </c>
      <c r="H63" s="18">
        <v>87.3</v>
      </c>
      <c r="I63" s="18">
        <v>79.4</v>
      </c>
      <c r="J63" s="18">
        <v>77.41</v>
      </c>
      <c r="K63" s="18" t="s">
        <v>44</v>
      </c>
      <c r="L63" s="18"/>
    </row>
    <row r="64" spans="1:12" ht="30" customHeight="1">
      <c r="A64" s="17">
        <v>62</v>
      </c>
      <c r="B64" s="18" t="str">
        <f>"23032817"</f>
        <v>23032817</v>
      </c>
      <c r="C64" s="18" t="str">
        <f aca="true" t="shared" si="4" ref="C64:C69">"230202"</f>
        <v>230202</v>
      </c>
      <c r="D64" s="18" t="s">
        <v>17</v>
      </c>
      <c r="E64" s="18" t="str">
        <f>"沈妮娜"</f>
        <v>沈妮娜</v>
      </c>
      <c r="F64" s="18">
        <v>97</v>
      </c>
      <c r="G64" s="18">
        <v>98.5</v>
      </c>
      <c r="H64" s="18">
        <f aca="true" t="shared" si="5" ref="H64:H79">F64*0.6+G64*0.4</f>
        <v>97.6</v>
      </c>
      <c r="I64" s="18">
        <v>79.6</v>
      </c>
      <c r="J64" s="18">
        <v>80.11999999999999</v>
      </c>
      <c r="K64" s="18" t="s">
        <v>52</v>
      </c>
      <c r="L64" s="18"/>
    </row>
    <row r="65" spans="1:12" ht="30" customHeight="1">
      <c r="A65" s="17">
        <v>63</v>
      </c>
      <c r="B65" s="18" t="str">
        <f>"23032709"</f>
        <v>23032709</v>
      </c>
      <c r="C65" s="18" t="str">
        <f t="shared" si="4"/>
        <v>230202</v>
      </c>
      <c r="D65" s="18" t="s">
        <v>17</v>
      </c>
      <c r="E65" s="18" t="str">
        <f>"闻梦洁"</f>
        <v>闻梦洁</v>
      </c>
      <c r="F65" s="18">
        <v>100</v>
      </c>
      <c r="G65" s="18">
        <v>91.5</v>
      </c>
      <c r="H65" s="18">
        <f t="shared" si="5"/>
        <v>96.6</v>
      </c>
      <c r="I65" s="18">
        <v>79.6</v>
      </c>
      <c r="J65" s="18">
        <v>79.86999999999999</v>
      </c>
      <c r="K65" s="18" t="s">
        <v>52</v>
      </c>
      <c r="L65" s="18"/>
    </row>
    <row r="66" spans="1:12" ht="30" customHeight="1">
      <c r="A66" s="17">
        <v>64</v>
      </c>
      <c r="B66" s="18" t="str">
        <f>"23032702"</f>
        <v>23032702</v>
      </c>
      <c r="C66" s="18" t="str">
        <f t="shared" si="4"/>
        <v>230202</v>
      </c>
      <c r="D66" s="18" t="s">
        <v>17</v>
      </c>
      <c r="E66" s="18" t="str">
        <f>"张妍"</f>
        <v>张妍</v>
      </c>
      <c r="F66" s="18">
        <v>92</v>
      </c>
      <c r="G66" s="18">
        <v>101.5</v>
      </c>
      <c r="H66" s="18">
        <f t="shared" si="5"/>
        <v>95.8</v>
      </c>
      <c r="I66" s="18">
        <v>79.8</v>
      </c>
      <c r="J66" s="18">
        <v>79.80999999999999</v>
      </c>
      <c r="K66" s="18" t="s">
        <v>52</v>
      </c>
      <c r="L66" s="18"/>
    </row>
    <row r="67" spans="1:12" ht="30" customHeight="1">
      <c r="A67" s="17">
        <v>65</v>
      </c>
      <c r="B67" s="18" t="str">
        <f>"23032530"</f>
        <v>23032530</v>
      </c>
      <c r="C67" s="18" t="str">
        <f t="shared" si="4"/>
        <v>230202</v>
      </c>
      <c r="D67" s="18" t="s">
        <v>17</v>
      </c>
      <c r="E67" s="18" t="str">
        <f>"王艳"</f>
        <v>王艳</v>
      </c>
      <c r="F67" s="18">
        <v>93</v>
      </c>
      <c r="G67" s="18">
        <v>99.5</v>
      </c>
      <c r="H67" s="18">
        <f t="shared" si="5"/>
        <v>95.6</v>
      </c>
      <c r="I67" s="18">
        <v>79.6</v>
      </c>
      <c r="J67" s="18">
        <v>79.61999999999999</v>
      </c>
      <c r="K67" s="18" t="s">
        <v>52</v>
      </c>
      <c r="L67" s="18"/>
    </row>
    <row r="68" spans="1:12" ht="30" customHeight="1">
      <c r="A68" s="17">
        <v>66</v>
      </c>
      <c r="B68" s="18" t="str">
        <f>"23032113"</f>
        <v>23032113</v>
      </c>
      <c r="C68" s="18" t="str">
        <f t="shared" si="4"/>
        <v>230202</v>
      </c>
      <c r="D68" s="18" t="s">
        <v>17</v>
      </c>
      <c r="E68" s="18" t="str">
        <f>"王翠翠"</f>
        <v>王翠翠</v>
      </c>
      <c r="F68" s="18">
        <v>97.5</v>
      </c>
      <c r="G68" s="18">
        <v>96.5</v>
      </c>
      <c r="H68" s="18">
        <f t="shared" si="5"/>
        <v>97.1</v>
      </c>
      <c r="I68" s="18">
        <v>78.6</v>
      </c>
      <c r="J68" s="18">
        <v>79.295</v>
      </c>
      <c r="K68" s="18" t="s">
        <v>52</v>
      </c>
      <c r="L68" s="18"/>
    </row>
    <row r="69" spans="1:12" ht="30" customHeight="1">
      <c r="A69" s="17">
        <v>67</v>
      </c>
      <c r="B69" s="18" t="str">
        <f>"23032207"</f>
        <v>23032207</v>
      </c>
      <c r="C69" s="18" t="str">
        <f t="shared" si="4"/>
        <v>230202</v>
      </c>
      <c r="D69" s="18" t="s">
        <v>17</v>
      </c>
      <c r="E69" s="18" t="str">
        <f>"赵宇婷"</f>
        <v>赵宇婷</v>
      </c>
      <c r="F69" s="18">
        <v>93</v>
      </c>
      <c r="G69" s="18">
        <v>99.5</v>
      </c>
      <c r="H69" s="18">
        <f t="shared" si="5"/>
        <v>95.6</v>
      </c>
      <c r="I69" s="18">
        <v>79</v>
      </c>
      <c r="J69" s="18">
        <v>79.2</v>
      </c>
      <c r="K69" s="18" t="s">
        <v>52</v>
      </c>
      <c r="L69" s="18"/>
    </row>
    <row r="70" spans="1:12" ht="30" customHeight="1">
      <c r="A70" s="17">
        <v>68</v>
      </c>
      <c r="B70" s="18" t="str">
        <f>"23042524"</f>
        <v>23042524</v>
      </c>
      <c r="C70" s="18" t="str">
        <f>"230206"</f>
        <v>230206</v>
      </c>
      <c r="D70" s="18" t="s">
        <v>53</v>
      </c>
      <c r="E70" s="18" t="str">
        <f>"周雪怡"</f>
        <v>周雪怡</v>
      </c>
      <c r="F70" s="18">
        <v>94</v>
      </c>
      <c r="G70" s="18">
        <v>85.5</v>
      </c>
      <c r="H70" s="18">
        <f t="shared" si="5"/>
        <v>90.6</v>
      </c>
      <c r="I70" s="18">
        <v>85.4</v>
      </c>
      <c r="J70" s="18">
        <v>82.43</v>
      </c>
      <c r="K70" s="18" t="s">
        <v>52</v>
      </c>
      <c r="L70" s="18"/>
    </row>
    <row r="71" spans="1:12" ht="30" customHeight="1">
      <c r="A71" s="17">
        <v>69</v>
      </c>
      <c r="B71" s="18" t="str">
        <f>"23041803"</f>
        <v>23041803</v>
      </c>
      <c r="C71" s="18" t="str">
        <f>"230206"</f>
        <v>230206</v>
      </c>
      <c r="D71" s="18" t="s">
        <v>53</v>
      </c>
      <c r="E71" s="18" t="str">
        <f>"刘春芳"</f>
        <v>刘春芳</v>
      </c>
      <c r="F71" s="18">
        <v>101</v>
      </c>
      <c r="G71" s="18">
        <v>67.5</v>
      </c>
      <c r="H71" s="18">
        <f t="shared" si="5"/>
        <v>87.6</v>
      </c>
      <c r="I71" s="18">
        <v>86</v>
      </c>
      <c r="J71" s="18">
        <v>82.1</v>
      </c>
      <c r="K71" s="18" t="s">
        <v>52</v>
      </c>
      <c r="L71" s="18"/>
    </row>
    <row r="72" spans="1:12" ht="30" customHeight="1">
      <c r="A72" s="17">
        <v>70</v>
      </c>
      <c r="B72" s="18" t="str">
        <f>"23041315"</f>
        <v>23041315</v>
      </c>
      <c r="C72" s="18" t="str">
        <f>"230206"</f>
        <v>230206</v>
      </c>
      <c r="D72" s="18" t="s">
        <v>53</v>
      </c>
      <c r="E72" s="18" t="str">
        <f>"齐道猛"</f>
        <v>齐道猛</v>
      </c>
      <c r="F72" s="18">
        <v>86</v>
      </c>
      <c r="G72" s="18">
        <v>98</v>
      </c>
      <c r="H72" s="18">
        <f t="shared" si="5"/>
        <v>90.80000000000001</v>
      </c>
      <c r="I72" s="18">
        <v>84.8</v>
      </c>
      <c r="J72" s="18">
        <v>82.06</v>
      </c>
      <c r="K72" s="18" t="s">
        <v>52</v>
      </c>
      <c r="L72" s="18"/>
    </row>
    <row r="73" spans="1:12" ht="30" customHeight="1">
      <c r="A73" s="17">
        <v>71</v>
      </c>
      <c r="B73" s="18" t="str">
        <f>"23042021"</f>
        <v>23042021</v>
      </c>
      <c r="C73" s="18" t="str">
        <f>"230206"</f>
        <v>230206</v>
      </c>
      <c r="D73" s="18" t="s">
        <v>53</v>
      </c>
      <c r="E73" s="18" t="str">
        <f>"程昊"</f>
        <v>程昊</v>
      </c>
      <c r="F73" s="18">
        <v>90</v>
      </c>
      <c r="G73" s="18">
        <v>92</v>
      </c>
      <c r="H73" s="18">
        <f t="shared" si="5"/>
        <v>90.80000000000001</v>
      </c>
      <c r="I73" s="18">
        <v>84.6</v>
      </c>
      <c r="J73" s="18">
        <v>81.92</v>
      </c>
      <c r="K73" s="18" t="s">
        <v>52</v>
      </c>
      <c r="L73" s="18"/>
    </row>
    <row r="74" spans="1:12" ht="30" customHeight="1">
      <c r="A74" s="17">
        <v>72</v>
      </c>
      <c r="B74" s="18" t="str">
        <f>"23047012"</f>
        <v>23047012</v>
      </c>
      <c r="C74" s="18" t="str">
        <f aca="true" t="shared" si="6" ref="C74:C79">"230211"</f>
        <v>230211</v>
      </c>
      <c r="D74" s="18" t="s">
        <v>16</v>
      </c>
      <c r="E74" s="18" t="str">
        <f>"刘玉婷"</f>
        <v>刘玉婷</v>
      </c>
      <c r="F74" s="18">
        <v>86</v>
      </c>
      <c r="G74" s="18">
        <v>85.5</v>
      </c>
      <c r="H74" s="18">
        <f t="shared" si="5"/>
        <v>85.80000000000001</v>
      </c>
      <c r="I74" s="18">
        <v>87.1</v>
      </c>
      <c r="J74" s="18">
        <v>82.41999999999999</v>
      </c>
      <c r="K74" s="18" t="s">
        <v>52</v>
      </c>
      <c r="L74" s="18"/>
    </row>
    <row r="75" spans="1:12" ht="30" customHeight="1">
      <c r="A75" s="17">
        <v>73</v>
      </c>
      <c r="B75" s="18" t="str">
        <f>"23047205"</f>
        <v>23047205</v>
      </c>
      <c r="C75" s="18" t="str">
        <f t="shared" si="6"/>
        <v>230211</v>
      </c>
      <c r="D75" s="18" t="s">
        <v>16</v>
      </c>
      <c r="E75" s="18" t="str">
        <f>"王悦"</f>
        <v>王悦</v>
      </c>
      <c r="F75" s="18">
        <v>102</v>
      </c>
      <c r="G75" s="18">
        <v>83.5</v>
      </c>
      <c r="H75" s="18">
        <f t="shared" si="5"/>
        <v>94.6</v>
      </c>
      <c r="I75" s="18">
        <v>83.16</v>
      </c>
      <c r="J75" s="18">
        <v>81.862</v>
      </c>
      <c r="K75" s="18" t="s">
        <v>52</v>
      </c>
      <c r="L75" s="18"/>
    </row>
    <row r="76" spans="1:12" ht="30" customHeight="1">
      <c r="A76" s="17">
        <v>74</v>
      </c>
      <c r="B76" s="18" t="str">
        <f>"23047327"</f>
        <v>23047327</v>
      </c>
      <c r="C76" s="18" t="str">
        <f t="shared" si="6"/>
        <v>230211</v>
      </c>
      <c r="D76" s="18" t="s">
        <v>16</v>
      </c>
      <c r="E76" s="18" t="str">
        <f>"李慧"</f>
        <v>李慧</v>
      </c>
      <c r="F76" s="18">
        <v>92</v>
      </c>
      <c r="G76" s="18">
        <v>90</v>
      </c>
      <c r="H76" s="18">
        <f t="shared" si="5"/>
        <v>91.19999999999999</v>
      </c>
      <c r="I76" s="18">
        <v>83.88</v>
      </c>
      <c r="J76" s="18">
        <v>81.51599999999999</v>
      </c>
      <c r="K76" s="18" t="s">
        <v>52</v>
      </c>
      <c r="L76" s="18"/>
    </row>
    <row r="77" spans="1:12" ht="30" customHeight="1">
      <c r="A77" s="17">
        <v>75</v>
      </c>
      <c r="B77" s="18" t="str">
        <f>"23047221"</f>
        <v>23047221</v>
      </c>
      <c r="C77" s="18" t="str">
        <f t="shared" si="6"/>
        <v>230211</v>
      </c>
      <c r="D77" s="18" t="s">
        <v>16</v>
      </c>
      <c r="E77" s="18" t="str">
        <f>"石华雪"</f>
        <v>石华雪</v>
      </c>
      <c r="F77" s="18">
        <v>82.5</v>
      </c>
      <c r="G77" s="18">
        <v>97</v>
      </c>
      <c r="H77" s="18">
        <f t="shared" si="5"/>
        <v>88.30000000000001</v>
      </c>
      <c r="I77" s="18">
        <v>84.64</v>
      </c>
      <c r="J77" s="18">
        <v>81.32300000000001</v>
      </c>
      <c r="K77" s="18" t="s">
        <v>52</v>
      </c>
      <c r="L77" s="18"/>
    </row>
    <row r="78" spans="1:12" ht="30" customHeight="1">
      <c r="A78" s="17">
        <v>76</v>
      </c>
      <c r="B78" s="18" t="str">
        <f>"23047207"</f>
        <v>23047207</v>
      </c>
      <c r="C78" s="18" t="str">
        <f t="shared" si="6"/>
        <v>230211</v>
      </c>
      <c r="D78" s="18" t="s">
        <v>16</v>
      </c>
      <c r="E78" s="18" t="str">
        <f>"高福如"</f>
        <v>高福如</v>
      </c>
      <c r="F78" s="18">
        <v>88</v>
      </c>
      <c r="G78" s="18">
        <v>97.5</v>
      </c>
      <c r="H78" s="18">
        <f t="shared" si="5"/>
        <v>91.8</v>
      </c>
      <c r="I78" s="18">
        <v>82.84</v>
      </c>
      <c r="J78" s="18">
        <v>80.938</v>
      </c>
      <c r="K78" s="18" t="s">
        <v>52</v>
      </c>
      <c r="L78" s="18"/>
    </row>
    <row r="79" spans="1:12" ht="30" customHeight="1">
      <c r="A79" s="17">
        <v>77</v>
      </c>
      <c r="B79" s="18" t="str">
        <f>"23046820"</f>
        <v>23046820</v>
      </c>
      <c r="C79" s="18" t="str">
        <f t="shared" si="6"/>
        <v>230211</v>
      </c>
      <c r="D79" s="18" t="s">
        <v>16</v>
      </c>
      <c r="E79" s="18" t="str">
        <f>"高超荣"</f>
        <v>高超荣</v>
      </c>
      <c r="F79" s="18">
        <v>90</v>
      </c>
      <c r="G79" s="18">
        <v>89</v>
      </c>
      <c r="H79" s="18">
        <f t="shared" si="5"/>
        <v>89.6</v>
      </c>
      <c r="I79" s="18">
        <v>83.5</v>
      </c>
      <c r="J79" s="18">
        <v>80.85</v>
      </c>
      <c r="K79" s="18" t="s">
        <v>52</v>
      </c>
      <c r="L79" s="18"/>
    </row>
    <row r="80" spans="1:12" ht="30" customHeight="1">
      <c r="A80" s="17">
        <v>78</v>
      </c>
      <c r="B80" s="18" t="s">
        <v>54</v>
      </c>
      <c r="C80" s="18" t="s">
        <v>55</v>
      </c>
      <c r="D80" s="18" t="s">
        <v>56</v>
      </c>
      <c r="E80" s="18" t="s">
        <v>57</v>
      </c>
      <c r="F80" s="18">
        <v>91</v>
      </c>
      <c r="G80" s="18">
        <v>81.5</v>
      </c>
      <c r="H80" s="18">
        <v>87.2</v>
      </c>
      <c r="I80" s="18">
        <v>73</v>
      </c>
      <c r="J80" s="18">
        <v>72.9</v>
      </c>
      <c r="K80" s="18" t="s">
        <v>52</v>
      </c>
      <c r="L80" s="18"/>
    </row>
    <row r="81" spans="1:12" ht="30" customHeight="1">
      <c r="A81" s="17">
        <v>79</v>
      </c>
      <c r="B81" s="18" t="str">
        <f>"23010426"</f>
        <v>23010426</v>
      </c>
      <c r="C81" s="18" t="str">
        <f>"230102"</f>
        <v>230102</v>
      </c>
      <c r="D81" s="18" t="s">
        <v>58</v>
      </c>
      <c r="E81" s="18" t="str">
        <f>"庄华仙"</f>
        <v>庄华仙</v>
      </c>
      <c r="F81" s="18">
        <v>81</v>
      </c>
      <c r="G81" s="18">
        <v>105</v>
      </c>
      <c r="H81" s="18">
        <f>F81*0.6+G81*0.4</f>
        <v>90.6</v>
      </c>
      <c r="I81" s="18">
        <v>78.6</v>
      </c>
      <c r="J81" s="18">
        <v>77.66999999999999</v>
      </c>
      <c r="K81" s="18" t="s">
        <v>59</v>
      </c>
      <c r="L81" s="18"/>
    </row>
    <row r="82" spans="1:12" ht="30" customHeight="1">
      <c r="A82" s="17">
        <v>80</v>
      </c>
      <c r="B82" s="18" t="str">
        <f>"23010318"</f>
        <v>23010318</v>
      </c>
      <c r="C82" s="18" t="str">
        <f>"230102"</f>
        <v>230102</v>
      </c>
      <c r="D82" s="18" t="s">
        <v>58</v>
      </c>
      <c r="E82" s="18" t="str">
        <f>"李丽"</f>
        <v>李丽</v>
      </c>
      <c r="F82" s="18">
        <v>74</v>
      </c>
      <c r="G82" s="18">
        <v>79</v>
      </c>
      <c r="H82" s="18">
        <v>76</v>
      </c>
      <c r="I82" s="18">
        <v>83</v>
      </c>
      <c r="J82" s="18">
        <v>77.1</v>
      </c>
      <c r="K82" s="18" t="s">
        <v>59</v>
      </c>
      <c r="L82" s="18"/>
    </row>
    <row r="83" spans="1:12" ht="30" customHeight="1">
      <c r="A83" s="17">
        <v>81</v>
      </c>
      <c r="B83" s="18" t="str">
        <f>"23010401"</f>
        <v>23010401</v>
      </c>
      <c r="C83" s="18" t="str">
        <f>"230102"</f>
        <v>230102</v>
      </c>
      <c r="D83" s="18" t="s">
        <v>58</v>
      </c>
      <c r="E83" s="18" t="str">
        <f>"余雅妹"</f>
        <v>余雅妹</v>
      </c>
      <c r="F83" s="18">
        <v>81</v>
      </c>
      <c r="G83" s="18">
        <v>71</v>
      </c>
      <c r="H83" s="18">
        <v>77</v>
      </c>
      <c r="I83" s="18">
        <v>82</v>
      </c>
      <c r="J83" s="18">
        <v>76.65</v>
      </c>
      <c r="K83" s="18" t="s">
        <v>59</v>
      </c>
      <c r="L83" s="18"/>
    </row>
    <row r="84" spans="1:12" ht="30" customHeight="1">
      <c r="A84" s="17">
        <v>82</v>
      </c>
      <c r="B84" s="18" t="str">
        <f>"23012214"</f>
        <v>23012214</v>
      </c>
      <c r="C84" s="18" t="str">
        <f>"230104"</f>
        <v>230104</v>
      </c>
      <c r="D84" s="18" t="s">
        <v>60</v>
      </c>
      <c r="E84" s="18" t="str">
        <f>"任青青"</f>
        <v>任青青</v>
      </c>
      <c r="F84" s="18">
        <v>100</v>
      </c>
      <c r="G84" s="18">
        <v>92</v>
      </c>
      <c r="H84" s="18">
        <f aca="true" t="shared" si="7" ref="H84:H92">F84*0.6+G84*0.4</f>
        <v>96.80000000000001</v>
      </c>
      <c r="I84" s="18">
        <v>84.4</v>
      </c>
      <c r="J84" s="18">
        <v>83.28</v>
      </c>
      <c r="K84" s="18" t="s">
        <v>59</v>
      </c>
      <c r="L84" s="18"/>
    </row>
    <row r="85" spans="1:12" ht="30" customHeight="1">
      <c r="A85" s="17">
        <v>83</v>
      </c>
      <c r="B85" s="18" t="str">
        <f>"23012201"</f>
        <v>23012201</v>
      </c>
      <c r="C85" s="18" t="str">
        <f>"230104"</f>
        <v>230104</v>
      </c>
      <c r="D85" s="18" t="s">
        <v>60</v>
      </c>
      <c r="E85" s="18" t="str">
        <f>"韩文洁"</f>
        <v>韩文洁</v>
      </c>
      <c r="F85" s="18">
        <v>94</v>
      </c>
      <c r="G85" s="18">
        <v>63</v>
      </c>
      <c r="H85" s="18">
        <f t="shared" si="7"/>
        <v>81.6</v>
      </c>
      <c r="I85" s="18">
        <v>84.6</v>
      </c>
      <c r="J85" s="18">
        <v>79.61999999999999</v>
      </c>
      <c r="K85" s="18" t="s">
        <v>59</v>
      </c>
      <c r="L85" s="18"/>
    </row>
    <row r="86" spans="1:12" ht="30" customHeight="1">
      <c r="A86" s="17">
        <v>84</v>
      </c>
      <c r="B86" s="18" t="str">
        <f>"23012206"</f>
        <v>23012206</v>
      </c>
      <c r="C86" s="18" t="str">
        <f>"230104"</f>
        <v>230104</v>
      </c>
      <c r="D86" s="18" t="s">
        <v>60</v>
      </c>
      <c r="E86" s="18" t="str">
        <f>"殷逍遥"</f>
        <v>殷逍遥</v>
      </c>
      <c r="F86" s="18">
        <v>111</v>
      </c>
      <c r="G86" s="18">
        <v>69</v>
      </c>
      <c r="H86" s="18">
        <f t="shared" si="7"/>
        <v>94.19999999999999</v>
      </c>
      <c r="I86" s="18">
        <v>78.8</v>
      </c>
      <c r="J86" s="18">
        <v>78.71</v>
      </c>
      <c r="K86" s="18" t="s">
        <v>59</v>
      </c>
      <c r="L86" s="18"/>
    </row>
    <row r="87" spans="1:12" ht="30" customHeight="1">
      <c r="A87" s="17">
        <v>85</v>
      </c>
      <c r="B87" s="18" t="str">
        <f>"23012108"</f>
        <v>23012108</v>
      </c>
      <c r="C87" s="18" t="str">
        <f>"230110"</f>
        <v>230110</v>
      </c>
      <c r="D87" s="18" t="s">
        <v>61</v>
      </c>
      <c r="E87" s="18" t="str">
        <f>"董娜娜"</f>
        <v>董娜娜</v>
      </c>
      <c r="F87" s="18">
        <v>102</v>
      </c>
      <c r="G87" s="18">
        <v>89</v>
      </c>
      <c r="H87" s="18">
        <f t="shared" si="7"/>
        <v>96.8</v>
      </c>
      <c r="I87" s="18">
        <v>84.6</v>
      </c>
      <c r="J87" s="18">
        <v>83.41999999999999</v>
      </c>
      <c r="K87" s="18" t="s">
        <v>59</v>
      </c>
      <c r="L87" s="18"/>
    </row>
    <row r="88" spans="1:12" ht="30" customHeight="1">
      <c r="A88" s="17">
        <v>86</v>
      </c>
      <c r="B88" s="18" t="str">
        <f>"23012030"</f>
        <v>23012030</v>
      </c>
      <c r="C88" s="18" t="str">
        <f>"230110"</f>
        <v>230110</v>
      </c>
      <c r="D88" s="18" t="s">
        <v>61</v>
      </c>
      <c r="E88" s="18" t="str">
        <f>"陈诺"</f>
        <v>陈诺</v>
      </c>
      <c r="F88" s="18">
        <v>96</v>
      </c>
      <c r="G88" s="18">
        <v>102</v>
      </c>
      <c r="H88" s="18">
        <f t="shared" si="7"/>
        <v>98.4</v>
      </c>
      <c r="I88" s="18">
        <v>81.9</v>
      </c>
      <c r="J88" s="18">
        <v>81.93</v>
      </c>
      <c r="K88" s="18" t="s">
        <v>59</v>
      </c>
      <c r="L88" s="18"/>
    </row>
    <row r="89" spans="1:12" ht="30" customHeight="1">
      <c r="A89" s="17">
        <v>87</v>
      </c>
      <c r="B89" s="18" t="str">
        <f>"23012002"</f>
        <v>23012002</v>
      </c>
      <c r="C89" s="18" t="str">
        <f>"230110"</f>
        <v>230110</v>
      </c>
      <c r="D89" s="18" t="s">
        <v>61</v>
      </c>
      <c r="E89" s="18" t="str">
        <f>"南燕娥"</f>
        <v>南燕娥</v>
      </c>
      <c r="F89" s="18">
        <v>96.5</v>
      </c>
      <c r="G89" s="18">
        <v>100</v>
      </c>
      <c r="H89" s="18">
        <f t="shared" si="7"/>
        <v>97.9</v>
      </c>
      <c r="I89" s="18">
        <v>81.9</v>
      </c>
      <c r="J89" s="18">
        <v>81.805</v>
      </c>
      <c r="K89" s="18" t="s">
        <v>59</v>
      </c>
      <c r="L89" s="18"/>
    </row>
    <row r="90" spans="1:12" ht="30" customHeight="1">
      <c r="A90" s="17">
        <v>88</v>
      </c>
      <c r="B90" s="18" t="str">
        <f>"23042301"</f>
        <v>23042301</v>
      </c>
      <c r="C90" s="18" t="str">
        <f>"230206"</f>
        <v>230206</v>
      </c>
      <c r="D90" s="18" t="s">
        <v>53</v>
      </c>
      <c r="E90" s="18" t="str">
        <f>"徐翔宇"</f>
        <v>徐翔宇</v>
      </c>
      <c r="F90" s="18">
        <v>91</v>
      </c>
      <c r="G90" s="18">
        <v>83</v>
      </c>
      <c r="H90" s="18">
        <f t="shared" si="7"/>
        <v>87.80000000000001</v>
      </c>
      <c r="I90" s="18">
        <v>85.6</v>
      </c>
      <c r="J90" s="18">
        <v>81.87</v>
      </c>
      <c r="K90" s="18" t="s">
        <v>62</v>
      </c>
      <c r="L90" s="18"/>
    </row>
    <row r="91" spans="1:12" ht="30" customHeight="1">
      <c r="A91" s="17">
        <v>89</v>
      </c>
      <c r="B91" s="18" t="str">
        <f>"23041704"</f>
        <v>23041704</v>
      </c>
      <c r="C91" s="18" t="str">
        <f>"230206"</f>
        <v>230206</v>
      </c>
      <c r="D91" s="18" t="s">
        <v>53</v>
      </c>
      <c r="E91" s="18" t="str">
        <f>"殷红"</f>
        <v>殷红</v>
      </c>
      <c r="F91" s="18">
        <v>97</v>
      </c>
      <c r="G91" s="18">
        <v>79</v>
      </c>
      <c r="H91" s="18">
        <f t="shared" si="7"/>
        <v>89.8</v>
      </c>
      <c r="I91" s="18">
        <v>84.8</v>
      </c>
      <c r="J91" s="18">
        <v>81.80999999999999</v>
      </c>
      <c r="K91" s="18" t="s">
        <v>62</v>
      </c>
      <c r="L91" s="18"/>
    </row>
    <row r="92" spans="1:12" ht="30" customHeight="1">
      <c r="A92" s="17">
        <v>90</v>
      </c>
      <c r="B92" s="18" t="str">
        <f>"23042220"</f>
        <v>23042220</v>
      </c>
      <c r="C92" s="18" t="str">
        <f>"230206"</f>
        <v>230206</v>
      </c>
      <c r="D92" s="18" t="s">
        <v>53</v>
      </c>
      <c r="E92" s="18" t="str">
        <f>"胡梦迪"</f>
        <v>胡梦迪</v>
      </c>
      <c r="F92" s="18">
        <v>96</v>
      </c>
      <c r="G92" s="18">
        <v>88</v>
      </c>
      <c r="H92" s="18">
        <f t="shared" si="7"/>
        <v>92.8</v>
      </c>
      <c r="I92" s="18">
        <v>83.6</v>
      </c>
      <c r="J92" s="18">
        <v>81.71999999999998</v>
      </c>
      <c r="K92" s="18" t="s">
        <v>62</v>
      </c>
      <c r="L92" s="18"/>
    </row>
    <row r="93" spans="1:12" ht="30" customHeight="1">
      <c r="A93" s="17">
        <v>91</v>
      </c>
      <c r="B93" s="18" t="str">
        <f>"23010430"</f>
        <v>23010430</v>
      </c>
      <c r="C93" s="18" t="str">
        <f>"230103"</f>
        <v>230103</v>
      </c>
      <c r="D93" s="18" t="s">
        <v>63</v>
      </c>
      <c r="E93" s="18" t="str">
        <f>"胡桔艳"</f>
        <v>胡桔艳</v>
      </c>
      <c r="F93" s="18">
        <v>70</v>
      </c>
      <c r="G93" s="18">
        <v>87</v>
      </c>
      <c r="H93" s="18">
        <v>76.8</v>
      </c>
      <c r="I93" s="18">
        <v>83.2</v>
      </c>
      <c r="J93" s="18">
        <v>77.44</v>
      </c>
      <c r="K93" s="18" t="s">
        <v>64</v>
      </c>
      <c r="L93" s="18"/>
    </row>
    <row r="94" spans="1:12" ht="30" customHeight="1">
      <c r="A94" s="17">
        <v>92</v>
      </c>
      <c r="B94" s="18" t="str">
        <f>"23012405"</f>
        <v>23012405</v>
      </c>
      <c r="C94" s="18" t="str">
        <f>"230105"</f>
        <v>230105</v>
      </c>
      <c r="D94" s="18" t="s">
        <v>65</v>
      </c>
      <c r="E94" s="18" t="str">
        <f>"孙宇航"</f>
        <v>孙宇航</v>
      </c>
      <c r="F94" s="18">
        <v>92</v>
      </c>
      <c r="G94" s="18">
        <v>90</v>
      </c>
      <c r="H94" s="18">
        <f aca="true" t="shared" si="8" ref="H94:H99">F94*0.6+G94*0.4</f>
        <v>91.19999999999999</v>
      </c>
      <c r="I94" s="18">
        <v>79.8</v>
      </c>
      <c r="J94" s="18">
        <v>78.66</v>
      </c>
      <c r="K94" s="18" t="s">
        <v>64</v>
      </c>
      <c r="L94" s="18"/>
    </row>
    <row r="95" spans="1:12" ht="30" customHeight="1">
      <c r="A95" s="17">
        <v>93</v>
      </c>
      <c r="B95" s="18" t="str">
        <f>"23012510"</f>
        <v>23012510</v>
      </c>
      <c r="C95" s="18" t="str">
        <f>"230105"</f>
        <v>230105</v>
      </c>
      <c r="D95" s="18" t="s">
        <v>65</v>
      </c>
      <c r="E95" s="18" t="str">
        <f>"孟可桢"</f>
        <v>孟可桢</v>
      </c>
      <c r="F95" s="18">
        <v>94</v>
      </c>
      <c r="G95" s="18">
        <v>102</v>
      </c>
      <c r="H95" s="18">
        <f t="shared" si="8"/>
        <v>97.2</v>
      </c>
      <c r="I95" s="18">
        <v>77.6</v>
      </c>
      <c r="J95" s="18">
        <v>78.61999999999999</v>
      </c>
      <c r="K95" s="18" t="s">
        <v>64</v>
      </c>
      <c r="L95" s="18"/>
    </row>
    <row r="96" spans="1:12" ht="30" customHeight="1">
      <c r="A96" s="17">
        <v>94</v>
      </c>
      <c r="B96" s="18" t="str">
        <f>"23012319"</f>
        <v>23012319</v>
      </c>
      <c r="C96" s="18" t="str">
        <f>"230105"</f>
        <v>230105</v>
      </c>
      <c r="D96" s="18" t="s">
        <v>65</v>
      </c>
      <c r="E96" s="18" t="str">
        <f>"陈园园"</f>
        <v>陈园园</v>
      </c>
      <c r="F96" s="18">
        <v>87</v>
      </c>
      <c r="G96" s="18">
        <v>91</v>
      </c>
      <c r="H96" s="18">
        <f t="shared" si="8"/>
        <v>88.6</v>
      </c>
      <c r="I96" s="18">
        <v>80.6</v>
      </c>
      <c r="J96" s="18">
        <v>78.57</v>
      </c>
      <c r="K96" s="18" t="s">
        <v>64</v>
      </c>
      <c r="L96" s="18"/>
    </row>
    <row r="97" spans="1:12" ht="30" customHeight="1">
      <c r="A97" s="17">
        <v>95</v>
      </c>
      <c r="B97" s="18" t="str">
        <f>"23012024"</f>
        <v>23012024</v>
      </c>
      <c r="C97" s="18" t="str">
        <f>"230110"</f>
        <v>230110</v>
      </c>
      <c r="D97" s="18" t="s">
        <v>61</v>
      </c>
      <c r="E97" s="18" t="str">
        <f>"过雪燕"</f>
        <v>过雪燕</v>
      </c>
      <c r="F97" s="18">
        <v>97.5</v>
      </c>
      <c r="G97" s="18">
        <v>101</v>
      </c>
      <c r="H97" s="18">
        <f t="shared" si="8"/>
        <v>98.9</v>
      </c>
      <c r="I97" s="18">
        <v>81.38</v>
      </c>
      <c r="J97" s="18">
        <v>81.691</v>
      </c>
      <c r="K97" s="18" t="s">
        <v>64</v>
      </c>
      <c r="L97" s="18"/>
    </row>
    <row r="98" spans="1:12" ht="30" customHeight="1">
      <c r="A98" s="17">
        <v>96</v>
      </c>
      <c r="B98" s="18" t="str">
        <f>"23011923"</f>
        <v>23011923</v>
      </c>
      <c r="C98" s="18" t="str">
        <f>"230110"</f>
        <v>230110</v>
      </c>
      <c r="D98" s="18" t="s">
        <v>61</v>
      </c>
      <c r="E98" s="18" t="str">
        <f>"徐奎娟"</f>
        <v>徐奎娟</v>
      </c>
      <c r="F98" s="18">
        <v>110</v>
      </c>
      <c r="G98" s="18">
        <v>90</v>
      </c>
      <c r="H98" s="18">
        <f t="shared" si="8"/>
        <v>102</v>
      </c>
      <c r="I98" s="18">
        <v>79.8</v>
      </c>
      <c r="J98" s="18">
        <v>81.35999999999999</v>
      </c>
      <c r="K98" s="18" t="s">
        <v>64</v>
      </c>
      <c r="L98" s="18"/>
    </row>
    <row r="99" spans="1:12" ht="30" customHeight="1">
      <c r="A99" s="17">
        <v>97</v>
      </c>
      <c r="B99" s="18" t="str">
        <f>"23011813"</f>
        <v>23011813</v>
      </c>
      <c r="C99" s="18" t="str">
        <f>"230110"</f>
        <v>230110</v>
      </c>
      <c r="D99" s="18" t="s">
        <v>61</v>
      </c>
      <c r="E99" s="18" t="str">
        <f>"陈勇"</f>
        <v>陈勇</v>
      </c>
      <c r="F99" s="18">
        <v>106</v>
      </c>
      <c r="G99" s="18">
        <v>106</v>
      </c>
      <c r="H99" s="18">
        <f t="shared" si="8"/>
        <v>106</v>
      </c>
      <c r="I99" s="18">
        <v>78.2</v>
      </c>
      <c r="J99" s="18">
        <v>81.24000000000001</v>
      </c>
      <c r="K99" s="18" t="s">
        <v>64</v>
      </c>
      <c r="L99" s="18"/>
    </row>
    <row r="100" spans="1:12" ht="30" customHeight="1">
      <c r="A100" s="17">
        <v>98</v>
      </c>
      <c r="B100" s="18" t="str">
        <f>"23012822"</f>
        <v>23012822</v>
      </c>
      <c r="C100" s="18" t="str">
        <f>"230111"</f>
        <v>230111</v>
      </c>
      <c r="D100" s="18" t="s">
        <v>34</v>
      </c>
      <c r="E100" s="18" t="str">
        <f>"冯修颖"</f>
        <v>冯修颖</v>
      </c>
      <c r="F100" s="18">
        <v>49</v>
      </c>
      <c r="G100" s="18">
        <v>76</v>
      </c>
      <c r="H100" s="18">
        <f>F100+G100*0.4</f>
        <v>79.4</v>
      </c>
      <c r="I100" s="18">
        <v>85</v>
      </c>
      <c r="J100" s="18">
        <v>79.35</v>
      </c>
      <c r="K100" s="18" t="s">
        <v>64</v>
      </c>
      <c r="L100" s="18"/>
    </row>
    <row r="101" spans="1:12" ht="30" customHeight="1">
      <c r="A101" s="17">
        <v>99</v>
      </c>
      <c r="B101" s="18" t="str">
        <f>"23012806"</f>
        <v>23012806</v>
      </c>
      <c r="C101" s="18" t="str">
        <f>"230111"</f>
        <v>230111</v>
      </c>
      <c r="D101" s="18" t="s">
        <v>34</v>
      </c>
      <c r="E101" s="18" t="str">
        <f>"杨石垒"</f>
        <v>杨石垒</v>
      </c>
      <c r="F101" s="18">
        <v>58</v>
      </c>
      <c r="G101" s="18">
        <v>91</v>
      </c>
      <c r="H101" s="18">
        <f>F101+G101*0.4</f>
        <v>94.4</v>
      </c>
      <c r="I101" s="18">
        <v>79.6</v>
      </c>
      <c r="J101" s="18">
        <v>79.32</v>
      </c>
      <c r="K101" s="18" t="s">
        <v>64</v>
      </c>
      <c r="L101" s="18"/>
    </row>
    <row r="102" spans="1:12" ht="30" customHeight="1">
      <c r="A102" s="17">
        <v>100</v>
      </c>
      <c r="B102" s="18" t="str">
        <f>"23013602"</f>
        <v>23013602</v>
      </c>
      <c r="C102" s="18" t="str">
        <f>"230114"</f>
        <v>230114</v>
      </c>
      <c r="D102" s="18" t="s">
        <v>36</v>
      </c>
      <c r="E102" s="18" t="str">
        <f>"邱越"</f>
        <v>邱越</v>
      </c>
      <c r="F102" s="18">
        <v>78</v>
      </c>
      <c r="G102" s="18">
        <v>77</v>
      </c>
      <c r="H102" s="18">
        <f>F102*0.6+G102*0.4</f>
        <v>77.6</v>
      </c>
      <c r="I102" s="18">
        <v>84.38</v>
      </c>
      <c r="J102" s="18">
        <v>78.466</v>
      </c>
      <c r="K102" s="18" t="s">
        <v>64</v>
      </c>
      <c r="L102" s="18"/>
    </row>
    <row r="103" spans="1:12" ht="30" customHeight="1">
      <c r="A103" s="17">
        <v>101</v>
      </c>
      <c r="B103" s="18" t="str">
        <f>"23012309"</f>
        <v>23012309</v>
      </c>
      <c r="C103" s="18" t="str">
        <f>"230104"</f>
        <v>230104</v>
      </c>
      <c r="D103" s="18" t="s">
        <v>60</v>
      </c>
      <c r="E103" s="18" t="str">
        <f>"于可"</f>
        <v>于可</v>
      </c>
      <c r="F103" s="18">
        <v>76</v>
      </c>
      <c r="G103" s="18">
        <v>88</v>
      </c>
      <c r="H103" s="18">
        <f>F103*0.6+G103*0.4</f>
        <v>80.80000000000001</v>
      </c>
      <c r="I103" s="18">
        <v>83.2</v>
      </c>
      <c r="J103" s="18">
        <v>78.44</v>
      </c>
      <c r="K103" s="18" t="s">
        <v>66</v>
      </c>
      <c r="L103" s="18"/>
    </row>
    <row r="104" spans="1:12" ht="30" customHeight="1">
      <c r="A104" s="17">
        <v>102</v>
      </c>
      <c r="B104" s="18" t="str">
        <f>"23012229"</f>
        <v>23012229</v>
      </c>
      <c r="C104" s="18" t="str">
        <f>"230104"</f>
        <v>230104</v>
      </c>
      <c r="D104" s="18" t="s">
        <v>60</v>
      </c>
      <c r="E104" s="18" t="str">
        <f>"周敏"</f>
        <v>周敏</v>
      </c>
      <c r="F104" s="18">
        <v>73</v>
      </c>
      <c r="G104" s="18">
        <v>85</v>
      </c>
      <c r="H104" s="18">
        <v>77.8</v>
      </c>
      <c r="I104" s="18">
        <v>84</v>
      </c>
      <c r="J104" s="18">
        <v>78.25</v>
      </c>
      <c r="K104" s="18" t="s">
        <v>66</v>
      </c>
      <c r="L104" s="18"/>
    </row>
    <row r="105" spans="1:12" ht="30" customHeight="1">
      <c r="A105" s="17">
        <v>103</v>
      </c>
      <c r="B105" s="18" t="str">
        <f>"23012301"</f>
        <v>23012301</v>
      </c>
      <c r="C105" s="18" t="str">
        <f>"230104"</f>
        <v>230104</v>
      </c>
      <c r="D105" s="18" t="s">
        <v>60</v>
      </c>
      <c r="E105" s="18" t="str">
        <f>"张敏"</f>
        <v>张敏</v>
      </c>
      <c r="F105" s="18">
        <v>104</v>
      </c>
      <c r="G105" s="18">
        <v>89</v>
      </c>
      <c r="H105" s="18">
        <v>98</v>
      </c>
      <c r="I105" s="18">
        <v>75.2</v>
      </c>
      <c r="J105" s="18">
        <v>77.14</v>
      </c>
      <c r="K105" s="18" t="s">
        <v>66</v>
      </c>
      <c r="L105" s="18"/>
    </row>
    <row r="106" spans="1:12" ht="30" customHeight="1">
      <c r="A106" s="17">
        <v>104</v>
      </c>
      <c r="B106" s="18" t="str">
        <f>"23011128"</f>
        <v>23011128</v>
      </c>
      <c r="C106" s="18" t="str">
        <f>"230108"</f>
        <v>230108</v>
      </c>
      <c r="D106" s="18" t="s">
        <v>67</v>
      </c>
      <c r="E106" s="18" t="str">
        <f>"丁珊珊"</f>
        <v>丁珊珊</v>
      </c>
      <c r="F106" s="18">
        <v>105</v>
      </c>
      <c r="G106" s="18">
        <v>105</v>
      </c>
      <c r="H106" s="18">
        <v>105</v>
      </c>
      <c r="I106" s="18">
        <v>78.8</v>
      </c>
      <c r="J106" s="18">
        <v>81.41</v>
      </c>
      <c r="K106" s="18" t="s">
        <v>66</v>
      </c>
      <c r="L106" s="18"/>
    </row>
    <row r="107" spans="1:12" ht="30" customHeight="1">
      <c r="A107" s="17">
        <v>105</v>
      </c>
      <c r="B107" s="18" t="str">
        <f>"23013001"</f>
        <v>23013001</v>
      </c>
      <c r="C107" s="18" t="str">
        <f>"230112"</f>
        <v>230112</v>
      </c>
      <c r="D107" s="18" t="s">
        <v>42</v>
      </c>
      <c r="E107" s="18" t="str">
        <f>"丁新新"</f>
        <v>丁新新</v>
      </c>
      <c r="F107" s="18">
        <v>57</v>
      </c>
      <c r="G107" s="18">
        <v>89</v>
      </c>
      <c r="H107" s="18">
        <v>92.6</v>
      </c>
      <c r="I107" s="18">
        <v>72</v>
      </c>
      <c r="J107" s="18">
        <v>73.55</v>
      </c>
      <c r="K107" s="18" t="s">
        <v>66</v>
      </c>
      <c r="L107" s="18"/>
    </row>
    <row r="108" spans="1:12" ht="30" customHeight="1">
      <c r="A108" s="17">
        <v>106</v>
      </c>
      <c r="B108" s="18" t="str">
        <f>"23012918"</f>
        <v>23012918</v>
      </c>
      <c r="C108" s="18" t="str">
        <f>"230112"</f>
        <v>230112</v>
      </c>
      <c r="D108" s="18" t="s">
        <v>42</v>
      </c>
      <c r="E108" s="18" t="str">
        <f>"赵永强"</f>
        <v>赵永强</v>
      </c>
      <c r="F108" s="18">
        <v>66</v>
      </c>
      <c r="G108" s="18">
        <v>89</v>
      </c>
      <c r="H108" s="18">
        <v>101.6</v>
      </c>
      <c r="I108" s="18">
        <v>67.2</v>
      </c>
      <c r="J108" s="18">
        <v>72.44</v>
      </c>
      <c r="K108" s="18" t="s">
        <v>66</v>
      </c>
      <c r="L108" s="18"/>
    </row>
    <row r="109" spans="1:12" ht="30" customHeight="1">
      <c r="A109" s="17">
        <v>107</v>
      </c>
      <c r="B109" s="18" t="str">
        <f>"23012424"</f>
        <v>23012424</v>
      </c>
      <c r="C109" s="18" t="str">
        <f>"230105"</f>
        <v>230105</v>
      </c>
      <c r="D109" s="18" t="s">
        <v>65</v>
      </c>
      <c r="E109" s="18" t="str">
        <f>"屈志翔"</f>
        <v>屈志翔</v>
      </c>
      <c r="F109" s="18">
        <v>118</v>
      </c>
      <c r="G109" s="18">
        <v>84</v>
      </c>
      <c r="H109" s="18">
        <f aca="true" t="shared" si="9" ref="H109:H123">F109*0.6+G109*0.4</f>
        <v>104.4</v>
      </c>
      <c r="I109" s="18">
        <v>84</v>
      </c>
      <c r="J109" s="18">
        <v>84.9</v>
      </c>
      <c r="K109" s="18" t="s">
        <v>68</v>
      </c>
      <c r="L109" s="18"/>
    </row>
    <row r="110" spans="1:12" ht="30" customHeight="1">
      <c r="A110" s="17">
        <v>108</v>
      </c>
      <c r="B110" s="18" t="str">
        <f>"23041305"</f>
        <v>23041305</v>
      </c>
      <c r="C110" s="18" t="str">
        <f>"230205"</f>
        <v>230205</v>
      </c>
      <c r="D110" s="18" t="s">
        <v>29</v>
      </c>
      <c r="E110" s="18" t="str">
        <f>"殷鑫"</f>
        <v>殷鑫</v>
      </c>
      <c r="F110" s="18">
        <v>86</v>
      </c>
      <c r="G110" s="18">
        <v>90</v>
      </c>
      <c r="H110" s="18">
        <f t="shared" si="9"/>
        <v>87.6</v>
      </c>
      <c r="I110" s="18">
        <v>83.2</v>
      </c>
      <c r="J110" s="18">
        <v>80.13999999999999</v>
      </c>
      <c r="K110" s="18" t="s">
        <v>69</v>
      </c>
      <c r="L110" s="18"/>
    </row>
    <row r="111" spans="1:12" ht="30" customHeight="1">
      <c r="A111" s="17">
        <v>109</v>
      </c>
      <c r="B111" s="18" t="str">
        <f>"23010306"</f>
        <v>23010306</v>
      </c>
      <c r="C111" s="18" t="str">
        <f aca="true" t="shared" si="10" ref="C111:C116">"230102"</f>
        <v>230102</v>
      </c>
      <c r="D111" s="18" t="s">
        <v>58</v>
      </c>
      <c r="E111" s="18" t="str">
        <f>"曹晓兰"</f>
        <v>曹晓兰</v>
      </c>
      <c r="F111" s="18">
        <v>77</v>
      </c>
      <c r="G111" s="18">
        <v>98</v>
      </c>
      <c r="H111" s="18">
        <f t="shared" si="9"/>
        <v>85.4</v>
      </c>
      <c r="I111" s="18">
        <v>85.2</v>
      </c>
      <c r="J111" s="18">
        <v>80.99000000000001</v>
      </c>
      <c r="K111" s="18" t="s">
        <v>70</v>
      </c>
      <c r="L111" s="18"/>
    </row>
    <row r="112" spans="1:12" ht="30" customHeight="1">
      <c r="A112" s="17">
        <v>110</v>
      </c>
      <c r="B112" s="18" t="str">
        <f>"23010330"</f>
        <v>23010330</v>
      </c>
      <c r="C112" s="18" t="str">
        <f t="shared" si="10"/>
        <v>230102</v>
      </c>
      <c r="D112" s="18" t="s">
        <v>58</v>
      </c>
      <c r="E112" s="18" t="str">
        <f>"殷艳琳"</f>
        <v>殷艳琳</v>
      </c>
      <c r="F112" s="18">
        <v>72</v>
      </c>
      <c r="G112" s="18">
        <v>101</v>
      </c>
      <c r="H112" s="18">
        <f t="shared" si="9"/>
        <v>83.6</v>
      </c>
      <c r="I112" s="18">
        <v>84.8</v>
      </c>
      <c r="J112" s="18">
        <v>80.25999999999999</v>
      </c>
      <c r="K112" s="18" t="s">
        <v>70</v>
      </c>
      <c r="L112" s="18"/>
    </row>
    <row r="113" spans="1:12" ht="30" customHeight="1">
      <c r="A113" s="17">
        <v>111</v>
      </c>
      <c r="B113" s="18" t="str">
        <f>"23010323"</f>
        <v>23010323</v>
      </c>
      <c r="C113" s="18" t="str">
        <f t="shared" si="10"/>
        <v>230102</v>
      </c>
      <c r="D113" s="18" t="s">
        <v>58</v>
      </c>
      <c r="E113" s="18" t="str">
        <f>"宋芳丽"</f>
        <v>宋芳丽</v>
      </c>
      <c r="F113" s="18">
        <v>77</v>
      </c>
      <c r="G113" s="18">
        <v>99</v>
      </c>
      <c r="H113" s="18">
        <f t="shared" si="9"/>
        <v>85.8</v>
      </c>
      <c r="I113" s="18">
        <v>82.8</v>
      </c>
      <c r="J113" s="18">
        <v>79.41</v>
      </c>
      <c r="K113" s="18" t="s">
        <v>70</v>
      </c>
      <c r="L113" s="18"/>
    </row>
    <row r="114" spans="1:12" ht="30" customHeight="1">
      <c r="A114" s="17">
        <v>112</v>
      </c>
      <c r="B114" s="18" t="str">
        <f>"23010420"</f>
        <v>23010420</v>
      </c>
      <c r="C114" s="18" t="str">
        <f t="shared" si="10"/>
        <v>230102</v>
      </c>
      <c r="D114" s="18" t="s">
        <v>58</v>
      </c>
      <c r="E114" s="18" t="str">
        <f>"朱星月"</f>
        <v>朱星月</v>
      </c>
      <c r="F114" s="18">
        <v>78</v>
      </c>
      <c r="G114" s="18">
        <v>98</v>
      </c>
      <c r="H114" s="18">
        <f t="shared" si="9"/>
        <v>86</v>
      </c>
      <c r="I114" s="18">
        <v>82</v>
      </c>
      <c r="J114" s="18">
        <v>78.9</v>
      </c>
      <c r="K114" s="18" t="s">
        <v>70</v>
      </c>
      <c r="L114" s="18"/>
    </row>
    <row r="115" spans="1:12" ht="30" customHeight="1">
      <c r="A115" s="17">
        <v>113</v>
      </c>
      <c r="B115" s="18" t="str">
        <f>"23010308"</f>
        <v>23010308</v>
      </c>
      <c r="C115" s="18" t="str">
        <f t="shared" si="10"/>
        <v>230102</v>
      </c>
      <c r="D115" s="18" t="s">
        <v>58</v>
      </c>
      <c r="E115" s="18" t="str">
        <f>"陈敬男"</f>
        <v>陈敬男</v>
      </c>
      <c r="F115" s="18">
        <v>91</v>
      </c>
      <c r="G115" s="18">
        <v>96</v>
      </c>
      <c r="H115" s="18">
        <f t="shared" si="9"/>
        <v>93</v>
      </c>
      <c r="I115" s="18">
        <v>79.2</v>
      </c>
      <c r="J115" s="18">
        <v>78.69</v>
      </c>
      <c r="K115" s="18" t="s">
        <v>70</v>
      </c>
      <c r="L115" s="18"/>
    </row>
    <row r="116" spans="1:12" ht="30" customHeight="1">
      <c r="A116" s="17">
        <v>114</v>
      </c>
      <c r="B116" s="18" t="str">
        <f>"23010417"</f>
        <v>23010417</v>
      </c>
      <c r="C116" s="18" t="str">
        <f t="shared" si="10"/>
        <v>230102</v>
      </c>
      <c r="D116" s="18" t="s">
        <v>58</v>
      </c>
      <c r="E116" s="18" t="str">
        <f>"石畅"</f>
        <v>石畅</v>
      </c>
      <c r="F116" s="18">
        <v>79</v>
      </c>
      <c r="G116" s="18">
        <v>90</v>
      </c>
      <c r="H116" s="18">
        <f t="shared" si="9"/>
        <v>83.4</v>
      </c>
      <c r="I116" s="18">
        <v>82.5</v>
      </c>
      <c r="J116" s="18">
        <v>78.6</v>
      </c>
      <c r="K116" s="18" t="s">
        <v>70</v>
      </c>
      <c r="L116" s="18"/>
    </row>
    <row r="117" spans="1:12" ht="30" customHeight="1">
      <c r="A117" s="17">
        <v>115</v>
      </c>
      <c r="B117" s="18" t="str">
        <f>"23012414"</f>
        <v>23012414</v>
      </c>
      <c r="C117" s="18" t="str">
        <f>"230105"</f>
        <v>230105</v>
      </c>
      <c r="D117" s="18" t="s">
        <v>65</v>
      </c>
      <c r="E117" s="18" t="str">
        <f>"张珍妮"</f>
        <v>张珍妮</v>
      </c>
      <c r="F117" s="18">
        <v>83</v>
      </c>
      <c r="G117" s="18">
        <v>108</v>
      </c>
      <c r="H117" s="18">
        <f t="shared" si="9"/>
        <v>93</v>
      </c>
      <c r="I117" s="18">
        <v>81</v>
      </c>
      <c r="J117" s="18">
        <v>79.94999999999999</v>
      </c>
      <c r="K117" s="18" t="s">
        <v>70</v>
      </c>
      <c r="L117" s="18"/>
    </row>
    <row r="118" spans="1:12" ht="30" customHeight="1">
      <c r="A118" s="17">
        <v>116</v>
      </c>
      <c r="B118" s="18" t="str">
        <f>"23012413"</f>
        <v>23012413</v>
      </c>
      <c r="C118" s="18" t="str">
        <f>"230105"</f>
        <v>230105</v>
      </c>
      <c r="D118" s="18" t="s">
        <v>65</v>
      </c>
      <c r="E118" s="18" t="str">
        <f>"张肖"</f>
        <v>张肖</v>
      </c>
      <c r="F118" s="18">
        <v>116</v>
      </c>
      <c r="G118" s="18">
        <v>82</v>
      </c>
      <c r="H118" s="18">
        <f t="shared" si="9"/>
        <v>102.4</v>
      </c>
      <c r="I118" s="18">
        <v>77.2</v>
      </c>
      <c r="J118" s="18">
        <v>79.64</v>
      </c>
      <c r="K118" s="18" t="s">
        <v>70</v>
      </c>
      <c r="L118" s="18"/>
    </row>
    <row r="119" spans="1:12" ht="30" customHeight="1">
      <c r="A119" s="17">
        <v>117</v>
      </c>
      <c r="B119" s="18" t="str">
        <f>"23012330"</f>
        <v>23012330</v>
      </c>
      <c r="C119" s="18" t="str">
        <f>"230105"</f>
        <v>230105</v>
      </c>
      <c r="D119" s="18" t="s">
        <v>65</v>
      </c>
      <c r="E119" s="18" t="str">
        <f>"赵宏伟"</f>
        <v>赵宏伟</v>
      </c>
      <c r="F119" s="18">
        <v>118</v>
      </c>
      <c r="G119" s="18">
        <v>70</v>
      </c>
      <c r="H119" s="18">
        <f t="shared" si="9"/>
        <v>98.8</v>
      </c>
      <c r="I119" s="18">
        <v>78.4</v>
      </c>
      <c r="J119" s="18">
        <v>79.58</v>
      </c>
      <c r="K119" s="18" t="s">
        <v>70</v>
      </c>
      <c r="L119" s="18"/>
    </row>
    <row r="120" spans="1:12" ht="30" customHeight="1">
      <c r="A120" s="17">
        <v>118</v>
      </c>
      <c r="B120" s="18" t="str">
        <f>"23011112"</f>
        <v>23011112</v>
      </c>
      <c r="C120" s="18" t="str">
        <f>"230108"</f>
        <v>230108</v>
      </c>
      <c r="D120" s="18" t="s">
        <v>67</v>
      </c>
      <c r="E120" s="18" t="str">
        <f>"柳丽萍"</f>
        <v>柳丽萍</v>
      </c>
      <c r="F120" s="18">
        <v>112</v>
      </c>
      <c r="G120" s="18">
        <v>98</v>
      </c>
      <c r="H120" s="18">
        <f t="shared" si="9"/>
        <v>106.4</v>
      </c>
      <c r="I120" s="18">
        <v>87.2</v>
      </c>
      <c r="J120" s="18">
        <v>87.64</v>
      </c>
      <c r="K120" s="18" t="s">
        <v>70</v>
      </c>
      <c r="L120" s="18"/>
    </row>
    <row r="121" spans="1:12" ht="30" customHeight="1">
      <c r="A121" s="17">
        <v>119</v>
      </c>
      <c r="B121" s="18" t="str">
        <f>"23011211"</f>
        <v>23011211</v>
      </c>
      <c r="C121" s="18" t="str">
        <f>"230108"</f>
        <v>230108</v>
      </c>
      <c r="D121" s="18" t="s">
        <v>67</v>
      </c>
      <c r="E121" s="18" t="str">
        <f>"周静娴"</f>
        <v>周静娴</v>
      </c>
      <c r="F121" s="18">
        <v>104</v>
      </c>
      <c r="G121" s="18">
        <v>87</v>
      </c>
      <c r="H121" s="18">
        <f t="shared" si="9"/>
        <v>97.2</v>
      </c>
      <c r="I121" s="18">
        <v>87</v>
      </c>
      <c r="J121" s="18">
        <v>85.2</v>
      </c>
      <c r="K121" s="18" t="s">
        <v>70</v>
      </c>
      <c r="L121" s="18"/>
    </row>
    <row r="122" spans="1:12" ht="30" customHeight="1">
      <c r="A122" s="17">
        <v>120</v>
      </c>
      <c r="B122" s="18" t="str">
        <f>"23011124"</f>
        <v>23011124</v>
      </c>
      <c r="C122" s="18" t="str">
        <f>"230108"</f>
        <v>230108</v>
      </c>
      <c r="D122" s="18" t="s">
        <v>67</v>
      </c>
      <c r="E122" s="18" t="str">
        <f>"邹丽"</f>
        <v>邹丽</v>
      </c>
      <c r="F122" s="18">
        <v>105</v>
      </c>
      <c r="G122" s="18">
        <v>100</v>
      </c>
      <c r="H122" s="18">
        <f t="shared" si="9"/>
        <v>103</v>
      </c>
      <c r="I122" s="18">
        <v>83.8</v>
      </c>
      <c r="J122" s="18">
        <v>84.41</v>
      </c>
      <c r="K122" s="18" t="s">
        <v>70</v>
      </c>
      <c r="L122" s="18"/>
    </row>
    <row r="123" spans="1:12" ht="30" customHeight="1">
      <c r="A123" s="17">
        <v>121</v>
      </c>
      <c r="B123" s="18" t="str">
        <f>"23011414"</f>
        <v>23011414</v>
      </c>
      <c r="C123" s="18" t="str">
        <f>"230108"</f>
        <v>230108</v>
      </c>
      <c r="D123" s="18" t="s">
        <v>67</v>
      </c>
      <c r="E123" s="18" t="str">
        <f>"李雅林"</f>
        <v>李雅林</v>
      </c>
      <c r="F123" s="18">
        <v>101</v>
      </c>
      <c r="G123" s="18">
        <v>97</v>
      </c>
      <c r="H123" s="18">
        <f t="shared" si="9"/>
        <v>99.4</v>
      </c>
      <c r="I123" s="18">
        <v>84.4</v>
      </c>
      <c r="J123" s="18">
        <v>83.93</v>
      </c>
      <c r="K123" s="18" t="s">
        <v>70</v>
      </c>
      <c r="L123" s="18"/>
    </row>
    <row r="124" spans="1:12" ht="30" customHeight="1">
      <c r="A124" s="17">
        <v>122</v>
      </c>
      <c r="B124" s="18" t="str">
        <f>"23012826"</f>
        <v>23012826</v>
      </c>
      <c r="C124" s="18" t="str">
        <f>"230111"</f>
        <v>230111</v>
      </c>
      <c r="D124" s="18" t="s">
        <v>34</v>
      </c>
      <c r="E124" s="18" t="str">
        <f>"孔兵"</f>
        <v>孔兵</v>
      </c>
      <c r="F124" s="18">
        <v>54</v>
      </c>
      <c r="G124" s="18">
        <v>88</v>
      </c>
      <c r="H124" s="18">
        <f>F124+G124*0.4</f>
        <v>89.2</v>
      </c>
      <c r="I124" s="18">
        <v>85.6</v>
      </c>
      <c r="J124" s="18">
        <v>82.22</v>
      </c>
      <c r="K124" s="18" t="s">
        <v>70</v>
      </c>
      <c r="L124" s="18"/>
    </row>
    <row r="125" spans="1:12" ht="30" customHeight="1">
      <c r="A125" s="17">
        <v>123</v>
      </c>
      <c r="B125" s="18" t="str">
        <f>"23012825"</f>
        <v>23012825</v>
      </c>
      <c r="C125" s="18" t="str">
        <f>"230111"</f>
        <v>230111</v>
      </c>
      <c r="D125" s="18" t="s">
        <v>34</v>
      </c>
      <c r="E125" s="18" t="str">
        <f>"朱子杰"</f>
        <v>朱子杰</v>
      </c>
      <c r="F125" s="18">
        <v>46</v>
      </c>
      <c r="G125" s="18">
        <v>84</v>
      </c>
      <c r="H125" s="18">
        <f>F125+G125*0.4</f>
        <v>79.6</v>
      </c>
      <c r="I125" s="18">
        <v>86.4</v>
      </c>
      <c r="J125" s="18">
        <v>80.38</v>
      </c>
      <c r="K125" s="18" t="s">
        <v>70</v>
      </c>
      <c r="L125" s="18"/>
    </row>
    <row r="126" spans="1:12" ht="30" customHeight="1">
      <c r="A126" s="17">
        <v>124</v>
      </c>
      <c r="B126" s="18" t="str">
        <f>"23010709"</f>
        <v>23010709</v>
      </c>
      <c r="C126" s="18" t="str">
        <f>"230113"</f>
        <v>230113</v>
      </c>
      <c r="D126" s="18" t="s">
        <v>35</v>
      </c>
      <c r="E126" s="18" t="str">
        <f>"江艳"</f>
        <v>江艳</v>
      </c>
      <c r="F126" s="18">
        <v>98</v>
      </c>
      <c r="G126" s="18">
        <v>74</v>
      </c>
      <c r="H126" s="18">
        <f>F126*0.6+G126*0.4</f>
        <v>88.4</v>
      </c>
      <c r="I126" s="18">
        <v>80.4</v>
      </c>
      <c r="J126" s="18">
        <v>78.38</v>
      </c>
      <c r="K126" s="18" t="s">
        <v>70</v>
      </c>
      <c r="L126" s="18"/>
    </row>
    <row r="127" spans="1:12" ht="30" customHeight="1">
      <c r="A127" s="17">
        <v>125</v>
      </c>
      <c r="B127" s="18" t="str">
        <f>"23010727"</f>
        <v>23010727</v>
      </c>
      <c r="C127" s="18" t="str">
        <f>"230113"</f>
        <v>230113</v>
      </c>
      <c r="D127" s="18" t="s">
        <v>35</v>
      </c>
      <c r="E127" s="18" t="str">
        <f>"钱悦辰"</f>
        <v>钱悦辰</v>
      </c>
      <c r="F127" s="18">
        <v>90</v>
      </c>
      <c r="G127" s="18">
        <v>79</v>
      </c>
      <c r="H127" s="18">
        <f>F127*0.6+G127*0.4</f>
        <v>85.6</v>
      </c>
      <c r="I127" s="18">
        <v>80.2</v>
      </c>
      <c r="J127" s="18">
        <v>77.53999999999999</v>
      </c>
      <c r="K127" s="18" t="s">
        <v>70</v>
      </c>
      <c r="L127" s="18"/>
    </row>
    <row r="128" spans="1:12" ht="30" customHeight="1">
      <c r="A128" s="17">
        <v>126</v>
      </c>
      <c r="B128" s="18" t="str">
        <f>"23010706"</f>
        <v>23010706</v>
      </c>
      <c r="C128" s="18" t="str">
        <f>"230113"</f>
        <v>230113</v>
      </c>
      <c r="D128" s="18" t="s">
        <v>35</v>
      </c>
      <c r="E128" s="18" t="str">
        <f>"辛昌勋"</f>
        <v>辛昌勋</v>
      </c>
      <c r="F128" s="18">
        <v>92</v>
      </c>
      <c r="G128" s="18">
        <v>99</v>
      </c>
      <c r="H128" s="18">
        <f>F128*0.6+G128*0.4</f>
        <v>94.8</v>
      </c>
      <c r="I128" s="18">
        <v>74.4</v>
      </c>
      <c r="J128" s="18">
        <v>75.78</v>
      </c>
      <c r="K128" s="18" t="s">
        <v>70</v>
      </c>
      <c r="L128" s="18"/>
    </row>
    <row r="129" spans="1:12" ht="30" customHeight="1">
      <c r="A129" s="17">
        <v>127</v>
      </c>
      <c r="B129" s="18" t="str">
        <f>"23010718"</f>
        <v>23010718</v>
      </c>
      <c r="C129" s="18" t="str">
        <f>"230113"</f>
        <v>230113</v>
      </c>
      <c r="D129" s="18" t="s">
        <v>35</v>
      </c>
      <c r="E129" s="18" t="str">
        <f>"王宇雁"</f>
        <v>王宇雁</v>
      </c>
      <c r="F129" s="18">
        <v>83</v>
      </c>
      <c r="G129" s="18">
        <v>81</v>
      </c>
      <c r="H129" s="18">
        <f>F129*0.6+G129*0.4</f>
        <v>82.19999999999999</v>
      </c>
      <c r="I129" s="18">
        <v>78.6</v>
      </c>
      <c r="J129" s="18">
        <v>75.57</v>
      </c>
      <c r="K129" s="18" t="s">
        <v>70</v>
      </c>
      <c r="L129" s="18"/>
    </row>
    <row r="130" spans="1:12" ht="30" customHeight="1">
      <c r="A130" s="17">
        <v>128</v>
      </c>
      <c r="B130" s="18" t="str">
        <f>"23010726"</f>
        <v>23010726</v>
      </c>
      <c r="C130" s="18" t="str">
        <f>"230113"</f>
        <v>230113</v>
      </c>
      <c r="D130" s="18" t="s">
        <v>35</v>
      </c>
      <c r="E130" s="18" t="str">
        <f>"袁晓羽"</f>
        <v>袁晓羽</v>
      </c>
      <c r="F130" s="18">
        <v>83</v>
      </c>
      <c r="G130" s="18">
        <v>85</v>
      </c>
      <c r="H130" s="18">
        <f>F130*0.6+G130*0.4</f>
        <v>83.8</v>
      </c>
      <c r="I130" s="18">
        <v>77.4</v>
      </c>
      <c r="J130" s="18">
        <v>75.13</v>
      </c>
      <c r="K130" s="18" t="s">
        <v>70</v>
      </c>
      <c r="L130" s="18"/>
    </row>
    <row r="131" spans="1:12" ht="30" customHeight="1">
      <c r="A131" s="17">
        <v>129</v>
      </c>
      <c r="B131" s="18" t="s">
        <v>71</v>
      </c>
      <c r="C131" s="18" t="s">
        <v>72</v>
      </c>
      <c r="D131" s="18" t="s">
        <v>35</v>
      </c>
      <c r="E131" s="18" t="s">
        <v>73</v>
      </c>
      <c r="F131" s="18">
        <v>89</v>
      </c>
      <c r="G131" s="18">
        <v>86</v>
      </c>
      <c r="H131" s="18">
        <v>87.8</v>
      </c>
      <c r="I131" s="18">
        <v>74.8</v>
      </c>
      <c r="J131" s="18">
        <v>74.31</v>
      </c>
      <c r="K131" s="18" t="s">
        <v>70</v>
      </c>
      <c r="L131" s="18"/>
    </row>
    <row r="132" spans="1:12" ht="30" customHeight="1">
      <c r="A132" s="17">
        <v>130</v>
      </c>
      <c r="B132" s="18" t="s">
        <v>74</v>
      </c>
      <c r="C132" s="18" t="s">
        <v>72</v>
      </c>
      <c r="D132" s="18" t="s">
        <v>35</v>
      </c>
      <c r="E132" s="18" t="s">
        <v>75</v>
      </c>
      <c r="F132" s="18">
        <v>92</v>
      </c>
      <c r="G132" s="18">
        <v>68</v>
      </c>
      <c r="H132" s="18">
        <v>82.4</v>
      </c>
      <c r="I132" s="18">
        <v>75.6</v>
      </c>
      <c r="J132" s="18">
        <v>73.52</v>
      </c>
      <c r="K132" s="18" t="s">
        <v>70</v>
      </c>
      <c r="L132" s="18"/>
    </row>
    <row r="133" spans="1:12" ht="30" customHeight="1">
      <c r="A133" s="17">
        <v>131</v>
      </c>
      <c r="B133" s="18" t="str">
        <f>"23013514"</f>
        <v>23013514</v>
      </c>
      <c r="C133" s="18" t="str">
        <f>"230114"</f>
        <v>230114</v>
      </c>
      <c r="D133" s="18" t="s">
        <v>36</v>
      </c>
      <c r="E133" s="18" t="str">
        <f>"吕永林"</f>
        <v>吕永林</v>
      </c>
      <c r="F133" s="18">
        <v>89</v>
      </c>
      <c r="G133" s="18">
        <v>85</v>
      </c>
      <c r="H133" s="18">
        <f>F133*0.6+G133*0.4</f>
        <v>87.4</v>
      </c>
      <c r="I133" s="18">
        <v>84.44</v>
      </c>
      <c r="J133" s="18">
        <v>80.958</v>
      </c>
      <c r="K133" s="18" t="s">
        <v>70</v>
      </c>
      <c r="L133" s="18"/>
    </row>
    <row r="134" spans="1:12" ht="30" customHeight="1">
      <c r="A134" s="17">
        <v>132</v>
      </c>
      <c r="B134" s="18" t="str">
        <f>"23013607"</f>
        <v>23013607</v>
      </c>
      <c r="C134" s="18" t="str">
        <f>"230114"</f>
        <v>230114</v>
      </c>
      <c r="D134" s="18" t="s">
        <v>36</v>
      </c>
      <c r="E134" s="18" t="str">
        <f>"徐沛文"</f>
        <v>徐沛文</v>
      </c>
      <c r="F134" s="18">
        <v>91</v>
      </c>
      <c r="G134" s="18">
        <v>94</v>
      </c>
      <c r="H134" s="18">
        <f>F134*0.6+G134*0.4</f>
        <v>92.2</v>
      </c>
      <c r="I134" s="18">
        <v>82.28</v>
      </c>
      <c r="J134" s="18">
        <v>80.646</v>
      </c>
      <c r="K134" s="18" t="s">
        <v>70</v>
      </c>
      <c r="L134" s="18"/>
    </row>
    <row r="135" spans="1:12" ht="30" customHeight="1">
      <c r="A135" s="17">
        <v>133</v>
      </c>
      <c r="B135" s="18" t="str">
        <f>"23013530"</f>
        <v>23013530</v>
      </c>
      <c r="C135" s="18" t="str">
        <f>"230114"</f>
        <v>230114</v>
      </c>
      <c r="D135" s="18" t="s">
        <v>36</v>
      </c>
      <c r="E135" s="18" t="str">
        <f>"朱晓文"</f>
        <v>朱晓文</v>
      </c>
      <c r="F135" s="18">
        <v>84</v>
      </c>
      <c r="G135" s="18">
        <v>91</v>
      </c>
      <c r="H135" s="18">
        <f>F135*0.6+G135*0.4</f>
        <v>86.8</v>
      </c>
      <c r="I135" s="18">
        <v>83.04</v>
      </c>
      <c r="J135" s="18">
        <v>79.828</v>
      </c>
      <c r="K135" s="18" t="s">
        <v>70</v>
      </c>
      <c r="L135" s="18"/>
    </row>
    <row r="136" spans="1:12" ht="30" customHeight="1">
      <c r="A136" s="17">
        <v>134</v>
      </c>
      <c r="B136" s="18" t="str">
        <f>"23013604"</f>
        <v>23013604</v>
      </c>
      <c r="C136" s="18" t="str">
        <f>"230114"</f>
        <v>230114</v>
      </c>
      <c r="D136" s="18" t="s">
        <v>36</v>
      </c>
      <c r="E136" s="18" t="str">
        <f>"徐顶"</f>
        <v>徐顶</v>
      </c>
      <c r="F136" s="18">
        <v>100</v>
      </c>
      <c r="G136" s="18">
        <v>89</v>
      </c>
      <c r="H136" s="18">
        <f>F136*0.6+G136*0.4</f>
        <v>95.6</v>
      </c>
      <c r="I136" s="18">
        <v>78.66</v>
      </c>
      <c r="J136" s="18">
        <v>78.962</v>
      </c>
      <c r="K136" s="18" t="s">
        <v>70</v>
      </c>
      <c r="L136" s="18"/>
    </row>
    <row r="137" spans="1:12" ht="30" customHeight="1">
      <c r="A137" s="17">
        <v>135</v>
      </c>
      <c r="B137" s="18" t="s">
        <v>76</v>
      </c>
      <c r="C137" s="18" t="s">
        <v>77</v>
      </c>
      <c r="D137" s="18" t="s">
        <v>78</v>
      </c>
      <c r="E137" s="18" t="s">
        <v>79</v>
      </c>
      <c r="F137" s="18">
        <v>107</v>
      </c>
      <c r="G137" s="18">
        <v>93</v>
      </c>
      <c r="H137" s="18">
        <v>101.4</v>
      </c>
      <c r="I137" s="18">
        <v>82.7</v>
      </c>
      <c r="J137" s="18">
        <v>83.24</v>
      </c>
      <c r="K137" s="18" t="s">
        <v>70</v>
      </c>
      <c r="L137" s="18"/>
    </row>
    <row r="138" spans="1:12" ht="30" customHeight="1">
      <c r="A138" s="17">
        <v>136</v>
      </c>
      <c r="B138" s="18" t="str">
        <f>"23013425"</f>
        <v>23013425</v>
      </c>
      <c r="C138" s="18" t="str">
        <f>"230117"</f>
        <v>230117</v>
      </c>
      <c r="D138" s="18" t="s">
        <v>39</v>
      </c>
      <c r="E138" s="18" t="str">
        <f>"刘静姝"</f>
        <v>刘静姝</v>
      </c>
      <c r="F138" s="18">
        <v>88</v>
      </c>
      <c r="G138" s="18">
        <v>96</v>
      </c>
      <c r="H138" s="18">
        <f>F138*1.2*0.6+G138*0.4</f>
        <v>101.75999999999999</v>
      </c>
      <c r="I138" s="18">
        <v>80.4</v>
      </c>
      <c r="J138" s="18">
        <v>81.72</v>
      </c>
      <c r="K138" s="18" t="s">
        <v>70</v>
      </c>
      <c r="L138" s="18"/>
    </row>
    <row r="139" spans="1:12" ht="30" customHeight="1">
      <c r="A139" s="17">
        <v>137</v>
      </c>
      <c r="B139" s="18" t="str">
        <f>"23013424"</f>
        <v>23013424</v>
      </c>
      <c r="C139" s="18" t="str">
        <f>"230117"</f>
        <v>230117</v>
      </c>
      <c r="D139" s="18" t="s">
        <v>39</v>
      </c>
      <c r="E139" s="18" t="str">
        <f>"周倩"</f>
        <v>周倩</v>
      </c>
      <c r="F139" s="18">
        <v>79</v>
      </c>
      <c r="G139" s="18">
        <v>84</v>
      </c>
      <c r="H139" s="18">
        <f>F139*1.2*0.6+G139*0.4</f>
        <v>90.47999999999999</v>
      </c>
      <c r="I139" s="18">
        <v>84</v>
      </c>
      <c r="J139" s="18">
        <v>81.41999999999999</v>
      </c>
      <c r="K139" s="18" t="s">
        <v>70</v>
      </c>
      <c r="L139" s="18"/>
    </row>
    <row r="140" spans="1:12" ht="30" customHeight="1">
      <c r="A140" s="17">
        <v>138</v>
      </c>
      <c r="B140" s="18" t="str">
        <f>"23013409"</f>
        <v>23013409</v>
      </c>
      <c r="C140" s="18" t="str">
        <f>"230117"</f>
        <v>230117</v>
      </c>
      <c r="D140" s="18" t="s">
        <v>39</v>
      </c>
      <c r="E140" s="18" t="str">
        <f>"郝媛媛"</f>
        <v>郝媛媛</v>
      </c>
      <c r="F140" s="18">
        <v>84</v>
      </c>
      <c r="G140" s="18">
        <v>105</v>
      </c>
      <c r="H140" s="18">
        <f>F140*1.2*0.6+G140*0.4</f>
        <v>102.47999999999999</v>
      </c>
      <c r="I140" s="18">
        <v>78.4</v>
      </c>
      <c r="J140" s="18">
        <v>80.5</v>
      </c>
      <c r="K140" s="18" t="s">
        <v>70</v>
      </c>
      <c r="L140" s="18"/>
    </row>
    <row r="141" spans="1:12" ht="30" customHeight="1">
      <c r="A141" s="17">
        <v>139</v>
      </c>
      <c r="B141" s="18" t="str">
        <f>"23013126"</f>
        <v>23013126</v>
      </c>
      <c r="C141" s="18" t="str">
        <f>"230118"</f>
        <v>230118</v>
      </c>
      <c r="D141" s="18" t="s">
        <v>80</v>
      </c>
      <c r="E141" s="18" t="str">
        <f>"王翰"</f>
        <v>王翰</v>
      </c>
      <c r="F141" s="18">
        <v>87</v>
      </c>
      <c r="G141" s="18">
        <v>109</v>
      </c>
      <c r="H141" s="18">
        <f>F141*0.6+G141*0.4</f>
        <v>95.8</v>
      </c>
      <c r="I141" s="18">
        <v>82.32</v>
      </c>
      <c r="J141" s="18">
        <v>81.57399999999998</v>
      </c>
      <c r="K141" s="18" t="s">
        <v>70</v>
      </c>
      <c r="L141" s="18"/>
    </row>
    <row r="142" spans="1:12" ht="30" customHeight="1">
      <c r="A142" s="17">
        <v>140</v>
      </c>
      <c r="B142" s="18" t="s">
        <v>81</v>
      </c>
      <c r="C142" s="18" t="s">
        <v>82</v>
      </c>
      <c r="D142" s="18" t="s">
        <v>80</v>
      </c>
      <c r="E142" s="18" t="s">
        <v>83</v>
      </c>
      <c r="F142" s="18">
        <v>88</v>
      </c>
      <c r="G142" s="18">
        <v>81</v>
      </c>
      <c r="H142" s="18">
        <v>85.2</v>
      </c>
      <c r="I142" s="18">
        <v>84.2</v>
      </c>
      <c r="J142" s="18">
        <v>80.24</v>
      </c>
      <c r="K142" s="18" t="s">
        <v>70</v>
      </c>
      <c r="L142" s="18"/>
    </row>
    <row r="143" spans="1:12" ht="30" customHeight="1">
      <c r="A143" s="17">
        <v>141</v>
      </c>
      <c r="B143" s="18" t="str">
        <f>"23013704"</f>
        <v>23013704</v>
      </c>
      <c r="C143" s="18" t="str">
        <f>"230119"</f>
        <v>230119</v>
      </c>
      <c r="D143" s="18" t="s">
        <v>41</v>
      </c>
      <c r="E143" s="18" t="str">
        <f>"邹航"</f>
        <v>邹航</v>
      </c>
      <c r="F143" s="18">
        <v>95</v>
      </c>
      <c r="G143" s="18">
        <v>83</v>
      </c>
      <c r="H143" s="18">
        <f aca="true" t="shared" si="11" ref="H143:H206">F143*0.6+G143*0.4</f>
        <v>90.2</v>
      </c>
      <c r="I143" s="18">
        <v>87.6</v>
      </c>
      <c r="J143" s="18">
        <v>83.86999999999999</v>
      </c>
      <c r="K143" s="18" t="s">
        <v>70</v>
      </c>
      <c r="L143" s="18"/>
    </row>
    <row r="144" spans="1:12" ht="30" customHeight="1">
      <c r="A144" s="17">
        <v>142</v>
      </c>
      <c r="B144" s="18" t="str">
        <f>"23013717"</f>
        <v>23013717</v>
      </c>
      <c r="C144" s="18" t="str">
        <f>"230119"</f>
        <v>230119</v>
      </c>
      <c r="D144" s="18" t="s">
        <v>41</v>
      </c>
      <c r="E144" s="18" t="str">
        <f>"刘宇千"</f>
        <v>刘宇千</v>
      </c>
      <c r="F144" s="18">
        <v>90</v>
      </c>
      <c r="G144" s="18">
        <v>94</v>
      </c>
      <c r="H144" s="18">
        <f t="shared" si="11"/>
        <v>91.6</v>
      </c>
      <c r="I144" s="18">
        <v>86.4</v>
      </c>
      <c r="J144" s="18">
        <v>83.38</v>
      </c>
      <c r="K144" s="18" t="s">
        <v>70</v>
      </c>
      <c r="L144" s="18"/>
    </row>
    <row r="145" spans="1:12" ht="30" customHeight="1">
      <c r="A145" s="17">
        <v>143</v>
      </c>
      <c r="B145" s="18" t="str">
        <f>"23014005"</f>
        <v>23014005</v>
      </c>
      <c r="C145" s="18" t="str">
        <f>"230119"</f>
        <v>230119</v>
      </c>
      <c r="D145" s="18" t="s">
        <v>41</v>
      </c>
      <c r="E145" s="18" t="str">
        <f>"梅秀萍"</f>
        <v>梅秀萍</v>
      </c>
      <c r="F145" s="18">
        <v>91.5</v>
      </c>
      <c r="G145" s="18">
        <v>99</v>
      </c>
      <c r="H145" s="18">
        <f t="shared" si="11"/>
        <v>94.5</v>
      </c>
      <c r="I145" s="18">
        <v>85.3</v>
      </c>
      <c r="J145" s="18">
        <v>83.335</v>
      </c>
      <c r="K145" s="18" t="s">
        <v>70</v>
      </c>
      <c r="L145" s="18"/>
    </row>
    <row r="146" spans="1:12" ht="30" customHeight="1">
      <c r="A146" s="17">
        <v>144</v>
      </c>
      <c r="B146" s="18" t="str">
        <f>"23013729"</f>
        <v>23013729</v>
      </c>
      <c r="C146" s="18" t="str">
        <f>"230119"</f>
        <v>230119</v>
      </c>
      <c r="D146" s="18" t="s">
        <v>41</v>
      </c>
      <c r="E146" s="18" t="str">
        <f>"年腾腾"</f>
        <v>年腾腾</v>
      </c>
      <c r="F146" s="18">
        <v>85</v>
      </c>
      <c r="G146" s="18">
        <v>103</v>
      </c>
      <c r="H146" s="18">
        <f t="shared" si="11"/>
        <v>92.2</v>
      </c>
      <c r="I146" s="18">
        <v>83</v>
      </c>
      <c r="J146" s="18">
        <v>81.14999999999999</v>
      </c>
      <c r="K146" s="18" t="s">
        <v>70</v>
      </c>
      <c r="L146" s="18"/>
    </row>
    <row r="147" spans="1:12" ht="30" customHeight="1">
      <c r="A147" s="17">
        <v>145</v>
      </c>
      <c r="B147" s="18" t="str">
        <f>"23013620"</f>
        <v>23013620</v>
      </c>
      <c r="C147" s="18" t="str">
        <f>"230121"</f>
        <v>230121</v>
      </c>
      <c r="D147" s="18" t="s">
        <v>84</v>
      </c>
      <c r="E147" s="18" t="str">
        <f>"司旭"</f>
        <v>司旭</v>
      </c>
      <c r="F147" s="18">
        <v>80</v>
      </c>
      <c r="G147" s="18">
        <v>94</v>
      </c>
      <c r="H147" s="18">
        <f t="shared" si="11"/>
        <v>85.6</v>
      </c>
      <c r="I147" s="18">
        <v>84.42</v>
      </c>
      <c r="J147" s="18">
        <v>80.494</v>
      </c>
      <c r="K147" s="18" t="s">
        <v>70</v>
      </c>
      <c r="L147" s="18"/>
    </row>
    <row r="148" spans="1:12" ht="30" customHeight="1">
      <c r="A148" s="17">
        <v>146</v>
      </c>
      <c r="B148" s="18" t="str">
        <f>"23013608"</f>
        <v>23013608</v>
      </c>
      <c r="C148" s="18" t="str">
        <f>"230121"</f>
        <v>230121</v>
      </c>
      <c r="D148" s="18" t="s">
        <v>84</v>
      </c>
      <c r="E148" s="18" t="str">
        <f>"康琳杰"</f>
        <v>康琳杰</v>
      </c>
      <c r="F148" s="18">
        <v>83</v>
      </c>
      <c r="G148" s="18">
        <v>86</v>
      </c>
      <c r="H148" s="18">
        <f t="shared" si="11"/>
        <v>84.19999999999999</v>
      </c>
      <c r="I148" s="18">
        <v>84.86</v>
      </c>
      <c r="J148" s="18">
        <v>80.452</v>
      </c>
      <c r="K148" s="18" t="s">
        <v>70</v>
      </c>
      <c r="L148" s="18"/>
    </row>
    <row r="149" spans="1:12" ht="30" customHeight="1">
      <c r="A149" s="17">
        <v>147</v>
      </c>
      <c r="B149" s="18" t="str">
        <f>"23031114"</f>
        <v>23031114</v>
      </c>
      <c r="C149" s="18" t="str">
        <f aca="true" t="shared" si="12" ref="C149:C160">"230201"</f>
        <v>230201</v>
      </c>
      <c r="D149" s="18" t="s">
        <v>85</v>
      </c>
      <c r="E149" s="18" t="str">
        <f>"施娟娟"</f>
        <v>施娟娟</v>
      </c>
      <c r="F149" s="18">
        <v>103</v>
      </c>
      <c r="G149" s="18">
        <v>97.5</v>
      </c>
      <c r="H149" s="18">
        <f t="shared" si="11"/>
        <v>100.8</v>
      </c>
      <c r="I149" s="18">
        <v>85.4</v>
      </c>
      <c r="J149" s="18">
        <v>84.98</v>
      </c>
      <c r="K149" s="18" t="s">
        <v>86</v>
      </c>
      <c r="L149" s="18"/>
    </row>
    <row r="150" spans="1:12" ht="30" customHeight="1">
      <c r="A150" s="17">
        <v>148</v>
      </c>
      <c r="B150" s="18" t="str">
        <f>"23031208"</f>
        <v>23031208</v>
      </c>
      <c r="C150" s="18" t="str">
        <f t="shared" si="12"/>
        <v>230201</v>
      </c>
      <c r="D150" s="18" t="s">
        <v>85</v>
      </c>
      <c r="E150" s="18" t="str">
        <f>"张婷婷"</f>
        <v>张婷婷</v>
      </c>
      <c r="F150" s="18">
        <v>103</v>
      </c>
      <c r="G150" s="18">
        <v>95</v>
      </c>
      <c r="H150" s="18">
        <f t="shared" si="11"/>
        <v>99.8</v>
      </c>
      <c r="I150" s="18">
        <v>84.8</v>
      </c>
      <c r="J150" s="18">
        <v>84.30999999999999</v>
      </c>
      <c r="K150" s="18" t="s">
        <v>86</v>
      </c>
      <c r="L150" s="18"/>
    </row>
    <row r="151" spans="1:12" ht="30" customHeight="1">
      <c r="A151" s="17">
        <v>149</v>
      </c>
      <c r="B151" s="18" t="str">
        <f>"23030830"</f>
        <v>23030830</v>
      </c>
      <c r="C151" s="18" t="str">
        <f t="shared" si="12"/>
        <v>230201</v>
      </c>
      <c r="D151" s="18" t="s">
        <v>85</v>
      </c>
      <c r="E151" s="18" t="str">
        <f>"朱珊珊"</f>
        <v>朱珊珊</v>
      </c>
      <c r="F151" s="18">
        <v>103</v>
      </c>
      <c r="G151" s="18">
        <v>90</v>
      </c>
      <c r="H151" s="18">
        <f t="shared" si="11"/>
        <v>97.8</v>
      </c>
      <c r="I151" s="18">
        <v>85.4</v>
      </c>
      <c r="J151" s="18">
        <v>84.23</v>
      </c>
      <c r="K151" s="18" t="s">
        <v>86</v>
      </c>
      <c r="L151" s="18"/>
    </row>
    <row r="152" spans="1:12" ht="30" customHeight="1">
      <c r="A152" s="17">
        <v>150</v>
      </c>
      <c r="B152" s="18" t="str">
        <f>"23031412"</f>
        <v>23031412</v>
      </c>
      <c r="C152" s="18" t="str">
        <f t="shared" si="12"/>
        <v>230201</v>
      </c>
      <c r="D152" s="18" t="s">
        <v>85</v>
      </c>
      <c r="E152" s="18" t="str">
        <f>"马新新"</f>
        <v>马新新</v>
      </c>
      <c r="F152" s="18">
        <v>95</v>
      </c>
      <c r="G152" s="18">
        <v>99</v>
      </c>
      <c r="H152" s="18">
        <f t="shared" si="11"/>
        <v>96.6</v>
      </c>
      <c r="I152" s="18">
        <v>84.2</v>
      </c>
      <c r="J152" s="18">
        <v>83.09</v>
      </c>
      <c r="K152" s="18" t="s">
        <v>86</v>
      </c>
      <c r="L152" s="18"/>
    </row>
    <row r="153" spans="1:12" ht="30" customHeight="1">
      <c r="A153" s="17">
        <v>151</v>
      </c>
      <c r="B153" s="18" t="str">
        <f>"23030116"</f>
        <v>23030116</v>
      </c>
      <c r="C153" s="18" t="str">
        <f t="shared" si="12"/>
        <v>230201</v>
      </c>
      <c r="D153" s="18" t="s">
        <v>85</v>
      </c>
      <c r="E153" s="18" t="str">
        <f>"李娜"</f>
        <v>李娜</v>
      </c>
      <c r="F153" s="18">
        <v>111</v>
      </c>
      <c r="G153" s="18">
        <v>92.5</v>
      </c>
      <c r="H153" s="18">
        <f t="shared" si="11"/>
        <v>103.6</v>
      </c>
      <c r="I153" s="18">
        <v>81.4</v>
      </c>
      <c r="J153" s="18">
        <v>82.88</v>
      </c>
      <c r="K153" s="18" t="s">
        <v>86</v>
      </c>
      <c r="L153" s="18"/>
    </row>
    <row r="154" spans="1:12" ht="30" customHeight="1">
      <c r="A154" s="17">
        <v>152</v>
      </c>
      <c r="B154" s="18" t="str">
        <f>"23031302"</f>
        <v>23031302</v>
      </c>
      <c r="C154" s="18" t="str">
        <f t="shared" si="12"/>
        <v>230201</v>
      </c>
      <c r="D154" s="18" t="s">
        <v>85</v>
      </c>
      <c r="E154" s="18" t="str">
        <f>"张静静"</f>
        <v>张静静</v>
      </c>
      <c r="F154" s="18">
        <v>100.5</v>
      </c>
      <c r="G154" s="18">
        <v>84.5</v>
      </c>
      <c r="H154" s="18">
        <f t="shared" si="11"/>
        <v>94.1</v>
      </c>
      <c r="I154" s="18">
        <v>84.6</v>
      </c>
      <c r="J154" s="18">
        <v>82.74499999999999</v>
      </c>
      <c r="K154" s="18" t="s">
        <v>86</v>
      </c>
      <c r="L154" s="18"/>
    </row>
    <row r="155" spans="1:12" ht="30" customHeight="1">
      <c r="A155" s="17">
        <v>153</v>
      </c>
      <c r="B155" s="18" t="str">
        <f>"23030501"</f>
        <v>23030501</v>
      </c>
      <c r="C155" s="18" t="str">
        <f t="shared" si="12"/>
        <v>230201</v>
      </c>
      <c r="D155" s="18" t="s">
        <v>85</v>
      </c>
      <c r="E155" s="18" t="str">
        <f>"王闻闻"</f>
        <v>王闻闻</v>
      </c>
      <c r="F155" s="18">
        <v>105</v>
      </c>
      <c r="G155" s="18">
        <v>85</v>
      </c>
      <c r="H155" s="18">
        <f t="shared" si="11"/>
        <v>97</v>
      </c>
      <c r="I155" s="18">
        <v>83.4</v>
      </c>
      <c r="J155" s="18">
        <v>82.63000000000001</v>
      </c>
      <c r="K155" s="18" t="s">
        <v>86</v>
      </c>
      <c r="L155" s="18"/>
    </row>
    <row r="156" spans="1:12" ht="30" customHeight="1">
      <c r="A156" s="17">
        <v>154</v>
      </c>
      <c r="B156" s="18" t="str">
        <f>"23030224"</f>
        <v>23030224</v>
      </c>
      <c r="C156" s="18" t="str">
        <f t="shared" si="12"/>
        <v>230201</v>
      </c>
      <c r="D156" s="18" t="s">
        <v>85</v>
      </c>
      <c r="E156" s="18" t="str">
        <f>"徐丹丹"</f>
        <v>徐丹丹</v>
      </c>
      <c r="F156" s="18">
        <v>104</v>
      </c>
      <c r="G156" s="18">
        <v>93.5</v>
      </c>
      <c r="H156" s="18">
        <f t="shared" si="11"/>
        <v>99.8</v>
      </c>
      <c r="I156" s="18">
        <v>81.4</v>
      </c>
      <c r="J156" s="18">
        <v>81.93</v>
      </c>
      <c r="K156" s="18" t="s">
        <v>86</v>
      </c>
      <c r="L156" s="18"/>
    </row>
    <row r="157" spans="1:12" ht="30" customHeight="1">
      <c r="A157" s="17">
        <v>155</v>
      </c>
      <c r="B157" s="18" t="str">
        <f>"23030517"</f>
        <v>23030517</v>
      </c>
      <c r="C157" s="18" t="str">
        <f t="shared" si="12"/>
        <v>230201</v>
      </c>
      <c r="D157" s="18" t="s">
        <v>85</v>
      </c>
      <c r="E157" s="18" t="str">
        <f>"王韦"</f>
        <v>王韦</v>
      </c>
      <c r="F157" s="18">
        <v>101</v>
      </c>
      <c r="G157" s="18">
        <v>89.5</v>
      </c>
      <c r="H157" s="18">
        <f t="shared" si="11"/>
        <v>96.4</v>
      </c>
      <c r="I157" s="18">
        <v>82.6</v>
      </c>
      <c r="J157" s="18">
        <v>81.91999999999999</v>
      </c>
      <c r="K157" s="18" t="s">
        <v>86</v>
      </c>
      <c r="L157" s="18"/>
    </row>
    <row r="158" spans="1:12" ht="30" customHeight="1">
      <c r="A158" s="17">
        <v>156</v>
      </c>
      <c r="B158" s="18" t="str">
        <f>"23030423"</f>
        <v>23030423</v>
      </c>
      <c r="C158" s="18" t="str">
        <f t="shared" si="12"/>
        <v>230201</v>
      </c>
      <c r="D158" s="18" t="s">
        <v>85</v>
      </c>
      <c r="E158" s="18" t="str">
        <f>"张翩翩"</f>
        <v>张翩翩</v>
      </c>
      <c r="F158" s="18">
        <v>98</v>
      </c>
      <c r="G158" s="18">
        <v>98.5</v>
      </c>
      <c r="H158" s="18">
        <f t="shared" si="11"/>
        <v>98.2</v>
      </c>
      <c r="I158" s="18">
        <v>81.2</v>
      </c>
      <c r="J158" s="18">
        <v>81.39</v>
      </c>
      <c r="K158" s="18" t="s">
        <v>86</v>
      </c>
      <c r="L158" s="18"/>
    </row>
    <row r="159" spans="1:12" ht="30" customHeight="1">
      <c r="A159" s="17">
        <v>157</v>
      </c>
      <c r="B159" s="18" t="str">
        <f>"23030616"</f>
        <v>23030616</v>
      </c>
      <c r="C159" s="18" t="str">
        <f t="shared" si="12"/>
        <v>230201</v>
      </c>
      <c r="D159" s="18" t="s">
        <v>85</v>
      </c>
      <c r="E159" s="18" t="str">
        <f>"彭丽丽"</f>
        <v>彭丽丽</v>
      </c>
      <c r="F159" s="18">
        <v>98.5</v>
      </c>
      <c r="G159" s="18">
        <v>96</v>
      </c>
      <c r="H159" s="18">
        <f t="shared" si="11"/>
        <v>97.5</v>
      </c>
      <c r="I159" s="18">
        <v>81.4</v>
      </c>
      <c r="J159" s="18">
        <v>81.35499999999999</v>
      </c>
      <c r="K159" s="18" t="s">
        <v>86</v>
      </c>
      <c r="L159" s="18"/>
    </row>
    <row r="160" spans="1:12" ht="30" customHeight="1">
      <c r="A160" s="17">
        <v>158</v>
      </c>
      <c r="B160" s="18" t="str">
        <f>"23030811"</f>
        <v>23030811</v>
      </c>
      <c r="C160" s="18" t="str">
        <f t="shared" si="12"/>
        <v>230201</v>
      </c>
      <c r="D160" s="18" t="s">
        <v>85</v>
      </c>
      <c r="E160" s="18" t="str">
        <f>"赵楠楠"</f>
        <v>赵楠楠</v>
      </c>
      <c r="F160" s="18">
        <v>98.5</v>
      </c>
      <c r="G160" s="18">
        <v>87.5</v>
      </c>
      <c r="H160" s="18">
        <f t="shared" si="11"/>
        <v>94.1</v>
      </c>
      <c r="I160" s="18">
        <v>82.6</v>
      </c>
      <c r="J160" s="18">
        <v>81.345</v>
      </c>
      <c r="K160" s="18" t="s">
        <v>86</v>
      </c>
      <c r="L160" s="18"/>
    </row>
    <row r="161" spans="1:12" ht="30" customHeight="1">
      <c r="A161" s="17">
        <v>159</v>
      </c>
      <c r="B161" s="18" t="str">
        <f>"23041411"</f>
        <v>23041411</v>
      </c>
      <c r="C161" s="18" t="str">
        <f aca="true" t="shared" si="13" ref="C161:C167">"230206"</f>
        <v>230206</v>
      </c>
      <c r="D161" s="18" t="s">
        <v>53</v>
      </c>
      <c r="E161" s="18" t="str">
        <f>"陈艳妮"</f>
        <v>陈艳妮</v>
      </c>
      <c r="F161" s="18">
        <v>98</v>
      </c>
      <c r="G161" s="18">
        <v>95</v>
      </c>
      <c r="H161" s="18">
        <f t="shared" si="11"/>
        <v>96.8</v>
      </c>
      <c r="I161" s="18">
        <v>91</v>
      </c>
      <c r="J161" s="18">
        <v>87.9</v>
      </c>
      <c r="K161" s="18" t="s">
        <v>86</v>
      </c>
      <c r="L161" s="18"/>
    </row>
    <row r="162" spans="1:12" ht="30" customHeight="1">
      <c r="A162" s="17">
        <v>160</v>
      </c>
      <c r="B162" s="18" t="str">
        <f>"23041406"</f>
        <v>23041406</v>
      </c>
      <c r="C162" s="18" t="str">
        <f t="shared" si="13"/>
        <v>230206</v>
      </c>
      <c r="D162" s="18" t="s">
        <v>53</v>
      </c>
      <c r="E162" s="18" t="str">
        <f>"洪盼盼"</f>
        <v>洪盼盼</v>
      </c>
      <c r="F162" s="18">
        <v>103</v>
      </c>
      <c r="G162" s="18">
        <v>95</v>
      </c>
      <c r="H162" s="18">
        <f t="shared" si="11"/>
        <v>99.8</v>
      </c>
      <c r="I162" s="18">
        <v>87.6</v>
      </c>
      <c r="J162" s="18">
        <v>86.27</v>
      </c>
      <c r="K162" s="18" t="s">
        <v>86</v>
      </c>
      <c r="L162" s="18"/>
    </row>
    <row r="163" spans="1:12" ht="30" customHeight="1">
      <c r="A163" s="17">
        <v>161</v>
      </c>
      <c r="B163" s="18" t="str">
        <f>"23041612"</f>
        <v>23041612</v>
      </c>
      <c r="C163" s="18" t="str">
        <f t="shared" si="13"/>
        <v>230206</v>
      </c>
      <c r="D163" s="18" t="s">
        <v>53</v>
      </c>
      <c r="E163" s="18" t="str">
        <f>"朱瑶"</f>
        <v>朱瑶</v>
      </c>
      <c r="F163" s="18">
        <v>105</v>
      </c>
      <c r="G163" s="18">
        <v>85.5</v>
      </c>
      <c r="H163" s="18">
        <f t="shared" si="11"/>
        <v>97.2</v>
      </c>
      <c r="I163" s="18">
        <v>87.2</v>
      </c>
      <c r="J163" s="18">
        <v>85.34</v>
      </c>
      <c r="K163" s="18" t="s">
        <v>86</v>
      </c>
      <c r="L163" s="18"/>
    </row>
    <row r="164" spans="1:12" ht="30" customHeight="1">
      <c r="A164" s="17">
        <v>162</v>
      </c>
      <c r="B164" s="18" t="str">
        <f>"23042619"</f>
        <v>23042619</v>
      </c>
      <c r="C164" s="18" t="str">
        <f t="shared" si="13"/>
        <v>230206</v>
      </c>
      <c r="D164" s="18" t="s">
        <v>53</v>
      </c>
      <c r="E164" s="18" t="str">
        <f>"张雪"</f>
        <v>张雪</v>
      </c>
      <c r="F164" s="18">
        <v>95</v>
      </c>
      <c r="G164" s="18">
        <v>89.5</v>
      </c>
      <c r="H164" s="18">
        <f t="shared" si="11"/>
        <v>92.80000000000001</v>
      </c>
      <c r="I164" s="18">
        <v>87.4</v>
      </c>
      <c r="J164" s="18">
        <v>84.38</v>
      </c>
      <c r="K164" s="18" t="s">
        <v>86</v>
      </c>
      <c r="L164" s="18"/>
    </row>
    <row r="165" spans="1:13" s="3" customFormat="1" ht="30" customHeight="1">
      <c r="A165" s="17">
        <v>163</v>
      </c>
      <c r="B165" s="18" t="str">
        <f>"23041521"</f>
        <v>23041521</v>
      </c>
      <c r="C165" s="18" t="str">
        <f t="shared" si="13"/>
        <v>230206</v>
      </c>
      <c r="D165" s="18" t="s">
        <v>53</v>
      </c>
      <c r="E165" s="18" t="str">
        <f>"吴心悦"</f>
        <v>吴心悦</v>
      </c>
      <c r="F165" s="18">
        <v>99</v>
      </c>
      <c r="G165" s="18">
        <v>91.5</v>
      </c>
      <c r="H165" s="18">
        <f t="shared" si="11"/>
        <v>96</v>
      </c>
      <c r="I165" s="18">
        <v>85.2</v>
      </c>
      <c r="J165" s="18">
        <v>83.64</v>
      </c>
      <c r="K165" s="18" t="s">
        <v>86</v>
      </c>
      <c r="L165" s="18"/>
      <c r="M165" s="20"/>
    </row>
    <row r="166" spans="1:12" ht="30" customHeight="1">
      <c r="A166" s="17">
        <v>164</v>
      </c>
      <c r="B166" s="18" t="str">
        <f>"23042228"</f>
        <v>23042228</v>
      </c>
      <c r="C166" s="18" t="str">
        <f t="shared" si="13"/>
        <v>230206</v>
      </c>
      <c r="D166" s="18" t="s">
        <v>53</v>
      </c>
      <c r="E166" s="18" t="str">
        <f>"毛健健"</f>
        <v>毛健健</v>
      </c>
      <c r="F166" s="18">
        <v>107</v>
      </c>
      <c r="G166" s="18">
        <v>83.5</v>
      </c>
      <c r="H166" s="18">
        <f t="shared" si="11"/>
        <v>97.6</v>
      </c>
      <c r="I166" s="18">
        <v>83.6</v>
      </c>
      <c r="J166" s="18">
        <v>82.91999999999999</v>
      </c>
      <c r="K166" s="18" t="s">
        <v>86</v>
      </c>
      <c r="L166" s="18"/>
    </row>
    <row r="167" spans="1:12" ht="30" customHeight="1">
      <c r="A167" s="17">
        <v>165</v>
      </c>
      <c r="B167" s="18" t="str">
        <f>"23041815"</f>
        <v>23041815</v>
      </c>
      <c r="C167" s="18" t="str">
        <f t="shared" si="13"/>
        <v>230206</v>
      </c>
      <c r="D167" s="18" t="s">
        <v>53</v>
      </c>
      <c r="E167" s="18" t="str">
        <f>"苗倩"</f>
        <v>苗倩</v>
      </c>
      <c r="F167" s="18">
        <v>102</v>
      </c>
      <c r="G167" s="18">
        <v>88.5</v>
      </c>
      <c r="H167" s="18">
        <f t="shared" si="11"/>
        <v>96.6</v>
      </c>
      <c r="I167" s="18">
        <v>83.8</v>
      </c>
      <c r="J167" s="18">
        <v>82.81</v>
      </c>
      <c r="K167" s="18" t="s">
        <v>86</v>
      </c>
      <c r="L167" s="18"/>
    </row>
    <row r="168" spans="1:12" ht="30" customHeight="1">
      <c r="A168" s="17">
        <v>166</v>
      </c>
      <c r="B168" s="18" t="str">
        <f>"23042715"</f>
        <v>23042715</v>
      </c>
      <c r="C168" s="18" t="str">
        <f aca="true" t="shared" si="14" ref="C168:C174">"230207"</f>
        <v>230207</v>
      </c>
      <c r="D168" s="18" t="s">
        <v>48</v>
      </c>
      <c r="E168" s="18" t="str">
        <f>"徐蕊"</f>
        <v>徐蕊</v>
      </c>
      <c r="F168" s="18">
        <v>106</v>
      </c>
      <c r="G168" s="18">
        <v>97</v>
      </c>
      <c r="H168" s="18">
        <f t="shared" si="11"/>
        <v>102.4</v>
      </c>
      <c r="I168" s="18">
        <v>85</v>
      </c>
      <c r="J168" s="18">
        <v>85.1</v>
      </c>
      <c r="K168" s="18" t="s">
        <v>86</v>
      </c>
      <c r="L168" s="18"/>
    </row>
    <row r="169" spans="1:12" ht="30" customHeight="1">
      <c r="A169" s="17">
        <v>167</v>
      </c>
      <c r="B169" s="18" t="str">
        <f>"23043125"</f>
        <v>23043125</v>
      </c>
      <c r="C169" s="18" t="str">
        <f t="shared" si="14"/>
        <v>230207</v>
      </c>
      <c r="D169" s="18" t="s">
        <v>48</v>
      </c>
      <c r="E169" s="18" t="str">
        <f>"李天乐"</f>
        <v>李天乐</v>
      </c>
      <c r="F169" s="18">
        <v>96</v>
      </c>
      <c r="G169" s="18">
        <v>98.5</v>
      </c>
      <c r="H169" s="18">
        <f t="shared" si="11"/>
        <v>97</v>
      </c>
      <c r="I169" s="18">
        <v>86</v>
      </c>
      <c r="J169" s="18">
        <v>84.45</v>
      </c>
      <c r="K169" s="18" t="s">
        <v>86</v>
      </c>
      <c r="L169" s="18"/>
    </row>
    <row r="170" spans="1:12" ht="30" customHeight="1">
      <c r="A170" s="17">
        <v>168</v>
      </c>
      <c r="B170" s="18" t="str">
        <f>"23043130"</f>
        <v>23043130</v>
      </c>
      <c r="C170" s="18" t="str">
        <f t="shared" si="14"/>
        <v>230207</v>
      </c>
      <c r="D170" s="18" t="s">
        <v>48</v>
      </c>
      <c r="E170" s="18" t="str">
        <f>"马新楠"</f>
        <v>马新楠</v>
      </c>
      <c r="F170" s="18">
        <v>102</v>
      </c>
      <c r="G170" s="18">
        <v>97</v>
      </c>
      <c r="H170" s="18">
        <f t="shared" si="11"/>
        <v>100</v>
      </c>
      <c r="I170" s="18">
        <v>84.2</v>
      </c>
      <c r="J170" s="18">
        <v>83.94</v>
      </c>
      <c r="K170" s="18" t="s">
        <v>86</v>
      </c>
      <c r="L170" s="18"/>
    </row>
    <row r="171" spans="1:12" ht="30" customHeight="1">
      <c r="A171" s="17">
        <v>169</v>
      </c>
      <c r="B171" s="18" t="str">
        <f>"23043912"</f>
        <v>23043912</v>
      </c>
      <c r="C171" s="18" t="str">
        <f t="shared" si="14"/>
        <v>230207</v>
      </c>
      <c r="D171" s="18" t="s">
        <v>48</v>
      </c>
      <c r="E171" s="18" t="str">
        <f>"侯文婕"</f>
        <v>侯文婕</v>
      </c>
      <c r="F171" s="18">
        <v>97</v>
      </c>
      <c r="G171" s="18">
        <v>87.5</v>
      </c>
      <c r="H171" s="18">
        <f t="shared" si="11"/>
        <v>93.19999999999999</v>
      </c>
      <c r="I171" s="18">
        <v>85.6</v>
      </c>
      <c r="J171" s="18">
        <v>83.22</v>
      </c>
      <c r="K171" s="18" t="s">
        <v>86</v>
      </c>
      <c r="L171" s="18"/>
    </row>
    <row r="172" spans="1:12" ht="30" customHeight="1">
      <c r="A172" s="17">
        <v>170</v>
      </c>
      <c r="B172" s="18" t="str">
        <f>"23042815"</f>
        <v>23042815</v>
      </c>
      <c r="C172" s="18" t="str">
        <f t="shared" si="14"/>
        <v>230207</v>
      </c>
      <c r="D172" s="18" t="s">
        <v>48</v>
      </c>
      <c r="E172" s="18" t="str">
        <f>"彭玉肖"</f>
        <v>彭玉肖</v>
      </c>
      <c r="F172" s="18">
        <v>96</v>
      </c>
      <c r="G172" s="18">
        <v>94</v>
      </c>
      <c r="H172" s="18">
        <f t="shared" si="11"/>
        <v>95.19999999999999</v>
      </c>
      <c r="I172" s="18">
        <v>84.8</v>
      </c>
      <c r="J172" s="18">
        <v>83.16</v>
      </c>
      <c r="K172" s="18" t="s">
        <v>86</v>
      </c>
      <c r="L172" s="18"/>
    </row>
    <row r="173" spans="1:12" ht="30" customHeight="1">
      <c r="A173" s="17">
        <v>171</v>
      </c>
      <c r="B173" s="18" t="str">
        <f>"23043803"</f>
        <v>23043803</v>
      </c>
      <c r="C173" s="18" t="str">
        <f t="shared" si="14"/>
        <v>230207</v>
      </c>
      <c r="D173" s="18" t="s">
        <v>48</v>
      </c>
      <c r="E173" s="18" t="str">
        <f>"郭梓怡"</f>
        <v>郭梓怡</v>
      </c>
      <c r="F173" s="18">
        <v>106</v>
      </c>
      <c r="G173" s="18">
        <v>76</v>
      </c>
      <c r="H173" s="18">
        <f t="shared" si="11"/>
        <v>94</v>
      </c>
      <c r="I173" s="18">
        <v>85.2</v>
      </c>
      <c r="J173" s="18">
        <v>83.14</v>
      </c>
      <c r="K173" s="18" t="s">
        <v>86</v>
      </c>
      <c r="L173" s="18"/>
    </row>
    <row r="174" spans="1:12" ht="30" customHeight="1">
      <c r="A174" s="17">
        <v>172</v>
      </c>
      <c r="B174" s="18" t="str">
        <f>"23042821"</f>
        <v>23042821</v>
      </c>
      <c r="C174" s="18" t="str">
        <f t="shared" si="14"/>
        <v>230207</v>
      </c>
      <c r="D174" s="18" t="s">
        <v>48</v>
      </c>
      <c r="E174" s="18" t="str">
        <f>"薛计敏"</f>
        <v>薛计敏</v>
      </c>
      <c r="F174" s="18">
        <v>98</v>
      </c>
      <c r="G174" s="18">
        <v>85</v>
      </c>
      <c r="H174" s="18">
        <f t="shared" si="11"/>
        <v>92.8</v>
      </c>
      <c r="I174" s="18">
        <v>85.2</v>
      </c>
      <c r="J174" s="18">
        <v>82.84</v>
      </c>
      <c r="K174" s="18" t="s">
        <v>86</v>
      </c>
      <c r="L174" s="18"/>
    </row>
    <row r="175" spans="1:12" ht="30" customHeight="1">
      <c r="A175" s="17">
        <v>173</v>
      </c>
      <c r="B175" s="18" t="str">
        <f>"23045509"</f>
        <v>23045509</v>
      </c>
      <c r="C175" s="18" t="str">
        <f aca="true" t="shared" si="15" ref="C175:C186">"230209"</f>
        <v>230209</v>
      </c>
      <c r="D175" s="18" t="s">
        <v>87</v>
      </c>
      <c r="E175" s="18" t="str">
        <f>"石倩"</f>
        <v>石倩</v>
      </c>
      <c r="F175" s="18">
        <v>100</v>
      </c>
      <c r="G175" s="18">
        <v>85.5</v>
      </c>
      <c r="H175" s="18">
        <f t="shared" si="11"/>
        <v>94.2</v>
      </c>
      <c r="I175" s="18">
        <v>88.2</v>
      </c>
      <c r="J175" s="18">
        <v>85.29</v>
      </c>
      <c r="K175" s="18" t="s">
        <v>86</v>
      </c>
      <c r="L175" s="18"/>
    </row>
    <row r="176" spans="1:12" ht="30" customHeight="1">
      <c r="A176" s="17">
        <v>174</v>
      </c>
      <c r="B176" s="18" t="str">
        <f>"23045424"</f>
        <v>23045424</v>
      </c>
      <c r="C176" s="18" t="str">
        <f t="shared" si="15"/>
        <v>230209</v>
      </c>
      <c r="D176" s="18" t="s">
        <v>87</v>
      </c>
      <c r="E176" s="18" t="str">
        <f>"李东磊"</f>
        <v>李东磊</v>
      </c>
      <c r="F176" s="18">
        <v>107</v>
      </c>
      <c r="G176" s="18">
        <v>91.5</v>
      </c>
      <c r="H176" s="18">
        <f t="shared" si="11"/>
        <v>100.80000000000001</v>
      </c>
      <c r="I176" s="18">
        <v>84.6</v>
      </c>
      <c r="J176" s="18">
        <v>84.41999999999999</v>
      </c>
      <c r="K176" s="18" t="s">
        <v>86</v>
      </c>
      <c r="L176" s="18"/>
    </row>
    <row r="177" spans="1:12" ht="30" customHeight="1">
      <c r="A177" s="17">
        <v>175</v>
      </c>
      <c r="B177" s="18" t="str">
        <f>"23045702"</f>
        <v>23045702</v>
      </c>
      <c r="C177" s="18" t="str">
        <f t="shared" si="15"/>
        <v>230209</v>
      </c>
      <c r="D177" s="18" t="s">
        <v>87</v>
      </c>
      <c r="E177" s="18" t="str">
        <f>"胡灵平"</f>
        <v>胡灵平</v>
      </c>
      <c r="F177" s="18">
        <v>95.5</v>
      </c>
      <c r="G177" s="18">
        <v>94</v>
      </c>
      <c r="H177" s="18">
        <f t="shared" si="11"/>
        <v>94.9</v>
      </c>
      <c r="I177" s="18">
        <v>86.4</v>
      </c>
      <c r="J177" s="18">
        <v>84.205</v>
      </c>
      <c r="K177" s="18" t="s">
        <v>86</v>
      </c>
      <c r="L177" s="18"/>
    </row>
    <row r="178" spans="1:12" ht="30" customHeight="1">
      <c r="A178" s="17">
        <v>176</v>
      </c>
      <c r="B178" s="18" t="str">
        <f>"23045907"</f>
        <v>23045907</v>
      </c>
      <c r="C178" s="18" t="str">
        <f t="shared" si="15"/>
        <v>230209</v>
      </c>
      <c r="D178" s="18" t="s">
        <v>87</v>
      </c>
      <c r="E178" s="18" t="str">
        <f>"丁宇"</f>
        <v>丁宇</v>
      </c>
      <c r="F178" s="18">
        <v>94.5</v>
      </c>
      <c r="G178" s="18">
        <v>91.5</v>
      </c>
      <c r="H178" s="18">
        <f t="shared" si="11"/>
        <v>93.3</v>
      </c>
      <c r="I178" s="18">
        <v>86.6</v>
      </c>
      <c r="J178" s="18">
        <v>83.945</v>
      </c>
      <c r="K178" s="18" t="s">
        <v>86</v>
      </c>
      <c r="L178" s="18"/>
    </row>
    <row r="179" spans="1:12" ht="30" customHeight="1">
      <c r="A179" s="17">
        <v>177</v>
      </c>
      <c r="B179" s="18" t="str">
        <f>"23045809"</f>
        <v>23045809</v>
      </c>
      <c r="C179" s="18" t="str">
        <f t="shared" si="15"/>
        <v>230209</v>
      </c>
      <c r="D179" s="18" t="s">
        <v>87</v>
      </c>
      <c r="E179" s="18" t="str">
        <f>"邢马群"</f>
        <v>邢马群</v>
      </c>
      <c r="F179" s="18">
        <v>97.5</v>
      </c>
      <c r="G179" s="18">
        <v>97</v>
      </c>
      <c r="H179" s="18">
        <f t="shared" si="11"/>
        <v>97.30000000000001</v>
      </c>
      <c r="I179" s="18">
        <v>85</v>
      </c>
      <c r="J179" s="18">
        <v>83.82499999999999</v>
      </c>
      <c r="K179" s="18" t="s">
        <v>86</v>
      </c>
      <c r="L179" s="18"/>
    </row>
    <row r="180" spans="1:12" ht="30" customHeight="1">
      <c r="A180" s="17">
        <v>178</v>
      </c>
      <c r="B180" s="18" t="str">
        <f>"23045420"</f>
        <v>23045420</v>
      </c>
      <c r="C180" s="18" t="str">
        <f t="shared" si="15"/>
        <v>230209</v>
      </c>
      <c r="D180" s="18" t="s">
        <v>87</v>
      </c>
      <c r="E180" s="18" t="str">
        <f>"秦亍亍"</f>
        <v>秦亍亍</v>
      </c>
      <c r="F180" s="18">
        <v>89</v>
      </c>
      <c r="G180" s="18">
        <v>83</v>
      </c>
      <c r="H180" s="18">
        <f t="shared" si="11"/>
        <v>86.6</v>
      </c>
      <c r="I180" s="18">
        <v>88.6</v>
      </c>
      <c r="J180" s="18">
        <v>83.66999999999999</v>
      </c>
      <c r="K180" s="18" t="s">
        <v>86</v>
      </c>
      <c r="L180" s="18"/>
    </row>
    <row r="181" spans="1:12" ht="30" customHeight="1">
      <c r="A181" s="17">
        <v>179</v>
      </c>
      <c r="B181" s="18" t="str">
        <f>"23045913"</f>
        <v>23045913</v>
      </c>
      <c r="C181" s="18" t="str">
        <f t="shared" si="15"/>
        <v>230209</v>
      </c>
      <c r="D181" s="18" t="s">
        <v>87</v>
      </c>
      <c r="E181" s="18" t="str">
        <f>"翟子晴"</f>
        <v>翟子晴</v>
      </c>
      <c r="F181" s="18">
        <v>95.5</v>
      </c>
      <c r="G181" s="18">
        <v>84</v>
      </c>
      <c r="H181" s="18">
        <f t="shared" si="11"/>
        <v>90.9</v>
      </c>
      <c r="I181" s="18">
        <v>87</v>
      </c>
      <c r="J181" s="18">
        <v>83.625</v>
      </c>
      <c r="K181" s="18" t="s">
        <v>86</v>
      </c>
      <c r="L181" s="18"/>
    </row>
    <row r="182" spans="1:12" ht="30" customHeight="1">
      <c r="A182" s="17">
        <v>180</v>
      </c>
      <c r="B182" s="18" t="str">
        <f>"23045513"</f>
        <v>23045513</v>
      </c>
      <c r="C182" s="18" t="str">
        <f t="shared" si="15"/>
        <v>230209</v>
      </c>
      <c r="D182" s="18" t="s">
        <v>87</v>
      </c>
      <c r="E182" s="18" t="str">
        <f>"王婷婷"</f>
        <v>王婷婷</v>
      </c>
      <c r="F182" s="18">
        <v>92</v>
      </c>
      <c r="G182" s="18">
        <v>86.5</v>
      </c>
      <c r="H182" s="18">
        <f t="shared" si="11"/>
        <v>89.8</v>
      </c>
      <c r="I182" s="18">
        <v>86.8</v>
      </c>
      <c r="J182" s="18">
        <v>83.21</v>
      </c>
      <c r="K182" s="18" t="s">
        <v>86</v>
      </c>
      <c r="L182" s="18"/>
    </row>
    <row r="183" spans="1:12" ht="30" customHeight="1">
      <c r="A183" s="17">
        <v>181</v>
      </c>
      <c r="B183" s="18" t="str">
        <f>"23045427"</f>
        <v>23045427</v>
      </c>
      <c r="C183" s="18" t="str">
        <f t="shared" si="15"/>
        <v>230209</v>
      </c>
      <c r="D183" s="18" t="s">
        <v>87</v>
      </c>
      <c r="E183" s="18" t="str">
        <f>"朱雨婷"</f>
        <v>朱雨婷</v>
      </c>
      <c r="F183" s="18">
        <v>93.5</v>
      </c>
      <c r="G183" s="18">
        <v>83.5</v>
      </c>
      <c r="H183" s="18">
        <f t="shared" si="11"/>
        <v>89.5</v>
      </c>
      <c r="I183" s="18">
        <v>86.6</v>
      </c>
      <c r="J183" s="18">
        <v>82.99499999999999</v>
      </c>
      <c r="K183" s="18" t="s">
        <v>86</v>
      </c>
      <c r="L183" s="18"/>
    </row>
    <row r="184" spans="1:12" ht="30" customHeight="1">
      <c r="A184" s="17">
        <v>182</v>
      </c>
      <c r="B184" s="18" t="str">
        <f>"23045211"</f>
        <v>23045211</v>
      </c>
      <c r="C184" s="18" t="str">
        <f t="shared" si="15"/>
        <v>230209</v>
      </c>
      <c r="D184" s="18" t="s">
        <v>87</v>
      </c>
      <c r="E184" s="18" t="str">
        <f>"梁宣宣"</f>
        <v>梁宣宣</v>
      </c>
      <c r="F184" s="18">
        <v>95</v>
      </c>
      <c r="G184" s="18">
        <v>84.5</v>
      </c>
      <c r="H184" s="18">
        <f t="shared" si="11"/>
        <v>90.80000000000001</v>
      </c>
      <c r="I184" s="18">
        <v>86</v>
      </c>
      <c r="J184" s="18">
        <v>82.9</v>
      </c>
      <c r="K184" s="18" t="s">
        <v>86</v>
      </c>
      <c r="L184" s="18"/>
    </row>
    <row r="185" spans="1:12" ht="30" customHeight="1">
      <c r="A185" s="17">
        <v>183</v>
      </c>
      <c r="B185" s="18" t="str">
        <f>"23045905"</f>
        <v>23045905</v>
      </c>
      <c r="C185" s="18" t="str">
        <f t="shared" si="15"/>
        <v>230209</v>
      </c>
      <c r="D185" s="18" t="s">
        <v>87</v>
      </c>
      <c r="E185" s="18" t="str">
        <f>"王婷"</f>
        <v>王婷</v>
      </c>
      <c r="F185" s="18">
        <v>91.5</v>
      </c>
      <c r="G185" s="18">
        <v>90</v>
      </c>
      <c r="H185" s="18">
        <f t="shared" si="11"/>
        <v>90.9</v>
      </c>
      <c r="I185" s="18">
        <v>85.6</v>
      </c>
      <c r="J185" s="18">
        <v>82.645</v>
      </c>
      <c r="K185" s="18" t="s">
        <v>86</v>
      </c>
      <c r="L185" s="18"/>
    </row>
    <row r="186" spans="1:12" ht="30" customHeight="1">
      <c r="A186" s="17">
        <v>184</v>
      </c>
      <c r="B186" s="18" t="str">
        <f>"23045120"</f>
        <v>23045120</v>
      </c>
      <c r="C186" s="18" t="str">
        <f t="shared" si="15"/>
        <v>230209</v>
      </c>
      <c r="D186" s="18" t="s">
        <v>87</v>
      </c>
      <c r="E186" s="18" t="str">
        <f>"邵红艳"</f>
        <v>邵红艳</v>
      </c>
      <c r="F186" s="18">
        <v>95.5</v>
      </c>
      <c r="G186" s="18">
        <v>95.5</v>
      </c>
      <c r="H186" s="18">
        <f t="shared" si="11"/>
        <v>95.5</v>
      </c>
      <c r="I186" s="18">
        <v>83.6</v>
      </c>
      <c r="J186" s="18">
        <v>82.395</v>
      </c>
      <c r="K186" s="18" t="s">
        <v>86</v>
      </c>
      <c r="L186" s="18"/>
    </row>
    <row r="187" spans="1:12" ht="30" customHeight="1">
      <c r="A187" s="17">
        <v>185</v>
      </c>
      <c r="B187" s="18" t="str">
        <f>"23020321"</f>
        <v>23020321</v>
      </c>
      <c r="C187" s="18" t="str">
        <f>"230212"</f>
        <v>230212</v>
      </c>
      <c r="D187" s="18" t="s">
        <v>88</v>
      </c>
      <c r="E187" s="18" t="str">
        <f>"张楠楠"</f>
        <v>张楠楠</v>
      </c>
      <c r="F187" s="18">
        <v>91</v>
      </c>
      <c r="G187" s="18">
        <v>81</v>
      </c>
      <c r="H187" s="18">
        <f t="shared" si="11"/>
        <v>87</v>
      </c>
      <c r="I187" s="18">
        <v>78.4</v>
      </c>
      <c r="J187" s="18">
        <v>76.63</v>
      </c>
      <c r="K187" s="18" t="s">
        <v>86</v>
      </c>
      <c r="L187" s="18"/>
    </row>
    <row r="188" spans="1:13" s="3" customFormat="1" ht="30" customHeight="1">
      <c r="A188" s="17">
        <v>186</v>
      </c>
      <c r="B188" s="18" t="str">
        <f>"23020710"</f>
        <v>23020710</v>
      </c>
      <c r="C188" s="18" t="str">
        <f>"230212"</f>
        <v>230212</v>
      </c>
      <c r="D188" s="18" t="s">
        <v>88</v>
      </c>
      <c r="E188" s="18" t="str">
        <f>"赵婷婷"</f>
        <v>赵婷婷</v>
      </c>
      <c r="F188" s="18">
        <v>98</v>
      </c>
      <c r="G188" s="18">
        <v>96.5</v>
      </c>
      <c r="H188" s="18">
        <f t="shared" si="11"/>
        <v>97.4</v>
      </c>
      <c r="I188" s="18">
        <v>74</v>
      </c>
      <c r="J188" s="18">
        <v>76.15</v>
      </c>
      <c r="K188" s="18" t="s">
        <v>86</v>
      </c>
      <c r="L188" s="18"/>
      <c r="M188" s="20"/>
    </row>
    <row r="189" spans="1:13" ht="30" customHeight="1">
      <c r="A189" s="17">
        <v>187</v>
      </c>
      <c r="B189" s="18" t="str">
        <f>"23020707"</f>
        <v>23020707</v>
      </c>
      <c r="C189" s="18" t="str">
        <f>"230212"</f>
        <v>230212</v>
      </c>
      <c r="D189" s="18" t="s">
        <v>88</v>
      </c>
      <c r="E189" s="18" t="str">
        <f>"金瑶"</f>
        <v>金瑶</v>
      </c>
      <c r="F189" s="18">
        <v>86</v>
      </c>
      <c r="G189" s="18">
        <v>94</v>
      </c>
      <c r="H189" s="18">
        <f t="shared" si="11"/>
        <v>89.2</v>
      </c>
      <c r="I189" s="18">
        <v>74.8</v>
      </c>
      <c r="J189" s="18">
        <v>74.66</v>
      </c>
      <c r="K189" s="18" t="s">
        <v>86</v>
      </c>
      <c r="L189" s="18"/>
      <c r="M189" s="21"/>
    </row>
    <row r="190" spans="1:13" ht="30" customHeight="1">
      <c r="A190" s="17">
        <v>188</v>
      </c>
      <c r="B190" s="18" t="str">
        <f>"23020421"</f>
        <v>23020421</v>
      </c>
      <c r="C190" s="18" t="str">
        <f>"230212"</f>
        <v>230212</v>
      </c>
      <c r="D190" s="18" t="s">
        <v>88</v>
      </c>
      <c r="E190" s="18" t="str">
        <f>"王克花"</f>
        <v>王克花</v>
      </c>
      <c r="F190" s="18">
        <v>97.5</v>
      </c>
      <c r="G190" s="18">
        <v>86</v>
      </c>
      <c r="H190" s="18">
        <f t="shared" si="11"/>
        <v>92.9</v>
      </c>
      <c r="I190" s="18">
        <v>72.8</v>
      </c>
      <c r="J190" s="18">
        <v>74.185</v>
      </c>
      <c r="K190" s="18" t="s">
        <v>86</v>
      </c>
      <c r="L190" s="18"/>
      <c r="M190" s="21"/>
    </row>
    <row r="191" spans="1:13" ht="30" customHeight="1">
      <c r="A191" s="17">
        <v>189</v>
      </c>
      <c r="B191" s="18" t="str">
        <f>"23021011"</f>
        <v>23021011</v>
      </c>
      <c r="C191" s="18" t="str">
        <f aca="true" t="shared" si="16" ref="C191:C200">"230213"</f>
        <v>230213</v>
      </c>
      <c r="D191" s="18" t="s">
        <v>89</v>
      </c>
      <c r="E191" s="18" t="str">
        <f>"王萧玉"</f>
        <v>王萧玉</v>
      </c>
      <c r="F191" s="18">
        <v>84</v>
      </c>
      <c r="G191" s="18">
        <v>92</v>
      </c>
      <c r="H191" s="18">
        <f t="shared" si="11"/>
        <v>87.2</v>
      </c>
      <c r="I191" s="18">
        <v>86</v>
      </c>
      <c r="J191" s="18">
        <v>82</v>
      </c>
      <c r="K191" s="18" t="s">
        <v>86</v>
      </c>
      <c r="L191" s="18"/>
      <c r="M191" s="21"/>
    </row>
    <row r="192" spans="1:13" ht="30" customHeight="1">
      <c r="A192" s="17">
        <v>190</v>
      </c>
      <c r="B192" s="18" t="str">
        <f>"23020906"</f>
        <v>23020906</v>
      </c>
      <c r="C192" s="18" t="str">
        <f t="shared" si="16"/>
        <v>230213</v>
      </c>
      <c r="D192" s="18" t="s">
        <v>89</v>
      </c>
      <c r="E192" s="18" t="str">
        <f>"刘晨"</f>
        <v>刘晨</v>
      </c>
      <c r="F192" s="18">
        <v>94</v>
      </c>
      <c r="G192" s="18">
        <v>71</v>
      </c>
      <c r="H192" s="18">
        <f t="shared" si="11"/>
        <v>84.8</v>
      </c>
      <c r="I192" s="18">
        <v>86.2</v>
      </c>
      <c r="J192" s="18">
        <v>81.53999999999999</v>
      </c>
      <c r="K192" s="18" t="s">
        <v>86</v>
      </c>
      <c r="L192" s="18"/>
      <c r="M192" s="21"/>
    </row>
    <row r="193" spans="1:13" ht="30" customHeight="1">
      <c r="A193" s="17">
        <v>191</v>
      </c>
      <c r="B193" s="18" t="str">
        <f>"23021024"</f>
        <v>23021024</v>
      </c>
      <c r="C193" s="18" t="str">
        <f t="shared" si="16"/>
        <v>230213</v>
      </c>
      <c r="D193" s="18" t="s">
        <v>89</v>
      </c>
      <c r="E193" s="18" t="str">
        <f>"刘国威"</f>
        <v>刘国威</v>
      </c>
      <c r="F193" s="18">
        <v>88</v>
      </c>
      <c r="G193" s="18">
        <v>83</v>
      </c>
      <c r="H193" s="18">
        <f t="shared" si="11"/>
        <v>86</v>
      </c>
      <c r="I193" s="18">
        <v>85.4</v>
      </c>
      <c r="J193" s="18">
        <v>81.28</v>
      </c>
      <c r="K193" s="18" t="s">
        <v>86</v>
      </c>
      <c r="L193" s="18"/>
      <c r="M193" s="21"/>
    </row>
    <row r="194" spans="1:13" ht="30" customHeight="1">
      <c r="A194" s="17">
        <v>192</v>
      </c>
      <c r="B194" s="18" t="str">
        <f>"23021122"</f>
        <v>23021122</v>
      </c>
      <c r="C194" s="18" t="str">
        <f t="shared" si="16"/>
        <v>230213</v>
      </c>
      <c r="D194" s="18" t="s">
        <v>89</v>
      </c>
      <c r="E194" s="18" t="str">
        <f>"尤兵"</f>
        <v>尤兵</v>
      </c>
      <c r="F194" s="18">
        <v>80.5</v>
      </c>
      <c r="G194" s="18">
        <v>95</v>
      </c>
      <c r="H194" s="18">
        <f t="shared" si="11"/>
        <v>86.3</v>
      </c>
      <c r="I194" s="18">
        <v>84.4</v>
      </c>
      <c r="J194" s="18">
        <v>80.655</v>
      </c>
      <c r="K194" s="18" t="s">
        <v>86</v>
      </c>
      <c r="L194" s="18"/>
      <c r="M194" s="21"/>
    </row>
    <row r="195" spans="1:13" ht="30" customHeight="1">
      <c r="A195" s="17">
        <v>193</v>
      </c>
      <c r="B195" s="18" t="str">
        <f>"23021323"</f>
        <v>23021323</v>
      </c>
      <c r="C195" s="18" t="str">
        <f t="shared" si="16"/>
        <v>230213</v>
      </c>
      <c r="D195" s="18" t="s">
        <v>89</v>
      </c>
      <c r="E195" s="18" t="str">
        <f>"马健"</f>
        <v>马健</v>
      </c>
      <c r="F195" s="18">
        <v>89</v>
      </c>
      <c r="G195" s="18">
        <v>94.5</v>
      </c>
      <c r="H195" s="18">
        <f t="shared" si="11"/>
        <v>91.2</v>
      </c>
      <c r="I195" s="18">
        <v>82.6</v>
      </c>
      <c r="J195" s="18">
        <v>80.61999999999999</v>
      </c>
      <c r="K195" s="18" t="s">
        <v>86</v>
      </c>
      <c r="L195" s="18"/>
      <c r="M195" s="21"/>
    </row>
    <row r="196" spans="1:13" ht="30" customHeight="1">
      <c r="A196" s="17">
        <v>194</v>
      </c>
      <c r="B196" s="18" t="str">
        <f>"23020928"</f>
        <v>23020928</v>
      </c>
      <c r="C196" s="18" t="str">
        <f t="shared" si="16"/>
        <v>230213</v>
      </c>
      <c r="D196" s="18" t="s">
        <v>89</v>
      </c>
      <c r="E196" s="18" t="str">
        <f>"张加勤"</f>
        <v>张加勤</v>
      </c>
      <c r="F196" s="18">
        <v>86</v>
      </c>
      <c r="G196" s="18">
        <v>95.5</v>
      </c>
      <c r="H196" s="18">
        <f t="shared" si="11"/>
        <v>89.80000000000001</v>
      </c>
      <c r="I196" s="18">
        <v>83</v>
      </c>
      <c r="J196" s="18">
        <v>80.55</v>
      </c>
      <c r="K196" s="18" t="s">
        <v>86</v>
      </c>
      <c r="L196" s="18"/>
      <c r="M196" s="21"/>
    </row>
    <row r="197" spans="1:12" ht="30" customHeight="1">
      <c r="A197" s="17">
        <v>195</v>
      </c>
      <c r="B197" s="18" t="str">
        <f>"23021225"</f>
        <v>23021225</v>
      </c>
      <c r="C197" s="18" t="str">
        <f t="shared" si="16"/>
        <v>230213</v>
      </c>
      <c r="D197" s="18" t="s">
        <v>89</v>
      </c>
      <c r="E197" s="18" t="str">
        <f>"汪杨"</f>
        <v>汪杨</v>
      </c>
      <c r="F197" s="18">
        <v>91.5</v>
      </c>
      <c r="G197" s="18">
        <v>95</v>
      </c>
      <c r="H197" s="18">
        <f t="shared" si="11"/>
        <v>92.9</v>
      </c>
      <c r="I197" s="18">
        <v>81.8</v>
      </c>
      <c r="J197" s="18">
        <v>80.48499999999999</v>
      </c>
      <c r="K197" s="18" t="s">
        <v>86</v>
      </c>
      <c r="L197" s="18"/>
    </row>
    <row r="198" spans="1:12" ht="30" customHeight="1">
      <c r="A198" s="17">
        <v>196</v>
      </c>
      <c r="B198" s="18" t="str">
        <f>"23021022"</f>
        <v>23021022</v>
      </c>
      <c r="C198" s="18" t="str">
        <f t="shared" si="16"/>
        <v>230213</v>
      </c>
      <c r="D198" s="18" t="s">
        <v>89</v>
      </c>
      <c r="E198" s="18" t="str">
        <f>"汪昊"</f>
        <v>汪昊</v>
      </c>
      <c r="F198" s="18">
        <v>97</v>
      </c>
      <c r="G198" s="18">
        <v>81</v>
      </c>
      <c r="H198" s="18">
        <f t="shared" si="11"/>
        <v>90.6</v>
      </c>
      <c r="I198" s="18">
        <v>81.6</v>
      </c>
      <c r="J198" s="18">
        <v>79.76999999999998</v>
      </c>
      <c r="K198" s="18" t="s">
        <v>86</v>
      </c>
      <c r="L198" s="18"/>
    </row>
    <row r="199" spans="1:12" ht="30" customHeight="1">
      <c r="A199" s="17">
        <v>197</v>
      </c>
      <c r="B199" s="18" t="str">
        <f>"23020908"</f>
        <v>23020908</v>
      </c>
      <c r="C199" s="18" t="str">
        <f t="shared" si="16"/>
        <v>230213</v>
      </c>
      <c r="D199" s="18" t="s">
        <v>89</v>
      </c>
      <c r="E199" s="18" t="str">
        <f>"后超"</f>
        <v>后超</v>
      </c>
      <c r="F199" s="18">
        <v>84</v>
      </c>
      <c r="G199" s="18">
        <v>84</v>
      </c>
      <c r="H199" s="18">
        <f t="shared" si="11"/>
        <v>84</v>
      </c>
      <c r="I199" s="18">
        <v>83.2</v>
      </c>
      <c r="J199" s="18">
        <v>79.24</v>
      </c>
      <c r="K199" s="18" t="s">
        <v>86</v>
      </c>
      <c r="L199" s="18"/>
    </row>
    <row r="200" spans="1:12" ht="30" customHeight="1">
      <c r="A200" s="17">
        <v>198</v>
      </c>
      <c r="B200" s="18" t="str">
        <f>"23021213"</f>
        <v>23021213</v>
      </c>
      <c r="C200" s="18" t="str">
        <f t="shared" si="16"/>
        <v>230213</v>
      </c>
      <c r="D200" s="18" t="s">
        <v>89</v>
      </c>
      <c r="E200" s="18" t="str">
        <f>"王金鹏"</f>
        <v>王金鹏</v>
      </c>
      <c r="F200" s="18">
        <v>96</v>
      </c>
      <c r="G200" s="18">
        <v>79</v>
      </c>
      <c r="H200" s="18">
        <f t="shared" si="11"/>
        <v>89.19999999999999</v>
      </c>
      <c r="I200" s="18">
        <v>81.2</v>
      </c>
      <c r="J200" s="18">
        <v>79.13999999999999</v>
      </c>
      <c r="K200" s="18" t="s">
        <v>86</v>
      </c>
      <c r="L200" s="18"/>
    </row>
    <row r="201" spans="1:12" ht="30" customHeight="1">
      <c r="A201" s="17">
        <v>199</v>
      </c>
      <c r="B201" s="18" t="str">
        <f>"23021803"</f>
        <v>23021803</v>
      </c>
      <c r="C201" s="18" t="str">
        <f>"230214"</f>
        <v>230214</v>
      </c>
      <c r="D201" s="18" t="s">
        <v>20</v>
      </c>
      <c r="E201" s="18" t="str">
        <f>"刘双双"</f>
        <v>刘双双</v>
      </c>
      <c r="F201" s="18">
        <v>97</v>
      </c>
      <c r="G201" s="18">
        <v>79</v>
      </c>
      <c r="H201" s="18">
        <f t="shared" si="11"/>
        <v>89.8</v>
      </c>
      <c r="I201" s="18">
        <v>85.7</v>
      </c>
      <c r="J201" s="18">
        <v>82.44</v>
      </c>
      <c r="K201" s="18" t="s">
        <v>86</v>
      </c>
      <c r="L201" s="18"/>
    </row>
    <row r="202" spans="1:12" ht="30" customHeight="1">
      <c r="A202" s="17">
        <v>200</v>
      </c>
      <c r="B202" s="18" t="str">
        <f>"23021909"</f>
        <v>23021909</v>
      </c>
      <c r="C202" s="18" t="str">
        <f>"230214"</f>
        <v>230214</v>
      </c>
      <c r="D202" s="18" t="s">
        <v>20</v>
      </c>
      <c r="E202" s="18" t="str">
        <f>"饶阳莉"</f>
        <v>饶阳莉</v>
      </c>
      <c r="F202" s="18">
        <v>88</v>
      </c>
      <c r="G202" s="18">
        <v>86</v>
      </c>
      <c r="H202" s="18">
        <f t="shared" si="11"/>
        <v>87.19999999999999</v>
      </c>
      <c r="I202" s="18">
        <v>83.4</v>
      </c>
      <c r="J202" s="18">
        <v>80.18</v>
      </c>
      <c r="K202" s="18" t="s">
        <v>86</v>
      </c>
      <c r="L202" s="18"/>
    </row>
    <row r="203" spans="1:12" ht="30" customHeight="1">
      <c r="A203" s="17">
        <v>201</v>
      </c>
      <c r="B203" s="18" t="str">
        <f>"23021928"</f>
        <v>23021928</v>
      </c>
      <c r="C203" s="18" t="str">
        <f>"230214"</f>
        <v>230214</v>
      </c>
      <c r="D203" s="18" t="s">
        <v>20</v>
      </c>
      <c r="E203" s="18" t="str">
        <f>"田娜"</f>
        <v>田娜</v>
      </c>
      <c r="F203" s="18">
        <v>86</v>
      </c>
      <c r="G203" s="18">
        <v>85.5</v>
      </c>
      <c r="H203" s="18">
        <f t="shared" si="11"/>
        <v>85.80000000000001</v>
      </c>
      <c r="I203" s="18">
        <v>83.1</v>
      </c>
      <c r="J203" s="18">
        <v>79.62</v>
      </c>
      <c r="K203" s="18" t="s">
        <v>86</v>
      </c>
      <c r="L203" s="18"/>
    </row>
    <row r="204" spans="1:12" ht="30" customHeight="1">
      <c r="A204" s="17">
        <v>202</v>
      </c>
      <c r="B204" s="18" t="str">
        <f>"23021827"</f>
        <v>23021827</v>
      </c>
      <c r="C204" s="18" t="str">
        <f>"230214"</f>
        <v>230214</v>
      </c>
      <c r="D204" s="18" t="s">
        <v>20</v>
      </c>
      <c r="E204" s="18" t="str">
        <f>"张研顺"</f>
        <v>张研顺</v>
      </c>
      <c r="F204" s="18">
        <v>84.5</v>
      </c>
      <c r="G204" s="18">
        <v>82.5</v>
      </c>
      <c r="H204" s="18">
        <f t="shared" si="11"/>
        <v>83.69999999999999</v>
      </c>
      <c r="I204" s="18">
        <v>83.1</v>
      </c>
      <c r="J204" s="18">
        <v>79.095</v>
      </c>
      <c r="K204" s="18" t="s">
        <v>86</v>
      </c>
      <c r="L204" s="18"/>
    </row>
    <row r="205" spans="1:12" ht="30" customHeight="1">
      <c r="A205" s="17">
        <v>203</v>
      </c>
      <c r="B205" s="18" t="str">
        <f>"23022203"</f>
        <v>23022203</v>
      </c>
      <c r="C205" s="18" t="str">
        <f>"230215"</f>
        <v>230215</v>
      </c>
      <c r="D205" s="18" t="s">
        <v>90</v>
      </c>
      <c r="E205" s="18" t="str">
        <f>"郭美真"</f>
        <v>郭美真</v>
      </c>
      <c r="F205" s="18">
        <v>101.5</v>
      </c>
      <c r="G205" s="18">
        <v>91</v>
      </c>
      <c r="H205" s="18">
        <f t="shared" si="11"/>
        <v>97.3</v>
      </c>
      <c r="I205" s="18">
        <v>77.6</v>
      </c>
      <c r="J205" s="18">
        <v>78.645</v>
      </c>
      <c r="K205" s="18" t="s">
        <v>86</v>
      </c>
      <c r="L205" s="18"/>
    </row>
    <row r="206" spans="1:12" ht="30" customHeight="1">
      <c r="A206" s="17">
        <v>204</v>
      </c>
      <c r="B206" s="18" t="str">
        <f>"23023117"</f>
        <v>23023117</v>
      </c>
      <c r="C206" s="18" t="str">
        <f>"230215"</f>
        <v>230215</v>
      </c>
      <c r="D206" s="18" t="s">
        <v>90</v>
      </c>
      <c r="E206" s="18" t="str">
        <f>"张南南"</f>
        <v>张南南</v>
      </c>
      <c r="F206" s="18">
        <v>94</v>
      </c>
      <c r="G206" s="18">
        <v>87.5</v>
      </c>
      <c r="H206" s="18">
        <f t="shared" si="11"/>
        <v>91.4</v>
      </c>
      <c r="I206" s="18">
        <v>79</v>
      </c>
      <c r="J206" s="18">
        <v>78.15</v>
      </c>
      <c r="K206" s="18" t="s">
        <v>86</v>
      </c>
      <c r="L206" s="18"/>
    </row>
    <row r="207" spans="1:12" ht="30" customHeight="1">
      <c r="A207" s="17">
        <v>205</v>
      </c>
      <c r="B207" s="18" t="str">
        <f>"23023306"</f>
        <v>23023306</v>
      </c>
      <c r="C207" s="18" t="str">
        <f>"230215"</f>
        <v>230215</v>
      </c>
      <c r="D207" s="18" t="s">
        <v>90</v>
      </c>
      <c r="E207" s="18" t="str">
        <f>"杨桥桥"</f>
        <v>杨桥桥</v>
      </c>
      <c r="F207" s="18">
        <v>90</v>
      </c>
      <c r="G207" s="18">
        <v>92.5</v>
      </c>
      <c r="H207" s="18">
        <f>F207*0.6+G207*0.4</f>
        <v>91</v>
      </c>
      <c r="I207" s="18">
        <v>77.6</v>
      </c>
      <c r="J207" s="18">
        <v>77.07</v>
      </c>
      <c r="K207" s="18" t="s">
        <v>86</v>
      </c>
      <c r="L207" s="18"/>
    </row>
    <row r="208" spans="1:12" ht="30" customHeight="1">
      <c r="A208" s="17">
        <v>206</v>
      </c>
      <c r="B208" s="18" t="str">
        <f>"23022501"</f>
        <v>23022501</v>
      </c>
      <c r="C208" s="18" t="str">
        <f>"230215"</f>
        <v>230215</v>
      </c>
      <c r="D208" s="18" t="s">
        <v>90</v>
      </c>
      <c r="E208" s="18" t="str">
        <f>"周颖"</f>
        <v>周颖</v>
      </c>
      <c r="F208" s="18">
        <v>94.5</v>
      </c>
      <c r="G208" s="18">
        <v>82.5</v>
      </c>
      <c r="H208" s="18">
        <f>F208*0.6+G208*0.4</f>
        <v>89.69999999999999</v>
      </c>
      <c r="I208" s="18">
        <v>77.8</v>
      </c>
      <c r="J208" s="18">
        <v>76.88499999999999</v>
      </c>
      <c r="K208" s="18" t="s">
        <v>86</v>
      </c>
      <c r="L208" s="18"/>
    </row>
    <row r="209" spans="1:12" ht="30" customHeight="1">
      <c r="A209" s="17">
        <v>207</v>
      </c>
      <c r="B209" s="18" t="s">
        <v>91</v>
      </c>
      <c r="C209" s="18" t="s">
        <v>92</v>
      </c>
      <c r="D209" s="18" t="s">
        <v>90</v>
      </c>
      <c r="E209" s="18" t="s">
        <v>93</v>
      </c>
      <c r="F209" s="18">
        <v>93.5</v>
      </c>
      <c r="G209" s="18">
        <v>78</v>
      </c>
      <c r="H209" s="18">
        <v>87.3</v>
      </c>
      <c r="I209" s="18">
        <v>77.6</v>
      </c>
      <c r="J209" s="18">
        <v>76.145</v>
      </c>
      <c r="K209" s="18" t="s">
        <v>86</v>
      </c>
      <c r="L209" s="18"/>
    </row>
    <row r="210" spans="1:12" ht="30" customHeight="1">
      <c r="A210" s="17">
        <v>208</v>
      </c>
      <c r="B210" s="18" t="str">
        <f>"23036406"</f>
        <v>23036406</v>
      </c>
      <c r="C210" s="18" t="str">
        <f>"230216"</f>
        <v>230216</v>
      </c>
      <c r="D210" s="18" t="s">
        <v>94</v>
      </c>
      <c r="E210" s="18" t="str">
        <f>"李晰茹"</f>
        <v>李晰茹</v>
      </c>
      <c r="F210" s="18">
        <v>102</v>
      </c>
      <c r="G210" s="18">
        <v>83.5</v>
      </c>
      <c r="H210" s="18">
        <f aca="true" t="shared" si="17" ref="H210:H222">F210*0.6+G210*0.4</f>
        <v>94.6</v>
      </c>
      <c r="I210" s="18">
        <v>81.4</v>
      </c>
      <c r="J210" s="18">
        <v>80.63</v>
      </c>
      <c r="K210" s="18" t="s">
        <v>86</v>
      </c>
      <c r="L210" s="18"/>
    </row>
    <row r="211" spans="1:12" ht="30" customHeight="1">
      <c r="A211" s="17">
        <v>209</v>
      </c>
      <c r="B211" s="18" t="str">
        <f>"23036313"</f>
        <v>23036313</v>
      </c>
      <c r="C211" s="18" t="str">
        <f>"230216"</f>
        <v>230216</v>
      </c>
      <c r="D211" s="18" t="s">
        <v>94</v>
      </c>
      <c r="E211" s="18" t="str">
        <f>"钟婷"</f>
        <v>钟婷</v>
      </c>
      <c r="F211" s="18">
        <v>98</v>
      </c>
      <c r="G211" s="18">
        <v>84</v>
      </c>
      <c r="H211" s="18">
        <f t="shared" si="17"/>
        <v>92.4</v>
      </c>
      <c r="I211" s="18">
        <v>80.9</v>
      </c>
      <c r="J211" s="18">
        <v>79.73</v>
      </c>
      <c r="K211" s="18" t="s">
        <v>86</v>
      </c>
      <c r="L211" s="18"/>
    </row>
    <row r="212" spans="1:12" ht="30" customHeight="1">
      <c r="A212" s="17">
        <v>210</v>
      </c>
      <c r="B212" s="18" t="str">
        <f>"23010405"</f>
        <v>23010405</v>
      </c>
      <c r="C212" s="18" t="str">
        <f>"230102"</f>
        <v>230102</v>
      </c>
      <c r="D212" s="18" t="s">
        <v>58</v>
      </c>
      <c r="E212" s="18" t="str">
        <f>"乔未来"</f>
        <v>乔未来</v>
      </c>
      <c r="F212" s="18">
        <v>80</v>
      </c>
      <c r="G212" s="18">
        <v>101</v>
      </c>
      <c r="H212" s="18">
        <f t="shared" si="17"/>
        <v>88.4</v>
      </c>
      <c r="I212" s="18">
        <v>87.2</v>
      </c>
      <c r="J212" s="18">
        <v>83.14</v>
      </c>
      <c r="K212" s="18" t="s">
        <v>95</v>
      </c>
      <c r="L212" s="18"/>
    </row>
    <row r="213" spans="1:12" ht="30" customHeight="1">
      <c r="A213" s="17">
        <v>211</v>
      </c>
      <c r="B213" s="18" t="str">
        <f>"23010415"</f>
        <v>23010415</v>
      </c>
      <c r="C213" s="18" t="str">
        <f>"230102"</f>
        <v>230102</v>
      </c>
      <c r="D213" s="18" t="s">
        <v>58</v>
      </c>
      <c r="E213" s="18" t="str">
        <f>"杨雨婷"</f>
        <v>杨雨婷</v>
      </c>
      <c r="F213" s="18">
        <v>92</v>
      </c>
      <c r="G213" s="18">
        <v>86</v>
      </c>
      <c r="H213" s="18">
        <f t="shared" si="17"/>
        <v>89.6</v>
      </c>
      <c r="I213" s="18">
        <v>85.2</v>
      </c>
      <c r="J213" s="18">
        <v>82.04</v>
      </c>
      <c r="K213" s="18" t="s">
        <v>95</v>
      </c>
      <c r="L213" s="18"/>
    </row>
    <row r="214" spans="1:12" ht="30" customHeight="1">
      <c r="A214" s="17">
        <v>212</v>
      </c>
      <c r="B214" s="18" t="str">
        <f>"23010428"</f>
        <v>23010428</v>
      </c>
      <c r="C214" s="18" t="str">
        <f aca="true" t="shared" si="18" ref="C214:C223">"230103"</f>
        <v>230103</v>
      </c>
      <c r="D214" s="18" t="s">
        <v>63</v>
      </c>
      <c r="E214" s="18" t="str">
        <f>"费运婷"</f>
        <v>费运婷</v>
      </c>
      <c r="F214" s="18">
        <v>85</v>
      </c>
      <c r="G214" s="18">
        <v>99</v>
      </c>
      <c r="H214" s="18">
        <f t="shared" si="17"/>
        <v>90.6</v>
      </c>
      <c r="I214" s="18">
        <v>83.6</v>
      </c>
      <c r="J214" s="18">
        <v>81.16999999999999</v>
      </c>
      <c r="K214" s="18" t="s">
        <v>95</v>
      </c>
      <c r="L214" s="18"/>
    </row>
    <row r="215" spans="1:12" ht="30" customHeight="1">
      <c r="A215" s="17">
        <v>213</v>
      </c>
      <c r="B215" s="18" t="str">
        <f>"23010623"</f>
        <v>23010623</v>
      </c>
      <c r="C215" s="18" t="str">
        <f t="shared" si="18"/>
        <v>230103</v>
      </c>
      <c r="D215" s="18" t="s">
        <v>63</v>
      </c>
      <c r="E215" s="18" t="str">
        <f>"赵真真"</f>
        <v>赵真真</v>
      </c>
      <c r="F215" s="18">
        <v>82</v>
      </c>
      <c r="G215" s="18">
        <v>100</v>
      </c>
      <c r="H215" s="18">
        <f t="shared" si="17"/>
        <v>89.19999999999999</v>
      </c>
      <c r="I215" s="18">
        <v>83.2</v>
      </c>
      <c r="J215" s="18">
        <v>80.53999999999999</v>
      </c>
      <c r="K215" s="18" t="s">
        <v>95</v>
      </c>
      <c r="L215" s="18"/>
    </row>
    <row r="216" spans="1:12" ht="30" customHeight="1">
      <c r="A216" s="17">
        <v>214</v>
      </c>
      <c r="B216" s="18" t="str">
        <f>"23010605"</f>
        <v>23010605</v>
      </c>
      <c r="C216" s="18" t="str">
        <f t="shared" si="18"/>
        <v>230103</v>
      </c>
      <c r="D216" s="18" t="s">
        <v>63</v>
      </c>
      <c r="E216" s="18" t="str">
        <f>"郭苗苗"</f>
        <v>郭苗苗</v>
      </c>
      <c r="F216" s="18">
        <v>84</v>
      </c>
      <c r="G216" s="18">
        <v>87</v>
      </c>
      <c r="H216" s="18">
        <f t="shared" si="17"/>
        <v>85.2</v>
      </c>
      <c r="I216" s="18">
        <v>84.6</v>
      </c>
      <c r="J216" s="18">
        <v>80.52</v>
      </c>
      <c r="K216" s="18" t="s">
        <v>95</v>
      </c>
      <c r="L216" s="18"/>
    </row>
    <row r="217" spans="1:12" ht="30" customHeight="1">
      <c r="A217" s="17">
        <v>215</v>
      </c>
      <c r="B217" s="18" t="str">
        <f>"23010610"</f>
        <v>23010610</v>
      </c>
      <c r="C217" s="18" t="str">
        <f t="shared" si="18"/>
        <v>230103</v>
      </c>
      <c r="D217" s="18" t="s">
        <v>63</v>
      </c>
      <c r="E217" s="18" t="str">
        <f>"刘迪"</f>
        <v>刘迪</v>
      </c>
      <c r="F217" s="18">
        <v>94</v>
      </c>
      <c r="G217" s="18">
        <v>79</v>
      </c>
      <c r="H217" s="18">
        <f t="shared" si="17"/>
        <v>88</v>
      </c>
      <c r="I217" s="18">
        <v>82.8</v>
      </c>
      <c r="J217" s="18">
        <v>79.96</v>
      </c>
      <c r="K217" s="18" t="s">
        <v>95</v>
      </c>
      <c r="L217" s="18"/>
    </row>
    <row r="218" spans="1:12" ht="30" customHeight="1">
      <c r="A218" s="17">
        <v>216</v>
      </c>
      <c r="B218" s="18" t="str">
        <f>"23010616"</f>
        <v>23010616</v>
      </c>
      <c r="C218" s="18" t="str">
        <f t="shared" si="18"/>
        <v>230103</v>
      </c>
      <c r="D218" s="18" t="s">
        <v>63</v>
      </c>
      <c r="E218" s="18" t="str">
        <f>"李媛媛"</f>
        <v>李媛媛</v>
      </c>
      <c r="F218" s="18">
        <v>70</v>
      </c>
      <c r="G218" s="18">
        <v>88</v>
      </c>
      <c r="H218" s="18">
        <f t="shared" si="17"/>
        <v>77.2</v>
      </c>
      <c r="I218" s="18">
        <v>84.6</v>
      </c>
      <c r="J218" s="18">
        <v>78.52</v>
      </c>
      <c r="K218" s="18" t="s">
        <v>95</v>
      </c>
      <c r="L218" s="18"/>
    </row>
    <row r="219" spans="1:12" ht="30" customHeight="1">
      <c r="A219" s="17">
        <v>217</v>
      </c>
      <c r="B219" s="18" t="str">
        <f>"23010526"</f>
        <v>23010526</v>
      </c>
      <c r="C219" s="18" t="str">
        <f t="shared" si="18"/>
        <v>230103</v>
      </c>
      <c r="D219" s="18" t="s">
        <v>63</v>
      </c>
      <c r="E219" s="18" t="str">
        <f>"夏贤淑"</f>
        <v>夏贤淑</v>
      </c>
      <c r="F219" s="18">
        <v>79</v>
      </c>
      <c r="G219" s="18">
        <v>79</v>
      </c>
      <c r="H219" s="18">
        <f t="shared" si="17"/>
        <v>79</v>
      </c>
      <c r="I219" s="18">
        <v>83.6</v>
      </c>
      <c r="J219" s="18">
        <v>78.27</v>
      </c>
      <c r="K219" s="18" t="s">
        <v>95</v>
      </c>
      <c r="L219" s="18"/>
    </row>
    <row r="220" spans="1:12" ht="30" customHeight="1">
      <c r="A220" s="17">
        <v>218</v>
      </c>
      <c r="B220" s="18" t="str">
        <f>"23010607"</f>
        <v>23010607</v>
      </c>
      <c r="C220" s="18" t="str">
        <f t="shared" si="18"/>
        <v>230103</v>
      </c>
      <c r="D220" s="18" t="s">
        <v>63</v>
      </c>
      <c r="E220" s="18" t="str">
        <f>"卓海涵"</f>
        <v>卓海涵</v>
      </c>
      <c r="F220" s="18">
        <v>79</v>
      </c>
      <c r="G220" s="18">
        <v>96</v>
      </c>
      <c r="H220" s="18">
        <f t="shared" si="17"/>
        <v>85.80000000000001</v>
      </c>
      <c r="I220" s="18">
        <v>81</v>
      </c>
      <c r="J220" s="18">
        <v>78.15</v>
      </c>
      <c r="K220" s="18" t="s">
        <v>95</v>
      </c>
      <c r="L220" s="18"/>
    </row>
    <row r="221" spans="1:12" ht="30" customHeight="1">
      <c r="A221" s="17">
        <v>219</v>
      </c>
      <c r="B221" s="18" t="str">
        <f>"23010529"</f>
        <v>23010529</v>
      </c>
      <c r="C221" s="18" t="str">
        <f t="shared" si="18"/>
        <v>230103</v>
      </c>
      <c r="D221" s="18" t="s">
        <v>63</v>
      </c>
      <c r="E221" s="18" t="str">
        <f>"朱国娇"</f>
        <v>朱国娇</v>
      </c>
      <c r="F221" s="18">
        <v>79</v>
      </c>
      <c r="G221" s="18">
        <v>86</v>
      </c>
      <c r="H221" s="18">
        <f t="shared" si="17"/>
        <v>81.8</v>
      </c>
      <c r="I221" s="18">
        <v>82</v>
      </c>
      <c r="J221" s="18">
        <v>77.85</v>
      </c>
      <c r="K221" s="18" t="s">
        <v>95</v>
      </c>
      <c r="L221" s="18"/>
    </row>
    <row r="222" spans="1:12" ht="30" customHeight="1">
      <c r="A222" s="17">
        <v>220</v>
      </c>
      <c r="B222" s="18" t="str">
        <f>"23010525"</f>
        <v>23010525</v>
      </c>
      <c r="C222" s="18" t="str">
        <f t="shared" si="18"/>
        <v>230103</v>
      </c>
      <c r="D222" s="18" t="s">
        <v>63</v>
      </c>
      <c r="E222" s="18" t="str">
        <f>"高婉"</f>
        <v>高婉</v>
      </c>
      <c r="F222" s="18">
        <v>81</v>
      </c>
      <c r="G222" s="18">
        <v>80</v>
      </c>
      <c r="H222" s="18">
        <f t="shared" si="17"/>
        <v>80.6</v>
      </c>
      <c r="I222" s="18">
        <v>82.4</v>
      </c>
      <c r="J222" s="18">
        <v>77.83</v>
      </c>
      <c r="K222" s="18" t="s">
        <v>95</v>
      </c>
      <c r="L222" s="18"/>
    </row>
    <row r="223" spans="1:12" ht="30" customHeight="1">
      <c r="A223" s="17">
        <v>221</v>
      </c>
      <c r="B223" s="18" t="str">
        <f>"23010611"</f>
        <v>23010611</v>
      </c>
      <c r="C223" s="18" t="str">
        <f t="shared" si="18"/>
        <v>230103</v>
      </c>
      <c r="D223" s="18" t="s">
        <v>63</v>
      </c>
      <c r="E223" s="18" t="str">
        <f>"刘春迎"</f>
        <v>刘春迎</v>
      </c>
      <c r="F223" s="18">
        <v>77</v>
      </c>
      <c r="G223" s="18">
        <v>77</v>
      </c>
      <c r="H223" s="18">
        <v>77</v>
      </c>
      <c r="I223" s="18">
        <v>83.6</v>
      </c>
      <c r="J223" s="18">
        <v>77.77</v>
      </c>
      <c r="K223" s="18" t="s">
        <v>95</v>
      </c>
      <c r="L223" s="18"/>
    </row>
    <row r="224" spans="1:12" ht="30" customHeight="1">
      <c r="A224" s="17">
        <v>222</v>
      </c>
      <c r="B224" s="18" t="str">
        <f>"23012225"</f>
        <v>23012225</v>
      </c>
      <c r="C224" s="18" t="str">
        <f aca="true" t="shared" si="19" ref="C224:C229">"230104"</f>
        <v>230104</v>
      </c>
      <c r="D224" s="18" t="s">
        <v>60</v>
      </c>
      <c r="E224" s="18" t="str">
        <f>"徐月"</f>
        <v>徐月</v>
      </c>
      <c r="F224" s="18">
        <v>90</v>
      </c>
      <c r="G224" s="18">
        <v>93</v>
      </c>
      <c r="H224" s="18">
        <f aca="true" t="shared" si="20" ref="H224:H251">F224*0.6+G224*0.4</f>
        <v>91.2</v>
      </c>
      <c r="I224" s="18">
        <v>85.6</v>
      </c>
      <c r="J224" s="18">
        <v>82.72</v>
      </c>
      <c r="K224" s="18" t="s">
        <v>95</v>
      </c>
      <c r="L224" s="18"/>
    </row>
    <row r="225" spans="1:12" ht="30" customHeight="1">
      <c r="A225" s="17">
        <v>223</v>
      </c>
      <c r="B225" s="18" t="str">
        <f>"23012228"</f>
        <v>23012228</v>
      </c>
      <c r="C225" s="18" t="str">
        <f t="shared" si="19"/>
        <v>230104</v>
      </c>
      <c r="D225" s="18" t="s">
        <v>60</v>
      </c>
      <c r="E225" s="18" t="str">
        <f>"程中秀"</f>
        <v>程中秀</v>
      </c>
      <c r="F225" s="18">
        <v>85</v>
      </c>
      <c r="G225" s="18">
        <v>87</v>
      </c>
      <c r="H225" s="18">
        <f t="shared" si="20"/>
        <v>85.80000000000001</v>
      </c>
      <c r="I225" s="18">
        <v>86.4</v>
      </c>
      <c r="J225" s="18">
        <v>81.93</v>
      </c>
      <c r="K225" s="18" t="s">
        <v>95</v>
      </c>
      <c r="L225" s="18"/>
    </row>
    <row r="226" spans="1:12" ht="30" customHeight="1">
      <c r="A226" s="17">
        <v>224</v>
      </c>
      <c r="B226" s="18" t="str">
        <f>"23012202"</f>
        <v>23012202</v>
      </c>
      <c r="C226" s="18" t="str">
        <f t="shared" si="19"/>
        <v>230104</v>
      </c>
      <c r="D226" s="18" t="s">
        <v>60</v>
      </c>
      <c r="E226" s="18" t="str">
        <f>"曾高峰"</f>
        <v>曾高峰</v>
      </c>
      <c r="F226" s="18">
        <v>94</v>
      </c>
      <c r="G226" s="18">
        <v>85</v>
      </c>
      <c r="H226" s="18">
        <f t="shared" si="20"/>
        <v>90.4</v>
      </c>
      <c r="I226" s="18">
        <v>84.6</v>
      </c>
      <c r="J226" s="18">
        <v>81.82</v>
      </c>
      <c r="K226" s="18" t="s">
        <v>95</v>
      </c>
      <c r="L226" s="18"/>
    </row>
    <row r="227" spans="1:12" ht="30" customHeight="1">
      <c r="A227" s="17">
        <v>225</v>
      </c>
      <c r="B227" s="18" t="str">
        <f>"23012217"</f>
        <v>23012217</v>
      </c>
      <c r="C227" s="18" t="str">
        <f t="shared" si="19"/>
        <v>230104</v>
      </c>
      <c r="D227" s="18" t="s">
        <v>60</v>
      </c>
      <c r="E227" s="18" t="str">
        <f>"林王凯"</f>
        <v>林王凯</v>
      </c>
      <c r="F227" s="18">
        <v>115</v>
      </c>
      <c r="G227" s="18">
        <v>76</v>
      </c>
      <c r="H227" s="18">
        <f t="shared" si="20"/>
        <v>99.4</v>
      </c>
      <c r="I227" s="18">
        <v>80.8</v>
      </c>
      <c r="J227" s="18">
        <v>81.41</v>
      </c>
      <c r="K227" s="18" t="s">
        <v>95</v>
      </c>
      <c r="L227" s="18"/>
    </row>
    <row r="228" spans="1:12" ht="30" customHeight="1">
      <c r="A228" s="17">
        <v>226</v>
      </c>
      <c r="B228" s="18" t="str">
        <f>"23012227"</f>
        <v>23012227</v>
      </c>
      <c r="C228" s="18" t="str">
        <f t="shared" si="19"/>
        <v>230104</v>
      </c>
      <c r="D228" s="18" t="s">
        <v>60</v>
      </c>
      <c r="E228" s="18" t="str">
        <f>"张凯"</f>
        <v>张凯</v>
      </c>
      <c r="F228" s="18">
        <v>98</v>
      </c>
      <c r="G228" s="18">
        <v>83</v>
      </c>
      <c r="H228" s="18">
        <f t="shared" si="20"/>
        <v>92</v>
      </c>
      <c r="I228" s="18">
        <v>83.3</v>
      </c>
      <c r="J228" s="18">
        <v>81.31</v>
      </c>
      <c r="K228" s="18" t="s">
        <v>95</v>
      </c>
      <c r="L228" s="18"/>
    </row>
    <row r="229" spans="1:12" ht="30" customHeight="1">
      <c r="A229" s="17">
        <v>227</v>
      </c>
      <c r="B229" s="18" t="str">
        <f>"23012224"</f>
        <v>23012224</v>
      </c>
      <c r="C229" s="18" t="str">
        <f t="shared" si="19"/>
        <v>230104</v>
      </c>
      <c r="D229" s="18" t="s">
        <v>60</v>
      </c>
      <c r="E229" s="18" t="str">
        <f>"黄安"</f>
        <v>黄安</v>
      </c>
      <c r="F229" s="18">
        <v>95</v>
      </c>
      <c r="G229" s="18">
        <v>85</v>
      </c>
      <c r="H229" s="18">
        <f t="shared" si="20"/>
        <v>91</v>
      </c>
      <c r="I229" s="18">
        <v>83.6</v>
      </c>
      <c r="J229" s="18">
        <v>81.27</v>
      </c>
      <c r="K229" s="18" t="s">
        <v>95</v>
      </c>
      <c r="L229" s="18"/>
    </row>
    <row r="230" spans="1:12" ht="30" customHeight="1">
      <c r="A230" s="17">
        <v>228</v>
      </c>
      <c r="B230" s="18" t="str">
        <f>"23012520"</f>
        <v>23012520</v>
      </c>
      <c r="C230" s="18" t="str">
        <f aca="true" t="shared" si="21" ref="C230:C235">"230106"</f>
        <v>230106</v>
      </c>
      <c r="D230" s="18" t="s">
        <v>32</v>
      </c>
      <c r="E230" s="18" t="str">
        <f>"慕文"</f>
        <v>慕文</v>
      </c>
      <c r="F230" s="18">
        <v>109</v>
      </c>
      <c r="G230" s="18">
        <v>78</v>
      </c>
      <c r="H230" s="18">
        <f t="shared" si="20"/>
        <v>96.6</v>
      </c>
      <c r="I230" s="18">
        <v>84.2</v>
      </c>
      <c r="J230" s="18">
        <v>83.09</v>
      </c>
      <c r="K230" s="18" t="s">
        <v>95</v>
      </c>
      <c r="L230" s="18"/>
    </row>
    <row r="231" spans="1:12" ht="30" customHeight="1">
      <c r="A231" s="17">
        <v>229</v>
      </c>
      <c r="B231" s="18" t="str">
        <f>"23012618"</f>
        <v>23012618</v>
      </c>
      <c r="C231" s="18" t="str">
        <f t="shared" si="21"/>
        <v>230106</v>
      </c>
      <c r="D231" s="18" t="s">
        <v>32</v>
      </c>
      <c r="E231" s="18" t="str">
        <f>"冷慧聪"</f>
        <v>冷慧聪</v>
      </c>
      <c r="F231" s="18">
        <v>87</v>
      </c>
      <c r="G231" s="18">
        <v>84</v>
      </c>
      <c r="H231" s="18">
        <f t="shared" si="20"/>
        <v>85.8</v>
      </c>
      <c r="I231" s="18">
        <v>85.6</v>
      </c>
      <c r="J231" s="18">
        <v>81.36999999999999</v>
      </c>
      <c r="K231" s="18" t="s">
        <v>95</v>
      </c>
      <c r="L231" s="18"/>
    </row>
    <row r="232" spans="1:12" ht="30" customHeight="1">
      <c r="A232" s="17">
        <v>230</v>
      </c>
      <c r="B232" s="18" t="str">
        <f>"23012619"</f>
        <v>23012619</v>
      </c>
      <c r="C232" s="18" t="str">
        <f t="shared" si="21"/>
        <v>230106</v>
      </c>
      <c r="D232" s="18" t="s">
        <v>32</v>
      </c>
      <c r="E232" s="18" t="str">
        <f>"戴冉"</f>
        <v>戴冉</v>
      </c>
      <c r="F232" s="18">
        <v>98</v>
      </c>
      <c r="G232" s="18">
        <v>74</v>
      </c>
      <c r="H232" s="18">
        <f t="shared" si="20"/>
        <v>88.4</v>
      </c>
      <c r="I232" s="18">
        <v>84</v>
      </c>
      <c r="J232" s="18">
        <v>80.9</v>
      </c>
      <c r="K232" s="18" t="s">
        <v>95</v>
      </c>
      <c r="L232" s="18"/>
    </row>
    <row r="233" spans="1:12" ht="30" customHeight="1">
      <c r="A233" s="17">
        <v>231</v>
      </c>
      <c r="B233" s="18" t="str">
        <f>"23012613"</f>
        <v>23012613</v>
      </c>
      <c r="C233" s="18" t="str">
        <f t="shared" si="21"/>
        <v>230106</v>
      </c>
      <c r="D233" s="18" t="s">
        <v>32</v>
      </c>
      <c r="E233" s="18" t="str">
        <f>"丁天宇"</f>
        <v>丁天宇</v>
      </c>
      <c r="F233" s="18">
        <v>92</v>
      </c>
      <c r="G233" s="18">
        <v>84</v>
      </c>
      <c r="H233" s="18">
        <f t="shared" si="20"/>
        <v>88.8</v>
      </c>
      <c r="I233" s="18">
        <v>83.8</v>
      </c>
      <c r="J233" s="18">
        <v>80.86</v>
      </c>
      <c r="K233" s="18" t="s">
        <v>95</v>
      </c>
      <c r="L233" s="18"/>
    </row>
    <row r="234" spans="1:12" ht="30" customHeight="1">
      <c r="A234" s="17">
        <v>232</v>
      </c>
      <c r="B234" s="18" t="str">
        <f>"23012604"</f>
        <v>23012604</v>
      </c>
      <c r="C234" s="18" t="str">
        <f t="shared" si="21"/>
        <v>230106</v>
      </c>
      <c r="D234" s="18" t="s">
        <v>32</v>
      </c>
      <c r="E234" s="18" t="str">
        <f>"杨甲"</f>
        <v>杨甲</v>
      </c>
      <c r="F234" s="18">
        <v>110</v>
      </c>
      <c r="G234" s="18">
        <v>70</v>
      </c>
      <c r="H234" s="18">
        <f t="shared" si="20"/>
        <v>94</v>
      </c>
      <c r="I234" s="18">
        <v>81.8</v>
      </c>
      <c r="J234" s="18">
        <v>80.75999999999999</v>
      </c>
      <c r="K234" s="18" t="s">
        <v>95</v>
      </c>
      <c r="L234" s="18"/>
    </row>
    <row r="235" spans="1:12" ht="30" customHeight="1">
      <c r="A235" s="17">
        <v>233</v>
      </c>
      <c r="B235" s="18" t="str">
        <f>"23012617"</f>
        <v>23012617</v>
      </c>
      <c r="C235" s="18" t="str">
        <f t="shared" si="21"/>
        <v>230106</v>
      </c>
      <c r="D235" s="18" t="s">
        <v>32</v>
      </c>
      <c r="E235" s="18" t="str">
        <f>"沈磊"</f>
        <v>沈磊</v>
      </c>
      <c r="F235" s="18">
        <v>91</v>
      </c>
      <c r="G235" s="18">
        <v>93</v>
      </c>
      <c r="H235" s="18">
        <f t="shared" si="20"/>
        <v>91.80000000000001</v>
      </c>
      <c r="I235" s="18">
        <v>82.2</v>
      </c>
      <c r="J235" s="18">
        <v>80.49000000000001</v>
      </c>
      <c r="K235" s="18" t="s">
        <v>95</v>
      </c>
      <c r="L235" s="18"/>
    </row>
    <row r="236" spans="1:12" ht="30" customHeight="1">
      <c r="A236" s="17">
        <v>234</v>
      </c>
      <c r="B236" s="18" t="str">
        <f>"23010801"</f>
        <v>23010801</v>
      </c>
      <c r="C236" s="18" t="str">
        <f aca="true" t="shared" si="22" ref="C236:C245">"230107"</f>
        <v>230107</v>
      </c>
      <c r="D236" s="18" t="s">
        <v>33</v>
      </c>
      <c r="E236" s="18" t="str">
        <f>"唐姣"</f>
        <v>唐姣</v>
      </c>
      <c r="F236" s="18">
        <v>100</v>
      </c>
      <c r="G236" s="18">
        <v>111</v>
      </c>
      <c r="H236" s="18">
        <f t="shared" si="20"/>
        <v>104.4</v>
      </c>
      <c r="I236" s="18">
        <v>85.2</v>
      </c>
      <c r="J236" s="18">
        <v>85.74</v>
      </c>
      <c r="K236" s="18" t="s">
        <v>95</v>
      </c>
      <c r="L236" s="18"/>
    </row>
    <row r="237" spans="1:12" ht="30" customHeight="1">
      <c r="A237" s="17">
        <v>235</v>
      </c>
      <c r="B237" s="18" t="str">
        <f>"23011017"</f>
        <v>23011017</v>
      </c>
      <c r="C237" s="18" t="str">
        <f t="shared" si="22"/>
        <v>230107</v>
      </c>
      <c r="D237" s="18" t="s">
        <v>33</v>
      </c>
      <c r="E237" s="18" t="str">
        <f>"金芸"</f>
        <v>金芸</v>
      </c>
      <c r="F237" s="18">
        <v>104</v>
      </c>
      <c r="G237" s="18">
        <v>102</v>
      </c>
      <c r="H237" s="18">
        <f t="shared" si="20"/>
        <v>103.2</v>
      </c>
      <c r="I237" s="18">
        <v>85.4</v>
      </c>
      <c r="J237" s="18">
        <v>85.58</v>
      </c>
      <c r="K237" s="18" t="s">
        <v>95</v>
      </c>
      <c r="L237" s="18"/>
    </row>
    <row r="238" spans="1:12" ht="30" customHeight="1">
      <c r="A238" s="17">
        <v>236</v>
      </c>
      <c r="B238" s="18" t="str">
        <f>"23010811"</f>
        <v>23010811</v>
      </c>
      <c r="C238" s="18" t="str">
        <f t="shared" si="22"/>
        <v>230107</v>
      </c>
      <c r="D238" s="18" t="s">
        <v>33</v>
      </c>
      <c r="E238" s="18" t="str">
        <f>"吴怡"</f>
        <v>吴怡</v>
      </c>
      <c r="F238" s="18">
        <v>107</v>
      </c>
      <c r="G238" s="18">
        <v>106</v>
      </c>
      <c r="H238" s="18">
        <f t="shared" si="20"/>
        <v>106.60000000000001</v>
      </c>
      <c r="I238" s="18">
        <v>84</v>
      </c>
      <c r="J238" s="18">
        <v>85.45</v>
      </c>
      <c r="K238" s="18" t="s">
        <v>95</v>
      </c>
      <c r="L238" s="18"/>
    </row>
    <row r="239" spans="1:12" ht="30" customHeight="1">
      <c r="A239" s="17">
        <v>237</v>
      </c>
      <c r="B239" s="18" t="str">
        <f>"23010815"</f>
        <v>23010815</v>
      </c>
      <c r="C239" s="18" t="str">
        <f t="shared" si="22"/>
        <v>230107</v>
      </c>
      <c r="D239" s="18" t="s">
        <v>33</v>
      </c>
      <c r="E239" s="18" t="str">
        <f>"马雪"</f>
        <v>马雪</v>
      </c>
      <c r="F239" s="18">
        <v>108</v>
      </c>
      <c r="G239" s="18">
        <v>93</v>
      </c>
      <c r="H239" s="18">
        <f t="shared" si="20"/>
        <v>102</v>
      </c>
      <c r="I239" s="18">
        <v>84.8</v>
      </c>
      <c r="J239" s="18">
        <v>84.85999999999999</v>
      </c>
      <c r="K239" s="18" t="s">
        <v>95</v>
      </c>
      <c r="L239" s="18"/>
    </row>
    <row r="240" spans="1:12" ht="30" customHeight="1">
      <c r="A240" s="17">
        <v>238</v>
      </c>
      <c r="B240" s="18" t="str">
        <f>"23011012"</f>
        <v>23011012</v>
      </c>
      <c r="C240" s="18" t="str">
        <f t="shared" si="22"/>
        <v>230107</v>
      </c>
      <c r="D240" s="18" t="s">
        <v>33</v>
      </c>
      <c r="E240" s="18" t="str">
        <f>"崔柏鹭"</f>
        <v>崔柏鹭</v>
      </c>
      <c r="F240" s="18">
        <v>100</v>
      </c>
      <c r="G240" s="18">
        <v>94</v>
      </c>
      <c r="H240" s="18">
        <f t="shared" si="20"/>
        <v>97.6</v>
      </c>
      <c r="I240" s="18">
        <v>84.8</v>
      </c>
      <c r="J240" s="18">
        <v>83.76</v>
      </c>
      <c r="K240" s="18" t="s">
        <v>95</v>
      </c>
      <c r="L240" s="18"/>
    </row>
    <row r="241" spans="1:12" ht="30" customHeight="1">
      <c r="A241" s="17">
        <v>239</v>
      </c>
      <c r="B241" s="18" t="str">
        <f>"23010910"</f>
        <v>23010910</v>
      </c>
      <c r="C241" s="18" t="str">
        <f t="shared" si="22"/>
        <v>230107</v>
      </c>
      <c r="D241" s="18" t="s">
        <v>33</v>
      </c>
      <c r="E241" s="18" t="str">
        <f>"李皓晨"</f>
        <v>李皓晨</v>
      </c>
      <c r="F241" s="18">
        <v>91.5</v>
      </c>
      <c r="G241" s="18">
        <v>101</v>
      </c>
      <c r="H241" s="18">
        <f t="shared" si="20"/>
        <v>95.30000000000001</v>
      </c>
      <c r="I241" s="18">
        <v>85.2</v>
      </c>
      <c r="J241" s="18">
        <v>83.465</v>
      </c>
      <c r="K241" s="18" t="s">
        <v>95</v>
      </c>
      <c r="L241" s="18"/>
    </row>
    <row r="242" spans="1:12" ht="30" customHeight="1">
      <c r="A242" s="17">
        <v>240</v>
      </c>
      <c r="B242" s="18" t="str">
        <f>"23010917"</f>
        <v>23010917</v>
      </c>
      <c r="C242" s="18" t="str">
        <f t="shared" si="22"/>
        <v>230107</v>
      </c>
      <c r="D242" s="18" t="s">
        <v>33</v>
      </c>
      <c r="E242" s="18" t="str">
        <f>"宫雪"</f>
        <v>宫雪</v>
      </c>
      <c r="F242" s="18">
        <v>103</v>
      </c>
      <c r="G242" s="18">
        <v>103</v>
      </c>
      <c r="H242" s="18">
        <f t="shared" si="20"/>
        <v>103</v>
      </c>
      <c r="I242" s="18">
        <v>81.6</v>
      </c>
      <c r="J242" s="18">
        <v>82.86999999999999</v>
      </c>
      <c r="K242" s="18" t="s">
        <v>95</v>
      </c>
      <c r="L242" s="18"/>
    </row>
    <row r="243" spans="1:12" ht="30" customHeight="1">
      <c r="A243" s="17">
        <v>241</v>
      </c>
      <c r="B243" s="18" t="str">
        <f>"23010906"</f>
        <v>23010906</v>
      </c>
      <c r="C243" s="18" t="str">
        <f t="shared" si="22"/>
        <v>230107</v>
      </c>
      <c r="D243" s="18" t="s">
        <v>33</v>
      </c>
      <c r="E243" s="18" t="str">
        <f>"徐玲佳"</f>
        <v>徐玲佳</v>
      </c>
      <c r="F243" s="18">
        <v>101</v>
      </c>
      <c r="G243" s="18">
        <v>93</v>
      </c>
      <c r="H243" s="18">
        <f t="shared" si="20"/>
        <v>97.8</v>
      </c>
      <c r="I243" s="18">
        <v>83.4</v>
      </c>
      <c r="J243" s="18">
        <v>82.83</v>
      </c>
      <c r="K243" s="18" t="s">
        <v>95</v>
      </c>
      <c r="L243" s="18"/>
    </row>
    <row r="244" spans="1:12" ht="30" customHeight="1">
      <c r="A244" s="17">
        <v>242</v>
      </c>
      <c r="B244" s="18" t="str">
        <f>"23010911"</f>
        <v>23010911</v>
      </c>
      <c r="C244" s="18" t="str">
        <f t="shared" si="22"/>
        <v>230107</v>
      </c>
      <c r="D244" s="18" t="s">
        <v>33</v>
      </c>
      <c r="E244" s="18" t="str">
        <f>"代光荣"</f>
        <v>代光荣</v>
      </c>
      <c r="F244" s="18">
        <v>104</v>
      </c>
      <c r="G244" s="18">
        <v>87</v>
      </c>
      <c r="H244" s="18">
        <f t="shared" si="20"/>
        <v>97.2</v>
      </c>
      <c r="I244" s="18">
        <v>83.6</v>
      </c>
      <c r="J244" s="18">
        <v>82.82</v>
      </c>
      <c r="K244" s="18" t="s">
        <v>95</v>
      </c>
      <c r="L244" s="18"/>
    </row>
    <row r="245" spans="1:12" ht="30" customHeight="1">
      <c r="A245" s="17">
        <v>243</v>
      </c>
      <c r="B245" s="18" t="str">
        <f>"23010824"</f>
        <v>23010824</v>
      </c>
      <c r="C245" s="18" t="str">
        <f t="shared" si="22"/>
        <v>230107</v>
      </c>
      <c r="D245" s="18" t="s">
        <v>33</v>
      </c>
      <c r="E245" s="18" t="str">
        <f>"夏楠楠"</f>
        <v>夏楠楠</v>
      </c>
      <c r="F245" s="18">
        <v>101</v>
      </c>
      <c r="G245" s="18">
        <v>101</v>
      </c>
      <c r="H245" s="18">
        <f t="shared" si="20"/>
        <v>101</v>
      </c>
      <c r="I245" s="18">
        <v>82.2</v>
      </c>
      <c r="J245" s="18">
        <v>82.79</v>
      </c>
      <c r="K245" s="18" t="s">
        <v>95</v>
      </c>
      <c r="L245" s="18"/>
    </row>
    <row r="246" spans="1:12" ht="30" customHeight="1">
      <c r="A246" s="17">
        <v>244</v>
      </c>
      <c r="B246" s="18" t="str">
        <f>"23011326"</f>
        <v>23011326</v>
      </c>
      <c r="C246" s="18" t="str">
        <f aca="true" t="shared" si="23" ref="C246:C252">"230108"</f>
        <v>230108</v>
      </c>
      <c r="D246" s="18" t="s">
        <v>67</v>
      </c>
      <c r="E246" s="18" t="str">
        <f>"李进"</f>
        <v>李进</v>
      </c>
      <c r="F246" s="18">
        <v>100</v>
      </c>
      <c r="G246" s="18">
        <v>97</v>
      </c>
      <c r="H246" s="18">
        <f t="shared" si="20"/>
        <v>98.80000000000001</v>
      </c>
      <c r="I246" s="18">
        <v>87.7</v>
      </c>
      <c r="J246" s="18">
        <v>86.09</v>
      </c>
      <c r="K246" s="18" t="s">
        <v>95</v>
      </c>
      <c r="L246" s="18"/>
    </row>
    <row r="247" spans="1:12" ht="30" customHeight="1">
      <c r="A247" s="17">
        <v>245</v>
      </c>
      <c r="B247" s="18" t="str">
        <f>"23011203"</f>
        <v>23011203</v>
      </c>
      <c r="C247" s="18" t="str">
        <f t="shared" si="23"/>
        <v>230108</v>
      </c>
      <c r="D247" s="18" t="s">
        <v>67</v>
      </c>
      <c r="E247" s="18" t="str">
        <f>"张雪林"</f>
        <v>张雪林</v>
      </c>
      <c r="F247" s="18">
        <v>110</v>
      </c>
      <c r="G247" s="18">
        <v>85</v>
      </c>
      <c r="H247" s="18">
        <f t="shared" si="20"/>
        <v>100</v>
      </c>
      <c r="I247" s="18">
        <v>85.4</v>
      </c>
      <c r="J247" s="18">
        <v>84.78</v>
      </c>
      <c r="K247" s="18" t="s">
        <v>95</v>
      </c>
      <c r="L247" s="18"/>
    </row>
    <row r="248" spans="1:12" ht="30" customHeight="1">
      <c r="A248" s="17">
        <v>246</v>
      </c>
      <c r="B248" s="18" t="str">
        <f>"23011219"</f>
        <v>23011219</v>
      </c>
      <c r="C248" s="18" t="str">
        <f t="shared" si="23"/>
        <v>230108</v>
      </c>
      <c r="D248" s="18" t="s">
        <v>67</v>
      </c>
      <c r="E248" s="18" t="str">
        <f>"戴欠南"</f>
        <v>戴欠南</v>
      </c>
      <c r="F248" s="18">
        <v>101</v>
      </c>
      <c r="G248" s="18">
        <v>97</v>
      </c>
      <c r="H248" s="18">
        <f t="shared" si="20"/>
        <v>99.4</v>
      </c>
      <c r="I248" s="18">
        <v>83.8</v>
      </c>
      <c r="J248" s="18">
        <v>83.51</v>
      </c>
      <c r="K248" s="18" t="s">
        <v>95</v>
      </c>
      <c r="L248" s="18"/>
    </row>
    <row r="249" spans="1:12" ht="30" customHeight="1">
      <c r="A249" s="17">
        <v>247</v>
      </c>
      <c r="B249" s="18" t="str">
        <f>"23011423"</f>
        <v>23011423</v>
      </c>
      <c r="C249" s="18" t="str">
        <f t="shared" si="23"/>
        <v>230108</v>
      </c>
      <c r="D249" s="18" t="s">
        <v>67</v>
      </c>
      <c r="E249" s="18" t="str">
        <f>"李瑀珂"</f>
        <v>李瑀珂</v>
      </c>
      <c r="F249" s="18">
        <v>96</v>
      </c>
      <c r="G249" s="18">
        <v>99</v>
      </c>
      <c r="H249" s="18">
        <f t="shared" si="20"/>
        <v>97.19999999999999</v>
      </c>
      <c r="I249" s="18">
        <v>84</v>
      </c>
      <c r="J249" s="18">
        <v>83.1</v>
      </c>
      <c r="K249" s="18" t="s">
        <v>95</v>
      </c>
      <c r="L249" s="18"/>
    </row>
    <row r="250" spans="1:12" ht="30" customHeight="1">
      <c r="A250" s="17">
        <v>248</v>
      </c>
      <c r="B250" s="18" t="str">
        <f>"23011120"</f>
        <v>23011120</v>
      </c>
      <c r="C250" s="18" t="str">
        <f t="shared" si="23"/>
        <v>230108</v>
      </c>
      <c r="D250" s="18" t="s">
        <v>67</v>
      </c>
      <c r="E250" s="18" t="str">
        <f>"邢梦雨"</f>
        <v>邢梦雨</v>
      </c>
      <c r="F250" s="18">
        <v>102</v>
      </c>
      <c r="G250" s="18">
        <v>102</v>
      </c>
      <c r="H250" s="18">
        <f t="shared" si="20"/>
        <v>102</v>
      </c>
      <c r="I250" s="18">
        <v>81.2</v>
      </c>
      <c r="J250" s="18">
        <v>82.34</v>
      </c>
      <c r="K250" s="18" t="s">
        <v>95</v>
      </c>
      <c r="L250" s="18"/>
    </row>
    <row r="251" spans="1:12" ht="30" customHeight="1">
      <c r="A251" s="17">
        <v>249</v>
      </c>
      <c r="B251" s="18" t="str">
        <f>"23011328"</f>
        <v>23011328</v>
      </c>
      <c r="C251" s="18" t="str">
        <f t="shared" si="23"/>
        <v>230108</v>
      </c>
      <c r="D251" s="18" t="s">
        <v>67</v>
      </c>
      <c r="E251" s="18" t="str">
        <f>"郭晨杰"</f>
        <v>郭晨杰</v>
      </c>
      <c r="F251" s="18">
        <v>103</v>
      </c>
      <c r="G251" s="18">
        <v>90</v>
      </c>
      <c r="H251" s="18">
        <f t="shared" si="20"/>
        <v>97.8</v>
      </c>
      <c r="I251" s="18">
        <v>82.6</v>
      </c>
      <c r="J251" s="18">
        <v>82.27</v>
      </c>
      <c r="K251" s="18" t="s">
        <v>95</v>
      </c>
      <c r="L251" s="18"/>
    </row>
    <row r="252" spans="1:12" ht="30" customHeight="1">
      <c r="A252" s="17">
        <v>250</v>
      </c>
      <c r="B252" s="18" t="str">
        <f>"23011320"</f>
        <v>23011320</v>
      </c>
      <c r="C252" s="18" t="str">
        <f t="shared" si="23"/>
        <v>230108</v>
      </c>
      <c r="D252" s="18" t="s">
        <v>67</v>
      </c>
      <c r="E252" s="18" t="str">
        <f>"常可仁"</f>
        <v>常可仁</v>
      </c>
      <c r="F252" s="18">
        <v>102</v>
      </c>
      <c r="G252" s="18">
        <v>97</v>
      </c>
      <c r="H252" s="18">
        <v>100</v>
      </c>
      <c r="I252" s="18">
        <v>81.4</v>
      </c>
      <c r="J252" s="18">
        <v>81.98</v>
      </c>
      <c r="K252" s="18" t="s">
        <v>95</v>
      </c>
      <c r="L252" s="18"/>
    </row>
    <row r="253" spans="1:12" ht="30" customHeight="1">
      <c r="A253" s="17">
        <v>251</v>
      </c>
      <c r="B253" s="18" t="str">
        <f>"23013010"</f>
        <v>23013010</v>
      </c>
      <c r="C253" s="18" t="str">
        <f aca="true" t="shared" si="24" ref="C253:C259">"230112"</f>
        <v>230112</v>
      </c>
      <c r="D253" s="18" t="s">
        <v>42</v>
      </c>
      <c r="E253" s="18" t="str">
        <f>"乔娇娇"</f>
        <v>乔娇娇</v>
      </c>
      <c r="F253" s="18">
        <v>55</v>
      </c>
      <c r="G253" s="18">
        <v>84</v>
      </c>
      <c r="H253" s="18">
        <f aca="true" t="shared" si="25" ref="H253:H259">F253+G253*0.4</f>
        <v>88.6</v>
      </c>
      <c r="I253" s="18">
        <v>83.4</v>
      </c>
      <c r="J253" s="18">
        <v>80.53</v>
      </c>
      <c r="K253" s="18" t="s">
        <v>95</v>
      </c>
      <c r="L253" s="18"/>
    </row>
    <row r="254" spans="1:12" ht="30" customHeight="1">
      <c r="A254" s="17">
        <v>252</v>
      </c>
      <c r="B254" s="18" t="str">
        <f>"23012911"</f>
        <v>23012911</v>
      </c>
      <c r="C254" s="18" t="str">
        <f t="shared" si="24"/>
        <v>230112</v>
      </c>
      <c r="D254" s="18" t="s">
        <v>42</v>
      </c>
      <c r="E254" s="18" t="str">
        <f>"汪荷梦瑶"</f>
        <v>汪荷梦瑶</v>
      </c>
      <c r="F254" s="18">
        <v>56</v>
      </c>
      <c r="G254" s="18">
        <v>94</v>
      </c>
      <c r="H254" s="18">
        <f t="shared" si="25"/>
        <v>93.6</v>
      </c>
      <c r="I254" s="18">
        <v>80.6</v>
      </c>
      <c r="J254" s="18">
        <v>79.82</v>
      </c>
      <c r="K254" s="18" t="s">
        <v>95</v>
      </c>
      <c r="L254" s="18"/>
    </row>
    <row r="255" spans="1:12" ht="30" customHeight="1">
      <c r="A255" s="17">
        <v>253</v>
      </c>
      <c r="B255" s="18" t="str">
        <f>"23012919"</f>
        <v>23012919</v>
      </c>
      <c r="C255" s="18" t="str">
        <f t="shared" si="24"/>
        <v>230112</v>
      </c>
      <c r="D255" s="18" t="s">
        <v>42</v>
      </c>
      <c r="E255" s="18" t="str">
        <f>"李志朋"</f>
        <v>李志朋</v>
      </c>
      <c r="F255" s="18">
        <v>52</v>
      </c>
      <c r="G255" s="18">
        <v>69</v>
      </c>
      <c r="H255" s="18">
        <f t="shared" si="25"/>
        <v>79.6</v>
      </c>
      <c r="I255" s="18">
        <v>85.2</v>
      </c>
      <c r="J255" s="18">
        <v>79.53999999999999</v>
      </c>
      <c r="K255" s="18" t="s">
        <v>95</v>
      </c>
      <c r="L255" s="18"/>
    </row>
    <row r="256" spans="1:12" ht="30" customHeight="1">
      <c r="A256" s="17">
        <v>254</v>
      </c>
      <c r="B256" s="18" t="str">
        <f>"23012925"</f>
        <v>23012925</v>
      </c>
      <c r="C256" s="18" t="str">
        <f t="shared" si="24"/>
        <v>230112</v>
      </c>
      <c r="D256" s="18" t="s">
        <v>42</v>
      </c>
      <c r="E256" s="18" t="str">
        <f>"陈慧慧"</f>
        <v>陈慧慧</v>
      </c>
      <c r="F256" s="18">
        <v>55</v>
      </c>
      <c r="G256" s="18">
        <v>83</v>
      </c>
      <c r="H256" s="18">
        <f t="shared" si="25"/>
        <v>88.2</v>
      </c>
      <c r="I256" s="18">
        <v>82</v>
      </c>
      <c r="J256" s="18">
        <v>79.45</v>
      </c>
      <c r="K256" s="18" t="s">
        <v>95</v>
      </c>
      <c r="L256" s="18"/>
    </row>
    <row r="257" spans="1:12" ht="30" customHeight="1">
      <c r="A257" s="17">
        <v>255</v>
      </c>
      <c r="B257" s="18" t="str">
        <f>"23012928"</f>
        <v>23012928</v>
      </c>
      <c r="C257" s="18" t="str">
        <f t="shared" si="24"/>
        <v>230112</v>
      </c>
      <c r="D257" s="18" t="s">
        <v>42</v>
      </c>
      <c r="E257" s="18" t="str">
        <f>"李兵"</f>
        <v>李兵</v>
      </c>
      <c r="F257" s="18">
        <v>59</v>
      </c>
      <c r="G257" s="18">
        <v>97</v>
      </c>
      <c r="H257" s="18">
        <f t="shared" si="25"/>
        <v>97.80000000000001</v>
      </c>
      <c r="I257" s="18">
        <v>77.8</v>
      </c>
      <c r="J257" s="18">
        <v>78.91</v>
      </c>
      <c r="K257" s="18" t="s">
        <v>95</v>
      </c>
      <c r="L257" s="18"/>
    </row>
    <row r="258" spans="1:12" ht="30" customHeight="1">
      <c r="A258" s="17">
        <v>256</v>
      </c>
      <c r="B258" s="18" t="str">
        <f>"23012929"</f>
        <v>23012929</v>
      </c>
      <c r="C258" s="18" t="str">
        <f t="shared" si="24"/>
        <v>230112</v>
      </c>
      <c r="D258" s="18" t="s">
        <v>42</v>
      </c>
      <c r="E258" s="18" t="str">
        <f>"刘凯"</f>
        <v>刘凯</v>
      </c>
      <c r="F258" s="18">
        <v>72</v>
      </c>
      <c r="G258" s="18">
        <v>87</v>
      </c>
      <c r="H258" s="18">
        <f t="shared" si="25"/>
        <v>106.80000000000001</v>
      </c>
      <c r="I258" s="18">
        <v>73.4</v>
      </c>
      <c r="J258" s="18">
        <v>78.08000000000001</v>
      </c>
      <c r="K258" s="18" t="s">
        <v>95</v>
      </c>
      <c r="L258" s="18"/>
    </row>
    <row r="259" spans="1:12" ht="30" customHeight="1">
      <c r="A259" s="17">
        <v>257</v>
      </c>
      <c r="B259" s="18" t="str">
        <f>"23012921"</f>
        <v>23012921</v>
      </c>
      <c r="C259" s="18" t="str">
        <f t="shared" si="24"/>
        <v>230112</v>
      </c>
      <c r="D259" s="18" t="s">
        <v>42</v>
      </c>
      <c r="E259" s="18" t="str">
        <f>"王迎占"</f>
        <v>王迎占</v>
      </c>
      <c r="F259" s="18">
        <v>65</v>
      </c>
      <c r="G259" s="18">
        <v>78</v>
      </c>
      <c r="H259" s="18">
        <f t="shared" si="25"/>
        <v>96.2</v>
      </c>
      <c r="I259" s="18">
        <v>75.2</v>
      </c>
      <c r="J259" s="18">
        <v>76.69</v>
      </c>
      <c r="K259" s="18" t="s">
        <v>95</v>
      </c>
      <c r="L259" s="18"/>
    </row>
    <row r="260" spans="1:12" ht="30" customHeight="1">
      <c r="A260" s="17">
        <v>258</v>
      </c>
      <c r="B260" s="18" t="str">
        <f>"23010721"</f>
        <v>23010721</v>
      </c>
      <c r="C260" s="18" t="str">
        <f>"230113"</f>
        <v>230113</v>
      </c>
      <c r="D260" s="18" t="s">
        <v>35</v>
      </c>
      <c r="E260" s="18" t="str">
        <f>"蒋冉冉"</f>
        <v>蒋冉冉</v>
      </c>
      <c r="F260" s="18">
        <v>96</v>
      </c>
      <c r="G260" s="18">
        <v>99</v>
      </c>
      <c r="H260" s="18">
        <f aca="true" t="shared" si="26" ref="H260:H271">F260*0.6+G260*0.4</f>
        <v>97.19999999999999</v>
      </c>
      <c r="I260" s="18">
        <v>81</v>
      </c>
      <c r="J260" s="18">
        <v>81</v>
      </c>
      <c r="K260" s="18" t="s">
        <v>95</v>
      </c>
      <c r="L260" s="18"/>
    </row>
    <row r="261" spans="1:12" ht="30" customHeight="1">
      <c r="A261" s="17">
        <v>259</v>
      </c>
      <c r="B261" s="18" t="str">
        <f>"23010730"</f>
        <v>23010730</v>
      </c>
      <c r="C261" s="18" t="str">
        <f>"230113"</f>
        <v>230113</v>
      </c>
      <c r="D261" s="18" t="s">
        <v>35</v>
      </c>
      <c r="E261" s="18" t="str">
        <f>"翁洁"</f>
        <v>翁洁</v>
      </c>
      <c r="F261" s="18">
        <v>86</v>
      </c>
      <c r="G261" s="18">
        <v>96</v>
      </c>
      <c r="H261" s="18">
        <f t="shared" si="26"/>
        <v>90</v>
      </c>
      <c r="I261" s="18">
        <v>80.6</v>
      </c>
      <c r="J261" s="18">
        <v>78.91999999999999</v>
      </c>
      <c r="K261" s="18" t="s">
        <v>95</v>
      </c>
      <c r="L261" s="18"/>
    </row>
    <row r="262" spans="1:12" ht="30" customHeight="1">
      <c r="A262" s="17">
        <v>260</v>
      </c>
      <c r="B262" s="18" t="str">
        <f>"23013506"</f>
        <v>23013506</v>
      </c>
      <c r="C262" s="18" t="str">
        <f>"230114"</f>
        <v>230114</v>
      </c>
      <c r="D262" s="18" t="s">
        <v>36</v>
      </c>
      <c r="E262" s="18" t="str">
        <f>"李婷"</f>
        <v>李婷</v>
      </c>
      <c r="F262" s="18">
        <v>97</v>
      </c>
      <c r="G262" s="18">
        <v>92</v>
      </c>
      <c r="H262" s="18">
        <f t="shared" si="26"/>
        <v>95</v>
      </c>
      <c r="I262" s="18">
        <v>86.64</v>
      </c>
      <c r="J262" s="18">
        <v>84.398</v>
      </c>
      <c r="K262" s="18" t="s">
        <v>95</v>
      </c>
      <c r="L262" s="18"/>
    </row>
    <row r="263" spans="1:12" ht="30" customHeight="1">
      <c r="A263" s="17">
        <v>261</v>
      </c>
      <c r="B263" s="18" t="str">
        <f>"23013319"</f>
        <v>23013319</v>
      </c>
      <c r="C263" s="18" t="str">
        <f>"230115"</f>
        <v>230115</v>
      </c>
      <c r="D263" s="18" t="s">
        <v>78</v>
      </c>
      <c r="E263" s="18" t="str">
        <f>"王浩"</f>
        <v>王浩</v>
      </c>
      <c r="F263" s="18">
        <v>110</v>
      </c>
      <c r="G263" s="18">
        <v>90</v>
      </c>
      <c r="H263" s="18">
        <f t="shared" si="26"/>
        <v>102</v>
      </c>
      <c r="I263" s="18">
        <v>86.24</v>
      </c>
      <c r="J263" s="18">
        <v>85.868</v>
      </c>
      <c r="K263" s="18" t="s">
        <v>95</v>
      </c>
      <c r="L263" s="18"/>
    </row>
    <row r="264" spans="1:12" ht="30" customHeight="1">
      <c r="A264" s="17">
        <v>262</v>
      </c>
      <c r="B264" s="18" t="str">
        <f>"23013229"</f>
        <v>23013229</v>
      </c>
      <c r="C264" s="18" t="str">
        <f>"230115"</f>
        <v>230115</v>
      </c>
      <c r="D264" s="18" t="s">
        <v>78</v>
      </c>
      <c r="E264" s="18" t="str">
        <f>"孟陈"</f>
        <v>孟陈</v>
      </c>
      <c r="F264" s="18">
        <v>111</v>
      </c>
      <c r="G264" s="18">
        <v>73</v>
      </c>
      <c r="H264" s="18">
        <f t="shared" si="26"/>
        <v>95.8</v>
      </c>
      <c r="I264" s="18">
        <v>87.78</v>
      </c>
      <c r="J264" s="18">
        <v>85.396</v>
      </c>
      <c r="K264" s="18" t="s">
        <v>95</v>
      </c>
      <c r="L264" s="18"/>
    </row>
    <row r="265" spans="1:12" ht="30" customHeight="1">
      <c r="A265" s="17">
        <v>263</v>
      </c>
      <c r="B265" s="18" t="str">
        <f>"23013213"</f>
        <v>23013213</v>
      </c>
      <c r="C265" s="18" t="str">
        <f>"230115"</f>
        <v>230115</v>
      </c>
      <c r="D265" s="18" t="s">
        <v>78</v>
      </c>
      <c r="E265" s="18" t="str">
        <f>"王小梅"</f>
        <v>王小梅</v>
      </c>
      <c r="F265" s="18">
        <v>116</v>
      </c>
      <c r="G265" s="18">
        <v>75</v>
      </c>
      <c r="H265" s="18">
        <f t="shared" si="26"/>
        <v>99.6</v>
      </c>
      <c r="I265" s="18">
        <v>84.16</v>
      </c>
      <c r="J265" s="18">
        <v>83.81199999999998</v>
      </c>
      <c r="K265" s="18" t="s">
        <v>95</v>
      </c>
      <c r="L265" s="18"/>
    </row>
    <row r="266" spans="1:12" ht="30" customHeight="1">
      <c r="A266" s="17">
        <v>264</v>
      </c>
      <c r="B266" s="18" t="str">
        <f>"23013301"</f>
        <v>23013301</v>
      </c>
      <c r="C266" s="18" t="str">
        <f>"230115"</f>
        <v>230115</v>
      </c>
      <c r="D266" s="18" t="s">
        <v>78</v>
      </c>
      <c r="E266" s="18" t="str">
        <f>"孟雅婷"</f>
        <v>孟雅婷</v>
      </c>
      <c r="F266" s="18">
        <v>89</v>
      </c>
      <c r="G266" s="18">
        <v>110</v>
      </c>
      <c r="H266" s="18">
        <f t="shared" si="26"/>
        <v>97.4</v>
      </c>
      <c r="I266" s="18">
        <v>84.34</v>
      </c>
      <c r="J266" s="18">
        <v>83.388</v>
      </c>
      <c r="K266" s="18" t="s">
        <v>95</v>
      </c>
      <c r="L266" s="18"/>
    </row>
    <row r="267" spans="1:12" ht="30" customHeight="1">
      <c r="A267" s="17">
        <v>265</v>
      </c>
      <c r="B267" s="18" t="str">
        <f>"23012117"</f>
        <v>23012117</v>
      </c>
      <c r="C267" s="18" t="str">
        <f>"230116"</f>
        <v>230116</v>
      </c>
      <c r="D267" s="18" t="s">
        <v>96</v>
      </c>
      <c r="E267" s="18" t="str">
        <f>"张雯雯"</f>
        <v>张雯雯</v>
      </c>
      <c r="F267" s="18">
        <v>81</v>
      </c>
      <c r="G267" s="18">
        <v>78</v>
      </c>
      <c r="H267" s="18">
        <f t="shared" si="26"/>
        <v>79.80000000000001</v>
      </c>
      <c r="I267" s="18">
        <v>83.8</v>
      </c>
      <c r="J267" s="18">
        <v>78.61</v>
      </c>
      <c r="K267" s="18" t="s">
        <v>95</v>
      </c>
      <c r="L267" s="18"/>
    </row>
    <row r="268" spans="1:12" ht="30" customHeight="1">
      <c r="A268" s="17">
        <v>266</v>
      </c>
      <c r="B268" s="18" t="str">
        <f>"23012128"</f>
        <v>23012128</v>
      </c>
      <c r="C268" s="18" t="str">
        <f>"230116"</f>
        <v>230116</v>
      </c>
      <c r="D268" s="18" t="s">
        <v>96</v>
      </c>
      <c r="E268" s="18" t="str">
        <f>"林浩"</f>
        <v>林浩</v>
      </c>
      <c r="F268" s="18">
        <v>78</v>
      </c>
      <c r="G268" s="18">
        <v>73</v>
      </c>
      <c r="H268" s="18">
        <f t="shared" si="26"/>
        <v>76</v>
      </c>
      <c r="I268" s="18">
        <v>82.4</v>
      </c>
      <c r="J268" s="18">
        <v>76.68</v>
      </c>
      <c r="K268" s="18" t="s">
        <v>95</v>
      </c>
      <c r="L268" s="18"/>
    </row>
    <row r="269" spans="1:12" ht="30" customHeight="1">
      <c r="A269" s="17">
        <v>267</v>
      </c>
      <c r="B269" s="18" t="str">
        <f>"23012119"</f>
        <v>23012119</v>
      </c>
      <c r="C269" s="18" t="str">
        <f>"230116"</f>
        <v>230116</v>
      </c>
      <c r="D269" s="18" t="s">
        <v>96</v>
      </c>
      <c r="E269" s="18" t="str">
        <f>"张星添"</f>
        <v>张星添</v>
      </c>
      <c r="F269" s="18">
        <v>92</v>
      </c>
      <c r="G269" s="18">
        <v>93</v>
      </c>
      <c r="H269" s="18">
        <f t="shared" si="26"/>
        <v>92.4</v>
      </c>
      <c r="I269" s="18">
        <v>73.6</v>
      </c>
      <c r="J269" s="18">
        <v>74.62</v>
      </c>
      <c r="K269" s="18" t="s">
        <v>95</v>
      </c>
      <c r="L269" s="18"/>
    </row>
    <row r="270" spans="1:12" ht="30" customHeight="1">
      <c r="A270" s="17">
        <v>268</v>
      </c>
      <c r="B270" s="18" t="str">
        <f>"23012124"</f>
        <v>23012124</v>
      </c>
      <c r="C270" s="18" t="str">
        <f>"230116"</f>
        <v>230116</v>
      </c>
      <c r="D270" s="18" t="s">
        <v>96</v>
      </c>
      <c r="E270" s="18" t="str">
        <f>"杨宇"</f>
        <v>杨宇</v>
      </c>
      <c r="F270" s="18">
        <v>67</v>
      </c>
      <c r="G270" s="18">
        <v>97</v>
      </c>
      <c r="H270" s="18">
        <f t="shared" si="26"/>
        <v>79</v>
      </c>
      <c r="I270" s="18">
        <v>78.2</v>
      </c>
      <c r="J270" s="18">
        <v>74.49000000000001</v>
      </c>
      <c r="K270" s="18" t="s">
        <v>95</v>
      </c>
      <c r="L270" s="18"/>
    </row>
    <row r="271" spans="1:12" ht="30" customHeight="1">
      <c r="A271" s="17">
        <v>269</v>
      </c>
      <c r="B271" s="18" t="str">
        <f>"23012111"</f>
        <v>23012111</v>
      </c>
      <c r="C271" s="18" t="str">
        <f>"230116"</f>
        <v>230116</v>
      </c>
      <c r="D271" s="18" t="s">
        <v>96</v>
      </c>
      <c r="E271" s="18" t="str">
        <f>"金宇"</f>
        <v>金宇</v>
      </c>
      <c r="F271" s="18">
        <v>81</v>
      </c>
      <c r="G271" s="18">
        <v>82</v>
      </c>
      <c r="H271" s="18">
        <f t="shared" si="26"/>
        <v>81.4</v>
      </c>
      <c r="I271" s="18">
        <v>73.8</v>
      </c>
      <c r="J271" s="18">
        <v>72.00999999999999</v>
      </c>
      <c r="K271" s="18" t="s">
        <v>95</v>
      </c>
      <c r="L271" s="18"/>
    </row>
    <row r="272" spans="1:12" ht="30" customHeight="1">
      <c r="A272" s="17">
        <v>270</v>
      </c>
      <c r="B272" s="18" t="str">
        <f>"23013428"</f>
        <v>23013428</v>
      </c>
      <c r="C272" s="18" t="str">
        <f>"230117"</f>
        <v>230117</v>
      </c>
      <c r="D272" s="18" t="s">
        <v>39</v>
      </c>
      <c r="E272" s="18" t="str">
        <f>"黄文武"</f>
        <v>黄文武</v>
      </c>
      <c r="F272" s="18">
        <v>84</v>
      </c>
      <c r="G272" s="18">
        <v>102</v>
      </c>
      <c r="H272" s="18">
        <f>F272*1.2*0.6+G272*0.4</f>
        <v>101.28</v>
      </c>
      <c r="I272" s="18">
        <v>86.2</v>
      </c>
      <c r="J272" s="18">
        <v>85.66</v>
      </c>
      <c r="K272" s="18" t="s">
        <v>95</v>
      </c>
      <c r="L272" s="18"/>
    </row>
    <row r="273" spans="1:12" ht="30" customHeight="1">
      <c r="A273" s="17">
        <v>271</v>
      </c>
      <c r="B273" s="18" t="str">
        <f>"23013414"</f>
        <v>23013414</v>
      </c>
      <c r="C273" s="18" t="str">
        <f>"230117"</f>
        <v>230117</v>
      </c>
      <c r="D273" s="18" t="s">
        <v>39</v>
      </c>
      <c r="E273" s="18" t="str">
        <f>"武强"</f>
        <v>武强</v>
      </c>
      <c r="F273" s="18">
        <v>88</v>
      </c>
      <c r="G273" s="18">
        <v>92</v>
      </c>
      <c r="H273" s="18">
        <f>F273*1.2*0.6+G273*0.4</f>
        <v>100.16</v>
      </c>
      <c r="I273" s="18">
        <v>79.2</v>
      </c>
      <c r="J273" s="18">
        <v>80.47999999999999</v>
      </c>
      <c r="K273" s="18" t="s">
        <v>95</v>
      </c>
      <c r="L273" s="18"/>
    </row>
    <row r="274" spans="1:12" ht="30" customHeight="1">
      <c r="A274" s="17">
        <v>272</v>
      </c>
      <c r="B274" s="18" t="str">
        <f>"23013416"</f>
        <v>23013416</v>
      </c>
      <c r="C274" s="18" t="str">
        <f>"230117"</f>
        <v>230117</v>
      </c>
      <c r="D274" s="18" t="s">
        <v>39</v>
      </c>
      <c r="E274" s="18" t="str">
        <f>"邸甄甄"</f>
        <v>邸甄甄</v>
      </c>
      <c r="F274" s="18">
        <v>78</v>
      </c>
      <c r="G274" s="18">
        <v>84</v>
      </c>
      <c r="H274" s="18">
        <f>F274*1.2*0.6+G274*0.4</f>
        <v>89.75999999999999</v>
      </c>
      <c r="I274" s="18">
        <v>82.8</v>
      </c>
      <c r="J274" s="18">
        <v>80.39999999999999</v>
      </c>
      <c r="K274" s="18" t="s">
        <v>95</v>
      </c>
      <c r="L274" s="18"/>
    </row>
    <row r="275" spans="1:12" ht="30" customHeight="1">
      <c r="A275" s="17">
        <v>273</v>
      </c>
      <c r="B275" s="18" t="str">
        <f>"23013415"</f>
        <v>23013415</v>
      </c>
      <c r="C275" s="18" t="str">
        <f>"230117"</f>
        <v>230117</v>
      </c>
      <c r="D275" s="18" t="s">
        <v>39</v>
      </c>
      <c r="E275" s="18" t="str">
        <f>"张玉伟"</f>
        <v>张玉伟</v>
      </c>
      <c r="F275" s="18">
        <v>85</v>
      </c>
      <c r="G275" s="18">
        <v>84</v>
      </c>
      <c r="H275" s="18">
        <f>F275*1.2*0.6+G275*0.4</f>
        <v>94.8</v>
      </c>
      <c r="I275" s="18">
        <v>81</v>
      </c>
      <c r="J275" s="18">
        <v>80.39999999999999</v>
      </c>
      <c r="K275" s="18" t="s">
        <v>95</v>
      </c>
      <c r="L275" s="18"/>
    </row>
    <row r="276" spans="1:12" ht="30" customHeight="1">
      <c r="A276" s="17">
        <v>274</v>
      </c>
      <c r="B276" s="18" t="str">
        <f>"23013405"</f>
        <v>23013405</v>
      </c>
      <c r="C276" s="18" t="str">
        <f>"230117"</f>
        <v>230117</v>
      </c>
      <c r="D276" s="18" t="s">
        <v>39</v>
      </c>
      <c r="E276" s="18" t="str">
        <f>"张冬磊"</f>
        <v>张冬磊</v>
      </c>
      <c r="F276" s="18">
        <v>79</v>
      </c>
      <c r="G276" s="18">
        <v>103</v>
      </c>
      <c r="H276" s="18">
        <f>F276*1.2*0.6+G276*0.4</f>
        <v>98.08</v>
      </c>
      <c r="I276" s="18">
        <v>79</v>
      </c>
      <c r="J276" s="18">
        <v>79.82</v>
      </c>
      <c r="K276" s="18" t="s">
        <v>95</v>
      </c>
      <c r="L276" s="18"/>
    </row>
    <row r="277" spans="1:12" ht="30" customHeight="1">
      <c r="A277" s="17">
        <v>275</v>
      </c>
      <c r="B277" s="18" t="str">
        <f>"23013112"</f>
        <v>23013112</v>
      </c>
      <c r="C277" s="18" t="str">
        <f>"230118"</f>
        <v>230118</v>
      </c>
      <c r="D277" s="18" t="s">
        <v>80</v>
      </c>
      <c r="E277" s="18" t="str">
        <f>"张云晴"</f>
        <v>张云晴</v>
      </c>
      <c r="F277" s="18">
        <v>85</v>
      </c>
      <c r="G277" s="18">
        <v>89</v>
      </c>
      <c r="H277" s="18">
        <f aca="true" t="shared" si="27" ref="H277:H302">F277*0.6+G277*0.4</f>
        <v>86.6</v>
      </c>
      <c r="I277" s="18">
        <v>87.56</v>
      </c>
      <c r="J277" s="18">
        <v>82.942</v>
      </c>
      <c r="K277" s="18" t="s">
        <v>95</v>
      </c>
      <c r="L277" s="18"/>
    </row>
    <row r="278" spans="1:12" ht="30" customHeight="1">
      <c r="A278" s="17">
        <v>276</v>
      </c>
      <c r="B278" s="18" t="str">
        <f>"23013730"</f>
        <v>23013730</v>
      </c>
      <c r="C278" s="18" t="str">
        <f>"230119"</f>
        <v>230119</v>
      </c>
      <c r="D278" s="18" t="s">
        <v>41</v>
      </c>
      <c r="E278" s="18" t="str">
        <f>"徐琦伟"</f>
        <v>徐琦伟</v>
      </c>
      <c r="F278" s="18">
        <v>96</v>
      </c>
      <c r="G278" s="18">
        <v>87</v>
      </c>
      <c r="H278" s="18">
        <f t="shared" si="27"/>
        <v>92.4</v>
      </c>
      <c r="I278" s="18">
        <v>87.4</v>
      </c>
      <c r="J278" s="18">
        <v>84.28</v>
      </c>
      <c r="K278" s="18" t="s">
        <v>95</v>
      </c>
      <c r="L278" s="18"/>
    </row>
    <row r="279" spans="1:12" ht="30" customHeight="1">
      <c r="A279" s="17">
        <v>277</v>
      </c>
      <c r="B279" s="18" t="str">
        <f>"23013811"</f>
        <v>23013811</v>
      </c>
      <c r="C279" s="18" t="str">
        <f>"230119"</f>
        <v>230119</v>
      </c>
      <c r="D279" s="18" t="s">
        <v>41</v>
      </c>
      <c r="E279" s="18" t="str">
        <f>"杨春莲"</f>
        <v>杨春莲</v>
      </c>
      <c r="F279" s="18">
        <v>85</v>
      </c>
      <c r="G279" s="18">
        <v>93</v>
      </c>
      <c r="H279" s="18">
        <f t="shared" si="27"/>
        <v>88.2</v>
      </c>
      <c r="I279" s="18">
        <v>87</v>
      </c>
      <c r="J279" s="18">
        <v>82.95</v>
      </c>
      <c r="K279" s="18" t="s">
        <v>95</v>
      </c>
      <c r="L279" s="18"/>
    </row>
    <row r="280" spans="1:12" ht="30" customHeight="1">
      <c r="A280" s="17">
        <v>278</v>
      </c>
      <c r="B280" s="18" t="str">
        <f>"23013715"</f>
        <v>23013715</v>
      </c>
      <c r="C280" s="18" t="str">
        <f>"230119"</f>
        <v>230119</v>
      </c>
      <c r="D280" s="18" t="s">
        <v>41</v>
      </c>
      <c r="E280" s="18" t="str">
        <f>"李培恩"</f>
        <v>李培恩</v>
      </c>
      <c r="F280" s="18">
        <v>92</v>
      </c>
      <c r="G280" s="18">
        <v>96</v>
      </c>
      <c r="H280" s="18">
        <f t="shared" si="27"/>
        <v>93.6</v>
      </c>
      <c r="I280" s="18">
        <v>83.8</v>
      </c>
      <c r="J280" s="18">
        <v>82.06</v>
      </c>
      <c r="K280" s="18" t="s">
        <v>95</v>
      </c>
      <c r="L280" s="18"/>
    </row>
    <row r="281" spans="1:12" ht="30" customHeight="1">
      <c r="A281" s="17">
        <v>279</v>
      </c>
      <c r="B281" s="18" t="str">
        <f>"23014106"</f>
        <v>23014106</v>
      </c>
      <c r="C281" s="18" t="str">
        <f>"230119"</f>
        <v>230119</v>
      </c>
      <c r="D281" s="18" t="s">
        <v>41</v>
      </c>
      <c r="E281" s="18" t="str">
        <f>"蒋玥"</f>
        <v>蒋玥</v>
      </c>
      <c r="F281" s="18">
        <v>86</v>
      </c>
      <c r="G281" s="18">
        <v>83</v>
      </c>
      <c r="H281" s="18">
        <f t="shared" si="27"/>
        <v>84.80000000000001</v>
      </c>
      <c r="I281" s="18">
        <v>85</v>
      </c>
      <c r="J281" s="18">
        <v>80.7</v>
      </c>
      <c r="K281" s="18" t="s">
        <v>95</v>
      </c>
      <c r="L281" s="18"/>
    </row>
    <row r="282" spans="1:12" ht="30" customHeight="1">
      <c r="A282" s="17">
        <v>280</v>
      </c>
      <c r="B282" s="18" t="str">
        <f>"23013703"</f>
        <v>23013703</v>
      </c>
      <c r="C282" s="18" t="str">
        <f>"230119"</f>
        <v>230119</v>
      </c>
      <c r="D282" s="18" t="s">
        <v>41</v>
      </c>
      <c r="E282" s="18" t="str">
        <f>"刁俊"</f>
        <v>刁俊</v>
      </c>
      <c r="F282" s="18">
        <v>92.5</v>
      </c>
      <c r="G282" s="18">
        <v>85</v>
      </c>
      <c r="H282" s="18">
        <f t="shared" si="27"/>
        <v>89.5</v>
      </c>
      <c r="I282" s="18">
        <v>83.2</v>
      </c>
      <c r="J282" s="18">
        <v>80.615</v>
      </c>
      <c r="K282" s="18" t="s">
        <v>95</v>
      </c>
      <c r="L282" s="18"/>
    </row>
    <row r="283" spans="1:12" ht="30" customHeight="1">
      <c r="A283" s="17">
        <v>281</v>
      </c>
      <c r="B283" s="18" t="str">
        <f>"23012728"</f>
        <v>23012728</v>
      </c>
      <c r="C283" s="18" t="str">
        <f>"230120"</f>
        <v>230120</v>
      </c>
      <c r="D283" s="18" t="s">
        <v>97</v>
      </c>
      <c r="E283" s="18" t="str">
        <f>"武文静"</f>
        <v>武文静</v>
      </c>
      <c r="F283" s="18">
        <v>86</v>
      </c>
      <c r="G283" s="18">
        <v>97</v>
      </c>
      <c r="H283" s="18">
        <f t="shared" si="27"/>
        <v>90.4</v>
      </c>
      <c r="I283" s="18">
        <v>85.2</v>
      </c>
      <c r="J283" s="18">
        <v>82.24</v>
      </c>
      <c r="K283" s="18" t="s">
        <v>95</v>
      </c>
      <c r="L283" s="18"/>
    </row>
    <row r="284" spans="1:12" ht="30" customHeight="1">
      <c r="A284" s="17">
        <v>282</v>
      </c>
      <c r="B284" s="18" t="str">
        <f>"23013612"</f>
        <v>23013612</v>
      </c>
      <c r="C284" s="18" t="str">
        <f>"230121"</f>
        <v>230121</v>
      </c>
      <c r="D284" s="18" t="s">
        <v>84</v>
      </c>
      <c r="E284" s="18" t="str">
        <f>"孟紫薇"</f>
        <v>孟紫薇</v>
      </c>
      <c r="F284" s="18">
        <v>78</v>
      </c>
      <c r="G284" s="18">
        <v>96</v>
      </c>
      <c r="H284" s="18">
        <f t="shared" si="27"/>
        <v>85.2</v>
      </c>
      <c r="I284" s="18">
        <v>86.82</v>
      </c>
      <c r="J284" s="18">
        <v>82.07</v>
      </c>
      <c r="K284" s="18" t="s">
        <v>95</v>
      </c>
      <c r="L284" s="18"/>
    </row>
    <row r="285" spans="1:12" ht="30" customHeight="1">
      <c r="A285" s="17">
        <v>283</v>
      </c>
      <c r="B285" s="18" t="str">
        <f>"23010122"</f>
        <v>23010122</v>
      </c>
      <c r="C285" s="18" t="str">
        <f aca="true" t="shared" si="28" ref="C285:C290">"230101"</f>
        <v>230101</v>
      </c>
      <c r="D285" s="18" t="s">
        <v>98</v>
      </c>
      <c r="E285" s="18" t="str">
        <f>"张含欣"</f>
        <v>张含欣</v>
      </c>
      <c r="F285" s="18">
        <v>81</v>
      </c>
      <c r="G285" s="18">
        <v>95</v>
      </c>
      <c r="H285" s="18">
        <f t="shared" si="27"/>
        <v>86.6</v>
      </c>
      <c r="I285" s="18">
        <v>85</v>
      </c>
      <c r="J285" s="18">
        <v>81.14999999999999</v>
      </c>
      <c r="K285" s="18" t="s">
        <v>99</v>
      </c>
      <c r="L285" s="18"/>
    </row>
    <row r="286" spans="1:12" ht="30" customHeight="1">
      <c r="A286" s="17">
        <v>284</v>
      </c>
      <c r="B286" s="18" t="str">
        <f>"23010214"</f>
        <v>23010214</v>
      </c>
      <c r="C286" s="18" t="str">
        <f t="shared" si="28"/>
        <v>230101</v>
      </c>
      <c r="D286" s="18" t="s">
        <v>98</v>
      </c>
      <c r="E286" s="18" t="str">
        <f>"汪素萍"</f>
        <v>汪素萍</v>
      </c>
      <c r="F286" s="18">
        <v>80</v>
      </c>
      <c r="G286" s="18">
        <v>93</v>
      </c>
      <c r="H286" s="18">
        <f t="shared" si="27"/>
        <v>85.2</v>
      </c>
      <c r="I286" s="18">
        <v>84.2</v>
      </c>
      <c r="J286" s="18">
        <v>80.24</v>
      </c>
      <c r="K286" s="18" t="s">
        <v>99</v>
      </c>
      <c r="L286" s="18"/>
    </row>
    <row r="287" spans="1:12" ht="30" customHeight="1">
      <c r="A287" s="17">
        <v>285</v>
      </c>
      <c r="B287" s="18" t="str">
        <f>"23010110"</f>
        <v>23010110</v>
      </c>
      <c r="C287" s="18" t="str">
        <f t="shared" si="28"/>
        <v>230101</v>
      </c>
      <c r="D287" s="18" t="s">
        <v>98</v>
      </c>
      <c r="E287" s="18" t="str">
        <f>"杨雪"</f>
        <v>杨雪</v>
      </c>
      <c r="F287" s="18">
        <v>79</v>
      </c>
      <c r="G287" s="18">
        <v>93</v>
      </c>
      <c r="H287" s="18">
        <f t="shared" si="27"/>
        <v>84.6</v>
      </c>
      <c r="I287" s="18">
        <v>83.4</v>
      </c>
      <c r="J287" s="18">
        <v>79.53</v>
      </c>
      <c r="K287" s="18" t="s">
        <v>99</v>
      </c>
      <c r="L287" s="18"/>
    </row>
    <row r="288" spans="1:12" ht="30" customHeight="1">
      <c r="A288" s="17">
        <v>286</v>
      </c>
      <c r="B288" s="18" t="str">
        <f>"23010115"</f>
        <v>23010115</v>
      </c>
      <c r="C288" s="18" t="str">
        <f t="shared" si="28"/>
        <v>230101</v>
      </c>
      <c r="D288" s="18" t="s">
        <v>98</v>
      </c>
      <c r="E288" s="18" t="str">
        <f>"李书祥"</f>
        <v>李书祥</v>
      </c>
      <c r="F288" s="18">
        <v>68</v>
      </c>
      <c r="G288" s="18">
        <v>81</v>
      </c>
      <c r="H288" s="18">
        <f t="shared" si="27"/>
        <v>73.19999999999999</v>
      </c>
      <c r="I288" s="18">
        <v>86</v>
      </c>
      <c r="J288" s="18">
        <v>78.5</v>
      </c>
      <c r="K288" s="18" t="s">
        <v>99</v>
      </c>
      <c r="L288" s="18"/>
    </row>
    <row r="289" spans="1:12" ht="30" customHeight="1">
      <c r="A289" s="17">
        <v>287</v>
      </c>
      <c r="B289" s="18" t="str">
        <f>"23010201"</f>
        <v>23010201</v>
      </c>
      <c r="C289" s="18" t="str">
        <f t="shared" si="28"/>
        <v>230101</v>
      </c>
      <c r="D289" s="18" t="s">
        <v>98</v>
      </c>
      <c r="E289" s="18" t="str">
        <f>"李子"</f>
        <v>李子</v>
      </c>
      <c r="F289" s="18">
        <v>79</v>
      </c>
      <c r="G289" s="18">
        <v>96</v>
      </c>
      <c r="H289" s="18">
        <f t="shared" si="27"/>
        <v>85.80000000000001</v>
      </c>
      <c r="I289" s="18">
        <v>81.2</v>
      </c>
      <c r="J289" s="18">
        <v>78.28999999999999</v>
      </c>
      <c r="K289" s="18" t="s">
        <v>99</v>
      </c>
      <c r="L289" s="18"/>
    </row>
    <row r="290" spans="1:12" ht="30" customHeight="1">
      <c r="A290" s="17">
        <v>288</v>
      </c>
      <c r="B290" s="18" t="str">
        <f>"23010103"</f>
        <v>23010103</v>
      </c>
      <c r="C290" s="18" t="str">
        <f t="shared" si="28"/>
        <v>230101</v>
      </c>
      <c r="D290" s="18" t="s">
        <v>98</v>
      </c>
      <c r="E290" s="18" t="str">
        <f>"程芳"</f>
        <v>程芳</v>
      </c>
      <c r="F290" s="18">
        <v>77</v>
      </c>
      <c r="G290" s="18">
        <v>95</v>
      </c>
      <c r="H290" s="18">
        <f t="shared" si="27"/>
        <v>84.19999999999999</v>
      </c>
      <c r="I290" s="18">
        <v>81.6</v>
      </c>
      <c r="J290" s="18">
        <v>78.16999999999999</v>
      </c>
      <c r="K290" s="18" t="s">
        <v>99</v>
      </c>
      <c r="L290" s="18"/>
    </row>
    <row r="291" spans="1:12" ht="30" customHeight="1">
      <c r="A291" s="17">
        <v>289</v>
      </c>
      <c r="B291" s="18" t="str">
        <f>"23012417"</f>
        <v>23012417</v>
      </c>
      <c r="C291" s="18" t="str">
        <f>"230105"</f>
        <v>230105</v>
      </c>
      <c r="D291" s="18" t="s">
        <v>65</v>
      </c>
      <c r="E291" s="18" t="str">
        <f>"董加欣"</f>
        <v>董加欣</v>
      </c>
      <c r="F291" s="18">
        <v>94</v>
      </c>
      <c r="G291" s="18">
        <v>103</v>
      </c>
      <c r="H291" s="18">
        <f t="shared" si="27"/>
        <v>97.6</v>
      </c>
      <c r="I291" s="18">
        <v>85.6</v>
      </c>
      <c r="J291" s="18">
        <v>84.32</v>
      </c>
      <c r="K291" s="18" t="s">
        <v>99</v>
      </c>
      <c r="L291" s="18"/>
    </row>
    <row r="292" spans="1:12" ht="30" customHeight="1">
      <c r="A292" s="17">
        <v>290</v>
      </c>
      <c r="B292" s="18" t="str">
        <f>"23012420"</f>
        <v>23012420</v>
      </c>
      <c r="C292" s="18" t="str">
        <f>"230105"</f>
        <v>230105</v>
      </c>
      <c r="D292" s="18" t="s">
        <v>65</v>
      </c>
      <c r="E292" s="18" t="str">
        <f>"赵越"</f>
        <v>赵越</v>
      </c>
      <c r="F292" s="18">
        <v>102</v>
      </c>
      <c r="G292" s="18">
        <v>85</v>
      </c>
      <c r="H292" s="18">
        <f t="shared" si="27"/>
        <v>95.19999999999999</v>
      </c>
      <c r="I292" s="18">
        <v>83.2</v>
      </c>
      <c r="J292" s="18">
        <v>82.04</v>
      </c>
      <c r="K292" s="18" t="s">
        <v>99</v>
      </c>
      <c r="L292" s="18"/>
    </row>
    <row r="293" spans="1:12" ht="30" customHeight="1">
      <c r="A293" s="17">
        <v>291</v>
      </c>
      <c r="B293" s="18" t="str">
        <f>"23012406"</f>
        <v>23012406</v>
      </c>
      <c r="C293" s="18" t="str">
        <f>"230105"</f>
        <v>230105</v>
      </c>
      <c r="D293" s="18" t="s">
        <v>65</v>
      </c>
      <c r="E293" s="18" t="str">
        <f>"随文涛"</f>
        <v>随文涛</v>
      </c>
      <c r="F293" s="18">
        <v>100</v>
      </c>
      <c r="G293" s="18">
        <v>91</v>
      </c>
      <c r="H293" s="18">
        <f t="shared" si="27"/>
        <v>96.4</v>
      </c>
      <c r="I293" s="18">
        <v>82</v>
      </c>
      <c r="J293" s="18">
        <v>81.5</v>
      </c>
      <c r="K293" s="18" t="s">
        <v>99</v>
      </c>
      <c r="L293" s="18"/>
    </row>
    <row r="294" spans="1:12" ht="30" customHeight="1">
      <c r="A294" s="17">
        <v>292</v>
      </c>
      <c r="B294" s="18" t="str">
        <f>"23012408"</f>
        <v>23012408</v>
      </c>
      <c r="C294" s="18" t="str">
        <f>"230105"</f>
        <v>230105</v>
      </c>
      <c r="D294" s="18" t="s">
        <v>65</v>
      </c>
      <c r="E294" s="18" t="str">
        <f>"刘苏婷"</f>
        <v>刘苏婷</v>
      </c>
      <c r="F294" s="18">
        <v>93</v>
      </c>
      <c r="G294" s="18">
        <v>73</v>
      </c>
      <c r="H294" s="18">
        <f t="shared" si="27"/>
        <v>85</v>
      </c>
      <c r="I294" s="18">
        <v>84.6</v>
      </c>
      <c r="J294" s="18">
        <v>80.47</v>
      </c>
      <c r="K294" s="18" t="s">
        <v>99</v>
      </c>
      <c r="L294" s="18"/>
    </row>
    <row r="295" spans="1:12" ht="30" customHeight="1">
      <c r="A295" s="17">
        <v>293</v>
      </c>
      <c r="B295" s="18" t="str">
        <f>"23012422"</f>
        <v>23012422</v>
      </c>
      <c r="C295" s="18" t="str">
        <f>"230105"</f>
        <v>230105</v>
      </c>
      <c r="D295" s="18" t="s">
        <v>65</v>
      </c>
      <c r="E295" s="18" t="str">
        <f>"黄金晶"</f>
        <v>黄金晶</v>
      </c>
      <c r="F295" s="18">
        <v>92</v>
      </c>
      <c r="G295" s="18">
        <v>105</v>
      </c>
      <c r="H295" s="18">
        <f t="shared" si="27"/>
        <v>97.19999999999999</v>
      </c>
      <c r="I295" s="18">
        <v>80</v>
      </c>
      <c r="J295" s="18">
        <v>80.3</v>
      </c>
      <c r="K295" s="18" t="s">
        <v>99</v>
      </c>
      <c r="L295" s="18"/>
    </row>
    <row r="296" spans="1:12" ht="30" customHeight="1">
      <c r="A296" s="17">
        <v>294</v>
      </c>
      <c r="B296" s="18" t="str">
        <f>"23011515"</f>
        <v>23011515</v>
      </c>
      <c r="C296" s="18" t="str">
        <f aca="true" t="shared" si="29" ref="C296:C302">"230109"</f>
        <v>230109</v>
      </c>
      <c r="D296" s="18" t="s">
        <v>100</v>
      </c>
      <c r="E296" s="18" t="str">
        <f>"刘丹"</f>
        <v>刘丹</v>
      </c>
      <c r="F296" s="18">
        <v>104</v>
      </c>
      <c r="G296" s="18">
        <v>91</v>
      </c>
      <c r="H296" s="18">
        <f t="shared" si="27"/>
        <v>98.8</v>
      </c>
      <c r="I296" s="18">
        <v>84.56</v>
      </c>
      <c r="J296" s="18">
        <v>83.892</v>
      </c>
      <c r="K296" s="18" t="s">
        <v>99</v>
      </c>
      <c r="L296" s="18"/>
    </row>
    <row r="297" spans="1:12" ht="30" customHeight="1">
      <c r="A297" s="17">
        <v>295</v>
      </c>
      <c r="B297" s="18" t="str">
        <f>"23011610"</f>
        <v>23011610</v>
      </c>
      <c r="C297" s="18" t="str">
        <f t="shared" si="29"/>
        <v>230109</v>
      </c>
      <c r="D297" s="18" t="s">
        <v>100</v>
      </c>
      <c r="E297" s="18" t="str">
        <f>"范慧茹"</f>
        <v>范慧茹</v>
      </c>
      <c r="F297" s="18">
        <v>105</v>
      </c>
      <c r="G297" s="18">
        <v>94</v>
      </c>
      <c r="H297" s="18">
        <f t="shared" si="27"/>
        <v>100.6</v>
      </c>
      <c r="I297" s="18">
        <v>83.84</v>
      </c>
      <c r="J297" s="18">
        <v>83.838</v>
      </c>
      <c r="K297" s="18" t="s">
        <v>99</v>
      </c>
      <c r="L297" s="18"/>
    </row>
    <row r="298" spans="1:12" ht="30" customHeight="1">
      <c r="A298" s="17">
        <v>296</v>
      </c>
      <c r="B298" s="18" t="str">
        <f>"23011502"</f>
        <v>23011502</v>
      </c>
      <c r="C298" s="18" t="str">
        <f t="shared" si="29"/>
        <v>230109</v>
      </c>
      <c r="D298" s="18" t="s">
        <v>100</v>
      </c>
      <c r="E298" s="18" t="str">
        <f>"姜玉玉"</f>
        <v>姜玉玉</v>
      </c>
      <c r="F298" s="18">
        <v>98</v>
      </c>
      <c r="G298" s="18">
        <v>94</v>
      </c>
      <c r="H298" s="18">
        <f t="shared" si="27"/>
        <v>96.4</v>
      </c>
      <c r="I298" s="18">
        <v>83.8</v>
      </c>
      <c r="J298" s="18">
        <v>82.76</v>
      </c>
      <c r="K298" s="18" t="s">
        <v>99</v>
      </c>
      <c r="L298" s="18"/>
    </row>
    <row r="299" spans="1:12" ht="30" customHeight="1">
      <c r="A299" s="17">
        <v>297</v>
      </c>
      <c r="B299" s="18" t="str">
        <f>"23011516"</f>
        <v>23011516</v>
      </c>
      <c r="C299" s="18" t="str">
        <f t="shared" si="29"/>
        <v>230109</v>
      </c>
      <c r="D299" s="18" t="s">
        <v>100</v>
      </c>
      <c r="E299" s="18" t="str">
        <f>"周九凤"</f>
        <v>周九凤</v>
      </c>
      <c r="F299" s="18">
        <v>108</v>
      </c>
      <c r="G299" s="18">
        <v>81</v>
      </c>
      <c r="H299" s="18">
        <f t="shared" si="27"/>
        <v>97.19999999999999</v>
      </c>
      <c r="I299" s="18">
        <v>83.2</v>
      </c>
      <c r="J299" s="18">
        <v>82.54</v>
      </c>
      <c r="K299" s="18" t="s">
        <v>99</v>
      </c>
      <c r="L299" s="18"/>
    </row>
    <row r="300" spans="1:12" ht="30" customHeight="1">
      <c r="A300" s="17">
        <v>298</v>
      </c>
      <c r="B300" s="18" t="str">
        <f>"23011727"</f>
        <v>23011727</v>
      </c>
      <c r="C300" s="18" t="str">
        <f t="shared" si="29"/>
        <v>230109</v>
      </c>
      <c r="D300" s="18" t="s">
        <v>100</v>
      </c>
      <c r="E300" s="18" t="str">
        <f>"陈冉"</f>
        <v>陈冉</v>
      </c>
      <c r="F300" s="18">
        <v>106</v>
      </c>
      <c r="G300" s="18">
        <v>88</v>
      </c>
      <c r="H300" s="18">
        <f t="shared" si="27"/>
        <v>98.8</v>
      </c>
      <c r="I300" s="18">
        <v>78.04</v>
      </c>
      <c r="J300" s="18">
        <v>79.328</v>
      </c>
      <c r="K300" s="18" t="s">
        <v>99</v>
      </c>
      <c r="L300" s="18"/>
    </row>
    <row r="301" spans="1:12" ht="30" customHeight="1">
      <c r="A301" s="17">
        <v>299</v>
      </c>
      <c r="B301" s="18" t="str">
        <f>"23011509"</f>
        <v>23011509</v>
      </c>
      <c r="C301" s="18" t="str">
        <f t="shared" si="29"/>
        <v>230109</v>
      </c>
      <c r="D301" s="18" t="s">
        <v>100</v>
      </c>
      <c r="E301" s="18" t="str">
        <f>"董晓晴"</f>
        <v>董晓晴</v>
      </c>
      <c r="F301" s="18">
        <v>94.5</v>
      </c>
      <c r="G301" s="18">
        <v>104</v>
      </c>
      <c r="H301" s="18">
        <f t="shared" si="27"/>
        <v>98.3</v>
      </c>
      <c r="I301" s="18">
        <v>78.2</v>
      </c>
      <c r="J301" s="18">
        <v>79.315</v>
      </c>
      <c r="K301" s="18" t="s">
        <v>99</v>
      </c>
      <c r="L301" s="18"/>
    </row>
    <row r="302" spans="1:12" ht="30" customHeight="1">
      <c r="A302" s="17">
        <v>300</v>
      </c>
      <c r="B302" s="18" t="str">
        <f>"23011726"</f>
        <v>23011726</v>
      </c>
      <c r="C302" s="18" t="str">
        <f t="shared" si="29"/>
        <v>230109</v>
      </c>
      <c r="D302" s="18" t="s">
        <v>100</v>
      </c>
      <c r="E302" s="18" t="str">
        <f>"何雪慧"</f>
        <v>何雪慧</v>
      </c>
      <c r="F302" s="18">
        <v>99</v>
      </c>
      <c r="G302" s="18">
        <v>96</v>
      </c>
      <c r="H302" s="18">
        <f t="shared" si="27"/>
        <v>97.80000000000001</v>
      </c>
      <c r="I302" s="18">
        <v>78.1</v>
      </c>
      <c r="J302" s="18">
        <v>79.12</v>
      </c>
      <c r="K302" s="18" t="s">
        <v>99</v>
      </c>
      <c r="L302" s="18"/>
    </row>
    <row r="303" spans="1:12" ht="30" customHeight="1">
      <c r="A303" s="17">
        <v>301</v>
      </c>
      <c r="B303" s="18" t="str">
        <f>"23012809"</f>
        <v>23012809</v>
      </c>
      <c r="C303" s="18" t="str">
        <f>"230111"</f>
        <v>230111</v>
      </c>
      <c r="D303" s="18" t="s">
        <v>34</v>
      </c>
      <c r="E303" s="18" t="str">
        <f>"葛明明"</f>
        <v>葛明明</v>
      </c>
      <c r="F303" s="18">
        <v>57</v>
      </c>
      <c r="G303" s="18">
        <v>102</v>
      </c>
      <c r="H303" s="18">
        <f>F303+G303*0.4</f>
        <v>97.80000000000001</v>
      </c>
      <c r="I303" s="18">
        <v>83.8</v>
      </c>
      <c r="J303" s="18">
        <v>83.11</v>
      </c>
      <c r="K303" s="18" t="s">
        <v>99</v>
      </c>
      <c r="L303" s="18"/>
    </row>
    <row r="304" spans="1:12" ht="30" customHeight="1">
      <c r="A304" s="17">
        <v>302</v>
      </c>
      <c r="B304" s="18" t="str">
        <f>"23012906"</f>
        <v>23012906</v>
      </c>
      <c r="C304" s="18" t="str">
        <f>"230111"</f>
        <v>230111</v>
      </c>
      <c r="D304" s="18" t="s">
        <v>34</v>
      </c>
      <c r="E304" s="18" t="str">
        <f>"汪新明"</f>
        <v>汪新明</v>
      </c>
      <c r="F304" s="18">
        <v>69</v>
      </c>
      <c r="G304" s="18">
        <v>95</v>
      </c>
      <c r="H304" s="18">
        <f>F304+G304*0.4</f>
        <v>107</v>
      </c>
      <c r="I304" s="18">
        <v>79.6</v>
      </c>
      <c r="J304" s="18">
        <v>82.47</v>
      </c>
      <c r="K304" s="18" t="s">
        <v>99</v>
      </c>
      <c r="L304" s="18"/>
    </row>
    <row r="305" spans="1:12" ht="30" customHeight="1">
      <c r="A305" s="17">
        <v>303</v>
      </c>
      <c r="B305" s="18" t="str">
        <f>"23012823"</f>
        <v>23012823</v>
      </c>
      <c r="C305" s="18" t="str">
        <f>"230111"</f>
        <v>230111</v>
      </c>
      <c r="D305" s="18" t="s">
        <v>34</v>
      </c>
      <c r="E305" s="18" t="str">
        <f>"葛运动"</f>
        <v>葛运动</v>
      </c>
      <c r="F305" s="18">
        <v>68</v>
      </c>
      <c r="G305" s="18">
        <v>67</v>
      </c>
      <c r="H305" s="18">
        <f>F305+G305*0.4</f>
        <v>94.8</v>
      </c>
      <c r="I305" s="18">
        <v>80.8</v>
      </c>
      <c r="J305" s="18">
        <v>80.25999999999999</v>
      </c>
      <c r="K305" s="18" t="s">
        <v>99</v>
      </c>
      <c r="L305" s="18"/>
    </row>
    <row r="306" spans="1:12" ht="30" customHeight="1">
      <c r="A306" s="17">
        <v>304</v>
      </c>
      <c r="B306" s="18" t="str">
        <f>"23013512"</f>
        <v>23013512</v>
      </c>
      <c r="C306" s="18" t="str">
        <f>"230114"</f>
        <v>230114</v>
      </c>
      <c r="D306" s="18" t="s">
        <v>36</v>
      </c>
      <c r="E306" s="18" t="str">
        <f>"耿林楠"</f>
        <v>耿林楠</v>
      </c>
      <c r="F306" s="18">
        <v>86</v>
      </c>
      <c r="G306" s="18">
        <v>90</v>
      </c>
      <c r="H306" s="18">
        <f aca="true" t="shared" si="30" ref="H306:H311">F306*0.6+G306*0.4</f>
        <v>87.6</v>
      </c>
      <c r="I306" s="18">
        <v>85.08</v>
      </c>
      <c r="J306" s="18">
        <v>81.45599999999999</v>
      </c>
      <c r="K306" s="18" t="s">
        <v>99</v>
      </c>
      <c r="L306" s="18"/>
    </row>
    <row r="307" spans="1:12" ht="30" customHeight="1">
      <c r="A307" s="17">
        <v>305</v>
      </c>
      <c r="B307" s="18" t="str">
        <f>"23013603"</f>
        <v>23013603</v>
      </c>
      <c r="C307" s="18" t="str">
        <f>"230114"</f>
        <v>230114</v>
      </c>
      <c r="D307" s="18" t="s">
        <v>36</v>
      </c>
      <c r="E307" s="18" t="str">
        <f>"王熙银"</f>
        <v>王熙银</v>
      </c>
      <c r="F307" s="18">
        <v>83</v>
      </c>
      <c r="G307" s="18">
        <v>83</v>
      </c>
      <c r="H307" s="18">
        <f t="shared" si="30"/>
        <v>83</v>
      </c>
      <c r="I307" s="18">
        <v>84.5</v>
      </c>
      <c r="J307" s="18">
        <v>79.9</v>
      </c>
      <c r="K307" s="18" t="s">
        <v>99</v>
      </c>
      <c r="L307" s="18"/>
    </row>
    <row r="308" spans="1:12" ht="30" customHeight="1">
      <c r="A308" s="17">
        <v>306</v>
      </c>
      <c r="B308" s="18" t="str">
        <f>"23013606"</f>
        <v>23013606</v>
      </c>
      <c r="C308" s="18" t="str">
        <f>"230114"</f>
        <v>230114</v>
      </c>
      <c r="D308" s="18" t="s">
        <v>36</v>
      </c>
      <c r="E308" s="18" t="str">
        <f>"刘云浩"</f>
        <v>刘云浩</v>
      </c>
      <c r="F308" s="18">
        <v>98</v>
      </c>
      <c r="G308" s="18">
        <v>77</v>
      </c>
      <c r="H308" s="18">
        <f t="shared" si="30"/>
        <v>89.6</v>
      </c>
      <c r="I308" s="18">
        <v>81.2</v>
      </c>
      <c r="J308" s="18">
        <v>79.24</v>
      </c>
      <c r="K308" s="18" t="s">
        <v>99</v>
      </c>
      <c r="L308" s="18"/>
    </row>
    <row r="309" spans="1:12" ht="30" customHeight="1">
      <c r="A309" s="17">
        <v>307</v>
      </c>
      <c r="B309" s="18" t="str">
        <f>"23010123"</f>
        <v>23010123</v>
      </c>
      <c r="C309" s="18" t="str">
        <f>"230101"</f>
        <v>230101</v>
      </c>
      <c r="D309" s="18" t="s">
        <v>98</v>
      </c>
      <c r="E309" s="18" t="str">
        <f>"王影影"</f>
        <v>王影影</v>
      </c>
      <c r="F309" s="18">
        <v>67</v>
      </c>
      <c r="G309" s="18">
        <v>80</v>
      </c>
      <c r="H309" s="18">
        <f t="shared" si="30"/>
        <v>72.19999999999999</v>
      </c>
      <c r="I309" s="18">
        <v>84.6</v>
      </c>
      <c r="J309" s="18">
        <v>77.26999999999998</v>
      </c>
      <c r="K309" s="18" t="s">
        <v>101</v>
      </c>
      <c r="L309" s="18"/>
    </row>
    <row r="310" spans="1:12" ht="30" customHeight="1">
      <c r="A310" s="17">
        <v>308</v>
      </c>
      <c r="B310" s="18" t="str">
        <f>"23010113"</f>
        <v>23010113</v>
      </c>
      <c r="C310" s="18" t="str">
        <f>"230101"</f>
        <v>230101</v>
      </c>
      <c r="D310" s="18" t="s">
        <v>98</v>
      </c>
      <c r="E310" s="18" t="str">
        <f>"胡苗苗"</f>
        <v>胡苗苗</v>
      </c>
      <c r="F310" s="18">
        <v>87</v>
      </c>
      <c r="G310" s="18">
        <v>66</v>
      </c>
      <c r="H310" s="18">
        <f t="shared" si="30"/>
        <v>78.6</v>
      </c>
      <c r="I310" s="18">
        <v>82.2</v>
      </c>
      <c r="J310" s="18">
        <v>77.19</v>
      </c>
      <c r="K310" s="18" t="s">
        <v>101</v>
      </c>
      <c r="L310" s="18"/>
    </row>
    <row r="311" spans="1:12" ht="30" customHeight="1">
      <c r="A311" s="17">
        <v>309</v>
      </c>
      <c r="B311" s="18" t="str">
        <f>"23010206"</f>
        <v>23010206</v>
      </c>
      <c r="C311" s="18" t="str">
        <f>"230101"</f>
        <v>230101</v>
      </c>
      <c r="D311" s="18" t="s">
        <v>98</v>
      </c>
      <c r="E311" s="18" t="str">
        <f>"陈红梅"</f>
        <v>陈红梅</v>
      </c>
      <c r="F311" s="18">
        <v>79</v>
      </c>
      <c r="G311" s="18">
        <v>82</v>
      </c>
      <c r="H311" s="18">
        <f t="shared" si="30"/>
        <v>80.2</v>
      </c>
      <c r="I311" s="18">
        <v>80.2</v>
      </c>
      <c r="J311" s="18">
        <v>76.19</v>
      </c>
      <c r="K311" s="18" t="s">
        <v>101</v>
      </c>
      <c r="L311" s="18"/>
    </row>
    <row r="312" spans="1:12" ht="30" customHeight="1">
      <c r="A312" s="17">
        <v>310</v>
      </c>
      <c r="B312" s="18" t="str">
        <f>"23010119"</f>
        <v>23010119</v>
      </c>
      <c r="C312" s="18" t="str">
        <f>"230101"</f>
        <v>230101</v>
      </c>
      <c r="D312" s="18" t="s">
        <v>30</v>
      </c>
      <c r="E312" s="18" t="str">
        <f>"张单单"</f>
        <v>张单单</v>
      </c>
      <c r="F312" s="18">
        <v>76</v>
      </c>
      <c r="G312" s="18">
        <v>85</v>
      </c>
      <c r="H312" s="18">
        <v>79.6</v>
      </c>
      <c r="I312" s="18">
        <v>79.2</v>
      </c>
      <c r="J312" s="18">
        <v>75.34</v>
      </c>
      <c r="K312" s="18" t="s">
        <v>101</v>
      </c>
      <c r="L312" s="18"/>
    </row>
    <row r="313" spans="1:12" ht="30" customHeight="1">
      <c r="A313" s="17">
        <v>311</v>
      </c>
      <c r="B313" s="18" t="str">
        <f>"23010117"</f>
        <v>23010117</v>
      </c>
      <c r="C313" s="18" t="str">
        <f>"230101"</f>
        <v>230101</v>
      </c>
      <c r="D313" s="18" t="s">
        <v>30</v>
      </c>
      <c r="E313" s="18" t="str">
        <f>"田宇"</f>
        <v>田宇</v>
      </c>
      <c r="F313" s="18">
        <v>77</v>
      </c>
      <c r="G313" s="18">
        <v>72</v>
      </c>
      <c r="H313" s="18">
        <v>75</v>
      </c>
      <c r="I313" s="18">
        <v>80.6</v>
      </c>
      <c r="J313" s="18">
        <v>75.17</v>
      </c>
      <c r="K313" s="18" t="s">
        <v>101</v>
      </c>
      <c r="L313" s="18"/>
    </row>
    <row r="314" spans="1:12" ht="30" customHeight="1">
      <c r="A314" s="17">
        <v>312</v>
      </c>
      <c r="B314" s="18" t="str">
        <f>"23012530"</f>
        <v>23012530</v>
      </c>
      <c r="C314" s="18" t="str">
        <f>"230106"</f>
        <v>230106</v>
      </c>
      <c r="D314" s="18" t="s">
        <v>32</v>
      </c>
      <c r="E314" s="18" t="str">
        <f>"方华荣"</f>
        <v>方华荣</v>
      </c>
      <c r="F314" s="18">
        <v>105</v>
      </c>
      <c r="G314" s="18">
        <v>102</v>
      </c>
      <c r="H314" s="18">
        <f aca="true" t="shared" si="31" ref="H314:H323">F314*0.6+G314*0.4</f>
        <v>103.80000000000001</v>
      </c>
      <c r="I314" s="18">
        <v>84.4</v>
      </c>
      <c r="J314" s="18">
        <v>85.03</v>
      </c>
      <c r="K314" s="18" t="s">
        <v>101</v>
      </c>
      <c r="L314" s="18"/>
    </row>
    <row r="315" spans="1:12" ht="30" customHeight="1">
      <c r="A315" s="17">
        <v>313</v>
      </c>
      <c r="B315" s="18" t="str">
        <f>"23012627"</f>
        <v>23012627</v>
      </c>
      <c r="C315" s="18" t="str">
        <f>"230106"</f>
        <v>230106</v>
      </c>
      <c r="D315" s="18" t="s">
        <v>32</v>
      </c>
      <c r="E315" s="18" t="str">
        <f>"蔡天艳"</f>
        <v>蔡天艳</v>
      </c>
      <c r="F315" s="18">
        <v>95</v>
      </c>
      <c r="G315" s="18">
        <v>102</v>
      </c>
      <c r="H315" s="18">
        <f t="shared" si="31"/>
        <v>97.80000000000001</v>
      </c>
      <c r="I315" s="18">
        <v>85.2</v>
      </c>
      <c r="J315" s="18">
        <v>84.09</v>
      </c>
      <c r="K315" s="18" t="s">
        <v>101</v>
      </c>
      <c r="L315" s="18"/>
    </row>
    <row r="316" spans="1:12" ht="30" customHeight="1">
      <c r="A316" s="17">
        <v>314</v>
      </c>
      <c r="B316" s="18" t="str">
        <f>"23012625"</f>
        <v>23012625</v>
      </c>
      <c r="C316" s="18" t="str">
        <f>"230106"</f>
        <v>230106</v>
      </c>
      <c r="D316" s="18" t="s">
        <v>32</v>
      </c>
      <c r="E316" s="18" t="str">
        <f>"程瑶"</f>
        <v>程瑶</v>
      </c>
      <c r="F316" s="18">
        <v>100</v>
      </c>
      <c r="G316" s="18">
        <v>88</v>
      </c>
      <c r="H316" s="18">
        <f t="shared" si="31"/>
        <v>95.2</v>
      </c>
      <c r="I316" s="18">
        <v>84.8</v>
      </c>
      <c r="J316" s="18">
        <v>83.16</v>
      </c>
      <c r="K316" s="18" t="s">
        <v>101</v>
      </c>
      <c r="L316" s="18"/>
    </row>
    <row r="317" spans="1:12" ht="30" customHeight="1">
      <c r="A317" s="17">
        <v>315</v>
      </c>
      <c r="B317" s="18" t="str">
        <f>"23012514"</f>
        <v>23012514</v>
      </c>
      <c r="C317" s="18" t="str">
        <f>"230106"</f>
        <v>230106</v>
      </c>
      <c r="D317" s="18" t="s">
        <v>32</v>
      </c>
      <c r="E317" s="18" t="str">
        <f>"张成"</f>
        <v>张成</v>
      </c>
      <c r="F317" s="18">
        <v>105</v>
      </c>
      <c r="G317" s="18">
        <v>79</v>
      </c>
      <c r="H317" s="18">
        <f t="shared" si="31"/>
        <v>94.6</v>
      </c>
      <c r="I317" s="18">
        <v>83.4</v>
      </c>
      <c r="J317" s="18">
        <v>82.03</v>
      </c>
      <c r="K317" s="18" t="s">
        <v>101</v>
      </c>
      <c r="L317" s="18"/>
    </row>
    <row r="318" spans="1:12" ht="30" customHeight="1">
      <c r="A318" s="17">
        <v>316</v>
      </c>
      <c r="B318" s="18" t="str">
        <f>"23012708"</f>
        <v>23012708</v>
      </c>
      <c r="C318" s="18" t="str">
        <f>"230106"</f>
        <v>230106</v>
      </c>
      <c r="D318" s="18" t="s">
        <v>32</v>
      </c>
      <c r="E318" s="18" t="str">
        <f>"杨怀刚"</f>
        <v>杨怀刚</v>
      </c>
      <c r="F318" s="18">
        <v>102</v>
      </c>
      <c r="G318" s="18">
        <v>88</v>
      </c>
      <c r="H318" s="18">
        <f t="shared" si="31"/>
        <v>96.4</v>
      </c>
      <c r="I318" s="18">
        <v>82.2</v>
      </c>
      <c r="J318" s="18">
        <v>81.64</v>
      </c>
      <c r="K318" s="18" t="s">
        <v>101</v>
      </c>
      <c r="L318" s="18"/>
    </row>
    <row r="319" spans="1:12" ht="30" customHeight="1">
      <c r="A319" s="17">
        <v>317</v>
      </c>
      <c r="B319" s="18" t="str">
        <f>"23011823"</f>
        <v>23011823</v>
      </c>
      <c r="C319" s="18" t="str">
        <f>"230110"</f>
        <v>230110</v>
      </c>
      <c r="D319" s="18" t="s">
        <v>61</v>
      </c>
      <c r="E319" s="18" t="str">
        <f>"刘慧珺"</f>
        <v>刘慧珺</v>
      </c>
      <c r="F319" s="18">
        <v>114</v>
      </c>
      <c r="G319" s="18">
        <v>97</v>
      </c>
      <c r="H319" s="18">
        <f t="shared" si="31"/>
        <v>107.19999999999999</v>
      </c>
      <c r="I319" s="18">
        <v>84.44</v>
      </c>
      <c r="J319" s="18">
        <v>85.90799999999999</v>
      </c>
      <c r="K319" s="18" t="s">
        <v>101</v>
      </c>
      <c r="L319" s="18"/>
    </row>
    <row r="320" spans="1:12" ht="30" customHeight="1">
      <c r="A320" s="17">
        <v>318</v>
      </c>
      <c r="B320" s="18" t="str">
        <f>"23011930"</f>
        <v>23011930</v>
      </c>
      <c r="C320" s="18" t="str">
        <f>"230110"</f>
        <v>230110</v>
      </c>
      <c r="D320" s="18" t="s">
        <v>61</v>
      </c>
      <c r="E320" s="18" t="str">
        <f>"吴双"</f>
        <v>吴双</v>
      </c>
      <c r="F320" s="18">
        <v>104</v>
      </c>
      <c r="G320" s="18">
        <v>105</v>
      </c>
      <c r="H320" s="18">
        <f t="shared" si="31"/>
        <v>104.4</v>
      </c>
      <c r="I320" s="18">
        <v>84.6</v>
      </c>
      <c r="J320" s="18">
        <v>85.32</v>
      </c>
      <c r="K320" s="18" t="s">
        <v>101</v>
      </c>
      <c r="L320" s="18"/>
    </row>
    <row r="321" spans="1:12" ht="30" customHeight="1">
      <c r="A321" s="17">
        <v>319</v>
      </c>
      <c r="B321" s="18" t="str">
        <f>"23011817"</f>
        <v>23011817</v>
      </c>
      <c r="C321" s="18" t="str">
        <f>"230110"</f>
        <v>230110</v>
      </c>
      <c r="D321" s="18" t="s">
        <v>61</v>
      </c>
      <c r="E321" s="18" t="str">
        <f>"夏楠楠"</f>
        <v>夏楠楠</v>
      </c>
      <c r="F321" s="18">
        <v>103</v>
      </c>
      <c r="G321" s="18">
        <v>103</v>
      </c>
      <c r="H321" s="18">
        <f t="shared" si="31"/>
        <v>103</v>
      </c>
      <c r="I321" s="18">
        <v>83.92</v>
      </c>
      <c r="J321" s="18">
        <v>84.494</v>
      </c>
      <c r="K321" s="18" t="s">
        <v>101</v>
      </c>
      <c r="L321" s="18"/>
    </row>
    <row r="322" spans="1:12" ht="30" customHeight="1">
      <c r="A322" s="17">
        <v>320</v>
      </c>
      <c r="B322" s="18" t="str">
        <f>"23011902"</f>
        <v>23011902</v>
      </c>
      <c r="C322" s="18" t="str">
        <f>"230110"</f>
        <v>230110</v>
      </c>
      <c r="D322" s="18" t="s">
        <v>61</v>
      </c>
      <c r="E322" s="18" t="str">
        <f>"王洪星"</f>
        <v>王洪星</v>
      </c>
      <c r="F322" s="18">
        <v>105</v>
      </c>
      <c r="G322" s="18">
        <v>101</v>
      </c>
      <c r="H322" s="18">
        <f t="shared" si="31"/>
        <v>103.4</v>
      </c>
      <c r="I322" s="18">
        <v>83.14</v>
      </c>
      <c r="J322" s="18">
        <v>84.048</v>
      </c>
      <c r="K322" s="18" t="s">
        <v>101</v>
      </c>
      <c r="L322" s="18"/>
    </row>
    <row r="323" spans="1:12" ht="30" customHeight="1">
      <c r="A323" s="17">
        <v>321</v>
      </c>
      <c r="B323" s="18" t="str">
        <f>"23012019"</f>
        <v>23012019</v>
      </c>
      <c r="C323" s="18" t="str">
        <f>"230110"</f>
        <v>230110</v>
      </c>
      <c r="D323" s="18" t="s">
        <v>61</v>
      </c>
      <c r="E323" s="18" t="str">
        <f>"阮慧慧"</f>
        <v>阮慧慧</v>
      </c>
      <c r="F323" s="18">
        <v>105.5</v>
      </c>
      <c r="G323" s="18">
        <v>87</v>
      </c>
      <c r="H323" s="18">
        <f t="shared" si="31"/>
        <v>98.1</v>
      </c>
      <c r="I323" s="18">
        <v>84.8</v>
      </c>
      <c r="J323" s="18">
        <v>83.885</v>
      </c>
      <c r="K323" s="18" t="s">
        <v>101</v>
      </c>
      <c r="L323" s="18"/>
    </row>
    <row r="324" spans="1:12" ht="30" customHeight="1">
      <c r="A324" s="17">
        <v>322</v>
      </c>
      <c r="B324" s="18" t="s">
        <v>102</v>
      </c>
      <c r="C324" s="18" t="s">
        <v>72</v>
      </c>
      <c r="D324" s="18" t="s">
        <v>35</v>
      </c>
      <c r="E324" s="18" t="s">
        <v>103</v>
      </c>
      <c r="F324" s="18">
        <v>96</v>
      </c>
      <c r="G324" s="18">
        <v>68</v>
      </c>
      <c r="H324" s="18">
        <v>84.8</v>
      </c>
      <c r="I324" s="18">
        <v>75.8</v>
      </c>
      <c r="J324" s="18">
        <v>74.26</v>
      </c>
      <c r="K324" s="18" t="s">
        <v>101</v>
      </c>
      <c r="L324" s="18"/>
    </row>
    <row r="325" spans="1:12" ht="30" customHeight="1">
      <c r="A325" s="17">
        <v>323</v>
      </c>
      <c r="B325" s="18" t="str">
        <f>"23013508"</f>
        <v>23013508</v>
      </c>
      <c r="C325" s="18" t="str">
        <f>"230114"</f>
        <v>230114</v>
      </c>
      <c r="D325" s="18" t="s">
        <v>36</v>
      </c>
      <c r="E325" s="18" t="str">
        <f>"胡丹丹"</f>
        <v>胡丹丹</v>
      </c>
      <c r="F325" s="18">
        <v>84</v>
      </c>
      <c r="G325" s="18">
        <v>95</v>
      </c>
      <c r="H325" s="18">
        <f aca="true" t="shared" si="32" ref="H325:H334">F325*0.6+G325*0.4</f>
        <v>88.4</v>
      </c>
      <c r="I325" s="18">
        <v>81.04</v>
      </c>
      <c r="J325" s="18">
        <v>78.828</v>
      </c>
      <c r="K325" s="18" t="s">
        <v>101</v>
      </c>
      <c r="L325" s="18"/>
    </row>
    <row r="326" spans="1:12" ht="30" customHeight="1">
      <c r="A326" s="17">
        <v>324</v>
      </c>
      <c r="B326" s="18" t="str">
        <f>"23013702"</f>
        <v>23013702</v>
      </c>
      <c r="C326" s="18" t="str">
        <f>"230119"</f>
        <v>230119</v>
      </c>
      <c r="D326" s="18" t="s">
        <v>41</v>
      </c>
      <c r="E326" s="18" t="str">
        <f>"潘佳斯"</f>
        <v>潘佳斯</v>
      </c>
      <c r="F326" s="18">
        <v>80</v>
      </c>
      <c r="G326" s="18">
        <v>101</v>
      </c>
      <c r="H326" s="18">
        <f t="shared" si="32"/>
        <v>88.4</v>
      </c>
      <c r="I326" s="18">
        <v>83.4</v>
      </c>
      <c r="J326" s="18">
        <v>80.48</v>
      </c>
      <c r="K326" s="18" t="s">
        <v>101</v>
      </c>
      <c r="L326" s="18"/>
    </row>
    <row r="327" spans="1:12" ht="30" customHeight="1">
      <c r="A327" s="17">
        <v>325</v>
      </c>
      <c r="B327" s="18" t="str">
        <f>"23036125"</f>
        <v>23036125</v>
      </c>
      <c r="C327" s="18" t="str">
        <f>"230301"</f>
        <v>230301</v>
      </c>
      <c r="D327" s="18" t="s">
        <v>104</v>
      </c>
      <c r="E327" s="18" t="str">
        <f>"支丹丹"</f>
        <v>支丹丹</v>
      </c>
      <c r="F327" s="18">
        <v>104</v>
      </c>
      <c r="G327" s="18">
        <v>87.5</v>
      </c>
      <c r="H327" s="18">
        <f t="shared" si="32"/>
        <v>97.4</v>
      </c>
      <c r="I327" s="18">
        <v>81.6</v>
      </c>
      <c r="J327" s="18">
        <v>81.47</v>
      </c>
      <c r="K327" s="18" t="s">
        <v>105</v>
      </c>
      <c r="L327" s="18"/>
    </row>
    <row r="328" spans="1:12" ht="30" customHeight="1">
      <c r="A328" s="17">
        <v>326</v>
      </c>
      <c r="B328" s="18" t="str">
        <f>"23036020"</f>
        <v>23036020</v>
      </c>
      <c r="C328" s="18" t="str">
        <f>"230301"</f>
        <v>230301</v>
      </c>
      <c r="D328" s="18" t="s">
        <v>104</v>
      </c>
      <c r="E328" s="18" t="str">
        <f>"张艺"</f>
        <v>张艺</v>
      </c>
      <c r="F328" s="18">
        <v>96</v>
      </c>
      <c r="G328" s="18">
        <v>89</v>
      </c>
      <c r="H328" s="18">
        <f t="shared" si="32"/>
        <v>93.19999999999999</v>
      </c>
      <c r="I328" s="18">
        <v>82.6</v>
      </c>
      <c r="J328" s="18">
        <v>81.11999999999999</v>
      </c>
      <c r="K328" s="18" t="s">
        <v>105</v>
      </c>
      <c r="L328" s="18"/>
    </row>
    <row r="329" spans="1:12" ht="30" customHeight="1">
      <c r="A329" s="17">
        <v>327</v>
      </c>
      <c r="B329" s="18" t="str">
        <f>"23011718"</f>
        <v>23011718</v>
      </c>
      <c r="C329" s="18" t="str">
        <f>"230109"</f>
        <v>230109</v>
      </c>
      <c r="D329" s="18" t="s">
        <v>100</v>
      </c>
      <c r="E329" s="18" t="str">
        <f>"汤王燕"</f>
        <v>汤王燕</v>
      </c>
      <c r="F329" s="18">
        <v>112</v>
      </c>
      <c r="G329" s="18">
        <v>88</v>
      </c>
      <c r="H329" s="18">
        <f t="shared" si="32"/>
        <v>102.4</v>
      </c>
      <c r="I329" s="18">
        <v>74.92</v>
      </c>
      <c r="J329" s="18">
        <v>78.044</v>
      </c>
      <c r="K329" s="18" t="s">
        <v>106</v>
      </c>
      <c r="L329" s="18"/>
    </row>
    <row r="330" spans="1:12" ht="30" customHeight="1">
      <c r="A330" s="17">
        <v>328</v>
      </c>
      <c r="B330" s="18" t="str">
        <f>"23011705"</f>
        <v>23011705</v>
      </c>
      <c r="C330" s="18" t="str">
        <f>"230109"</f>
        <v>230109</v>
      </c>
      <c r="D330" s="18" t="s">
        <v>100</v>
      </c>
      <c r="E330" s="18" t="str">
        <f>"苏静静"</f>
        <v>苏静静</v>
      </c>
      <c r="F330" s="18">
        <v>107</v>
      </c>
      <c r="G330" s="18">
        <v>95</v>
      </c>
      <c r="H330" s="18">
        <f t="shared" si="32"/>
        <v>102.2</v>
      </c>
      <c r="I330" s="18">
        <v>74.7</v>
      </c>
      <c r="J330" s="18">
        <v>77.84</v>
      </c>
      <c r="K330" s="18" t="s">
        <v>106</v>
      </c>
      <c r="L330" s="18"/>
    </row>
    <row r="331" spans="1:12" ht="30" customHeight="1">
      <c r="A331" s="17">
        <v>329</v>
      </c>
      <c r="B331" s="18" t="str">
        <f>"23011611"</f>
        <v>23011611</v>
      </c>
      <c r="C331" s="18" t="str">
        <f>"230109"</f>
        <v>230109</v>
      </c>
      <c r="D331" s="18" t="s">
        <v>100</v>
      </c>
      <c r="E331" s="18" t="str">
        <f>"魏魏"</f>
        <v>魏魏</v>
      </c>
      <c r="F331" s="18">
        <v>102</v>
      </c>
      <c r="G331" s="18">
        <v>104</v>
      </c>
      <c r="H331" s="18">
        <f t="shared" si="32"/>
        <v>102.8</v>
      </c>
      <c r="I331" s="18">
        <v>73.94</v>
      </c>
      <c r="J331" s="18">
        <v>77.458</v>
      </c>
      <c r="K331" s="18" t="s">
        <v>106</v>
      </c>
      <c r="L331" s="18"/>
    </row>
    <row r="332" spans="1:12" ht="30" customHeight="1">
      <c r="A332" s="17">
        <v>330</v>
      </c>
      <c r="B332" s="18" t="str">
        <f>"23011729"</f>
        <v>23011729</v>
      </c>
      <c r="C332" s="18" t="str">
        <f>"230109"</f>
        <v>230109</v>
      </c>
      <c r="D332" s="18" t="s">
        <v>100</v>
      </c>
      <c r="E332" s="18" t="str">
        <f>"单晴晴"</f>
        <v>单晴晴</v>
      </c>
      <c r="F332" s="18">
        <v>106</v>
      </c>
      <c r="G332" s="18">
        <v>98</v>
      </c>
      <c r="H332" s="18">
        <f t="shared" si="32"/>
        <v>102.8</v>
      </c>
      <c r="I332" s="18">
        <v>73.6</v>
      </c>
      <c r="J332" s="18">
        <v>77.22</v>
      </c>
      <c r="K332" s="18" t="s">
        <v>106</v>
      </c>
      <c r="L332" s="18"/>
    </row>
    <row r="333" spans="1:12" ht="30" customHeight="1">
      <c r="A333" s="17">
        <v>331</v>
      </c>
      <c r="B333" s="18" t="str">
        <f>"23011725"</f>
        <v>23011725</v>
      </c>
      <c r="C333" s="18" t="str">
        <f>"230109"</f>
        <v>230109</v>
      </c>
      <c r="D333" s="18" t="s">
        <v>100</v>
      </c>
      <c r="E333" s="18" t="str">
        <f>"刘新春"</f>
        <v>刘新春</v>
      </c>
      <c r="F333" s="18">
        <v>108</v>
      </c>
      <c r="G333" s="18">
        <v>99</v>
      </c>
      <c r="H333" s="18">
        <f t="shared" si="32"/>
        <v>104.4</v>
      </c>
      <c r="I333" s="18">
        <v>72.24</v>
      </c>
      <c r="J333" s="18">
        <v>76.66799999999999</v>
      </c>
      <c r="K333" s="18" t="s">
        <v>106</v>
      </c>
      <c r="L333" s="18"/>
    </row>
    <row r="334" spans="1:12" ht="30" customHeight="1">
      <c r="A334" s="17">
        <v>332</v>
      </c>
      <c r="B334" s="18" t="str">
        <f>"23012020"</f>
        <v>23012020</v>
      </c>
      <c r="C334" s="18" t="str">
        <f>"230110"</f>
        <v>230110</v>
      </c>
      <c r="D334" s="18" t="s">
        <v>61</v>
      </c>
      <c r="E334" s="18" t="str">
        <f>"宁媛媛"</f>
        <v>宁媛媛</v>
      </c>
      <c r="F334" s="18">
        <v>98</v>
      </c>
      <c r="G334" s="18">
        <v>91</v>
      </c>
      <c r="H334" s="18">
        <f t="shared" si="32"/>
        <v>95.19999999999999</v>
      </c>
      <c r="I334" s="18">
        <v>82.8</v>
      </c>
      <c r="J334" s="18">
        <v>81.75999999999999</v>
      </c>
      <c r="K334" s="18" t="s">
        <v>106</v>
      </c>
      <c r="L334" s="18"/>
    </row>
    <row r="335" spans="1:12" ht="30" customHeight="1">
      <c r="A335" s="17">
        <v>333</v>
      </c>
      <c r="B335" s="18" t="s">
        <v>107</v>
      </c>
      <c r="C335" s="18" t="s">
        <v>108</v>
      </c>
      <c r="D335" s="18" t="s">
        <v>94</v>
      </c>
      <c r="E335" s="18" t="s">
        <v>109</v>
      </c>
      <c r="F335" s="18">
        <v>91</v>
      </c>
      <c r="G335" s="18">
        <v>87.5</v>
      </c>
      <c r="H335" s="18">
        <v>89.6</v>
      </c>
      <c r="I335" s="18">
        <v>81</v>
      </c>
      <c r="J335" s="18">
        <v>79.1</v>
      </c>
      <c r="K335" s="18" t="s">
        <v>110</v>
      </c>
      <c r="L335" s="18"/>
    </row>
    <row r="336" spans="1:12" ht="30" customHeight="1">
      <c r="A336" s="17">
        <v>334</v>
      </c>
      <c r="B336" s="18" t="str">
        <f>"23035923"</f>
        <v>23035923</v>
      </c>
      <c r="C336" s="18" t="str">
        <f>"230204"</f>
        <v>230204</v>
      </c>
      <c r="D336" s="18" t="s">
        <v>13</v>
      </c>
      <c r="E336" s="18" t="str">
        <f>"张钰崎"</f>
        <v>张钰崎</v>
      </c>
      <c r="F336" s="18">
        <v>104</v>
      </c>
      <c r="G336" s="18">
        <v>93.5</v>
      </c>
      <c r="H336" s="18">
        <f aca="true" t="shared" si="33" ref="H336:H344">F336*0.6+G336*0.4</f>
        <v>99.8</v>
      </c>
      <c r="I336" s="18">
        <v>82</v>
      </c>
      <c r="J336" s="18">
        <v>82.35</v>
      </c>
      <c r="K336" s="18" t="s">
        <v>110</v>
      </c>
      <c r="L336" s="18"/>
    </row>
    <row r="337" spans="1:12" ht="30" customHeight="1">
      <c r="A337" s="17">
        <v>335</v>
      </c>
      <c r="B337" s="18" t="str">
        <f>"23035924"</f>
        <v>23035924</v>
      </c>
      <c r="C337" s="18" t="str">
        <f>"230204"</f>
        <v>230204</v>
      </c>
      <c r="D337" s="18" t="s">
        <v>13</v>
      </c>
      <c r="E337" s="18" t="str">
        <f>"王锦"</f>
        <v>王锦</v>
      </c>
      <c r="F337" s="18">
        <v>96.5</v>
      </c>
      <c r="G337" s="18">
        <v>99.5</v>
      </c>
      <c r="H337" s="18">
        <f t="shared" si="33"/>
        <v>97.7</v>
      </c>
      <c r="I337" s="18">
        <v>82.1</v>
      </c>
      <c r="J337" s="18">
        <v>81.895</v>
      </c>
      <c r="K337" s="18" t="s">
        <v>110</v>
      </c>
      <c r="L337" s="18"/>
    </row>
    <row r="338" spans="1:12" ht="30" customHeight="1">
      <c r="A338" s="17">
        <v>336</v>
      </c>
      <c r="B338" s="18" t="str">
        <f>"23035921"</f>
        <v>23035921</v>
      </c>
      <c r="C338" s="18" t="str">
        <f>"230204"</f>
        <v>230204</v>
      </c>
      <c r="D338" s="18" t="s">
        <v>13</v>
      </c>
      <c r="E338" s="18" t="str">
        <f>"王倩倩"</f>
        <v>王倩倩</v>
      </c>
      <c r="F338" s="18">
        <v>105</v>
      </c>
      <c r="G338" s="18">
        <v>97</v>
      </c>
      <c r="H338" s="18">
        <f t="shared" si="33"/>
        <v>101.80000000000001</v>
      </c>
      <c r="I338" s="18">
        <v>80.6</v>
      </c>
      <c r="J338" s="18">
        <v>81.87</v>
      </c>
      <c r="K338" s="18" t="s">
        <v>110</v>
      </c>
      <c r="L338" s="18"/>
    </row>
    <row r="339" spans="1:12" ht="30" customHeight="1">
      <c r="A339" s="17">
        <v>337</v>
      </c>
      <c r="B339" s="18" t="str">
        <f>"23035224"</f>
        <v>23035224</v>
      </c>
      <c r="C339" s="18" t="str">
        <f>"230204"</f>
        <v>230204</v>
      </c>
      <c r="D339" s="18" t="s">
        <v>13</v>
      </c>
      <c r="E339" s="18" t="str">
        <f>"殷珍珍"</f>
        <v>殷珍珍</v>
      </c>
      <c r="F339" s="18">
        <v>99</v>
      </c>
      <c r="G339" s="18">
        <v>91</v>
      </c>
      <c r="H339" s="18">
        <f t="shared" si="33"/>
        <v>95.8</v>
      </c>
      <c r="I339" s="18">
        <v>82.4</v>
      </c>
      <c r="J339" s="18">
        <v>81.63</v>
      </c>
      <c r="K339" s="18" t="s">
        <v>110</v>
      </c>
      <c r="L339" s="18"/>
    </row>
    <row r="340" spans="1:12" ht="30" customHeight="1">
      <c r="A340" s="17">
        <v>338</v>
      </c>
      <c r="B340" s="18" t="str">
        <f>"23044207"</f>
        <v>23044207</v>
      </c>
      <c r="C340" s="18" t="str">
        <f>"230208"</f>
        <v>230208</v>
      </c>
      <c r="D340" s="18" t="s">
        <v>15</v>
      </c>
      <c r="E340" s="18" t="str">
        <f>"陶建平"</f>
        <v>陶建平</v>
      </c>
      <c r="F340" s="18">
        <v>94</v>
      </c>
      <c r="G340" s="18">
        <v>78.5</v>
      </c>
      <c r="H340" s="18">
        <f t="shared" si="33"/>
        <v>87.8</v>
      </c>
      <c r="I340" s="18">
        <v>80.6</v>
      </c>
      <c r="J340" s="18">
        <v>78.36999999999999</v>
      </c>
      <c r="K340" s="18" t="s">
        <v>110</v>
      </c>
      <c r="L340" s="18"/>
    </row>
    <row r="341" spans="1:12" ht="30" customHeight="1">
      <c r="A341" s="17">
        <v>339</v>
      </c>
      <c r="B341" s="18" t="str">
        <f>"23044525"</f>
        <v>23044525</v>
      </c>
      <c r="C341" s="18" t="str">
        <f>"230208"</f>
        <v>230208</v>
      </c>
      <c r="D341" s="18" t="s">
        <v>15</v>
      </c>
      <c r="E341" s="18" t="str">
        <f>"李应"</f>
        <v>李应</v>
      </c>
      <c r="F341" s="18">
        <v>93</v>
      </c>
      <c r="G341" s="18">
        <v>92.5</v>
      </c>
      <c r="H341" s="18">
        <f t="shared" si="33"/>
        <v>92.8</v>
      </c>
      <c r="I341" s="18">
        <v>78.8</v>
      </c>
      <c r="J341" s="18">
        <v>78.36</v>
      </c>
      <c r="K341" s="18" t="s">
        <v>110</v>
      </c>
      <c r="L341" s="18"/>
    </row>
    <row r="342" spans="1:12" ht="30" customHeight="1">
      <c r="A342" s="17">
        <v>340</v>
      </c>
      <c r="B342" s="18" t="str">
        <f>"23045102"</f>
        <v>23045102</v>
      </c>
      <c r="C342" s="18" t="str">
        <f>"230208"</f>
        <v>230208</v>
      </c>
      <c r="D342" s="18" t="s">
        <v>15</v>
      </c>
      <c r="E342" s="18" t="str">
        <f>"杨想想"</f>
        <v>杨想想</v>
      </c>
      <c r="F342" s="18">
        <v>88</v>
      </c>
      <c r="G342" s="18">
        <v>85.5</v>
      </c>
      <c r="H342" s="18">
        <f t="shared" si="33"/>
        <v>87</v>
      </c>
      <c r="I342" s="18">
        <v>80.8</v>
      </c>
      <c r="J342" s="18">
        <v>78.31</v>
      </c>
      <c r="K342" s="18" t="s">
        <v>110</v>
      </c>
      <c r="L342" s="18"/>
    </row>
    <row r="343" spans="1:12" ht="30" customHeight="1">
      <c r="A343" s="17">
        <v>341</v>
      </c>
      <c r="B343" s="18" t="str">
        <f>"23045614"</f>
        <v>23045614</v>
      </c>
      <c r="C343" s="18" t="str">
        <f>"230209"</f>
        <v>230209</v>
      </c>
      <c r="D343" s="18" t="s">
        <v>87</v>
      </c>
      <c r="E343" s="18" t="str">
        <f>"甘虹"</f>
        <v>甘虹</v>
      </c>
      <c r="F343" s="18">
        <v>94.5</v>
      </c>
      <c r="G343" s="18">
        <v>92</v>
      </c>
      <c r="H343" s="18">
        <f t="shared" si="33"/>
        <v>93.5</v>
      </c>
      <c r="I343" s="18">
        <v>84.2</v>
      </c>
      <c r="J343" s="18">
        <v>82.315</v>
      </c>
      <c r="K343" s="18" t="s">
        <v>110</v>
      </c>
      <c r="L343" s="18"/>
    </row>
    <row r="344" spans="1:12" ht="30" customHeight="1">
      <c r="A344" s="17">
        <v>342</v>
      </c>
      <c r="B344" s="18" t="str">
        <f>"23045626"</f>
        <v>23045626</v>
      </c>
      <c r="C344" s="18" t="str">
        <f>"230209"</f>
        <v>230209</v>
      </c>
      <c r="D344" s="18" t="s">
        <v>87</v>
      </c>
      <c r="E344" s="18" t="str">
        <f>"储舒婷"</f>
        <v>储舒婷</v>
      </c>
      <c r="F344" s="18">
        <v>94</v>
      </c>
      <c r="G344" s="18">
        <v>80.5</v>
      </c>
      <c r="H344" s="18">
        <f t="shared" si="33"/>
        <v>88.6</v>
      </c>
      <c r="I344" s="18">
        <v>85.4</v>
      </c>
      <c r="J344" s="18">
        <v>81.93</v>
      </c>
      <c r="K344" s="18" t="s">
        <v>110</v>
      </c>
      <c r="L344" s="18"/>
    </row>
    <row r="345" spans="1:12" ht="30" customHeight="1">
      <c r="A345" s="17">
        <v>343</v>
      </c>
      <c r="B345" s="18" t="s">
        <v>111</v>
      </c>
      <c r="C345" s="18" t="s">
        <v>112</v>
      </c>
      <c r="D345" s="18" t="s">
        <v>87</v>
      </c>
      <c r="E345" s="18" t="s">
        <v>113</v>
      </c>
      <c r="F345" s="18">
        <v>86</v>
      </c>
      <c r="G345" s="18">
        <v>94.5</v>
      </c>
      <c r="H345" s="18">
        <v>89.4</v>
      </c>
      <c r="I345" s="18">
        <v>83.8</v>
      </c>
      <c r="J345" s="18">
        <v>81.01</v>
      </c>
      <c r="K345" s="18" t="s">
        <v>110</v>
      </c>
      <c r="L345" s="18"/>
    </row>
    <row r="346" spans="1:12" ht="30" customHeight="1">
      <c r="A346" s="17">
        <v>344</v>
      </c>
      <c r="B346" s="18" t="str">
        <f>"23035527"</f>
        <v>23035527</v>
      </c>
      <c r="C346" s="18" t="str">
        <f aca="true" t="shared" si="34" ref="C346:C351">"230204"</f>
        <v>230204</v>
      </c>
      <c r="D346" s="18" t="s">
        <v>13</v>
      </c>
      <c r="E346" s="18" t="str">
        <f>"常丹"</f>
        <v>常丹</v>
      </c>
      <c r="F346" s="18">
        <v>105</v>
      </c>
      <c r="G346" s="18">
        <v>94</v>
      </c>
      <c r="H346" s="18">
        <f aca="true" t="shared" si="35" ref="H346:H401">F346*0.6+G346*0.4</f>
        <v>100.6</v>
      </c>
      <c r="I346" s="18">
        <v>84.2</v>
      </c>
      <c r="J346" s="18">
        <v>84.09</v>
      </c>
      <c r="K346" s="18" t="s">
        <v>114</v>
      </c>
      <c r="L346" s="18"/>
    </row>
    <row r="347" spans="1:12" ht="30" customHeight="1">
      <c r="A347" s="17">
        <v>345</v>
      </c>
      <c r="B347" s="18" t="str">
        <f>"23035716"</f>
        <v>23035716</v>
      </c>
      <c r="C347" s="18" t="str">
        <f t="shared" si="34"/>
        <v>230204</v>
      </c>
      <c r="D347" s="18" t="s">
        <v>13</v>
      </c>
      <c r="E347" s="18" t="str">
        <f>"王紫玉"</f>
        <v>王紫玉</v>
      </c>
      <c r="F347" s="18">
        <v>105</v>
      </c>
      <c r="G347" s="18">
        <v>90</v>
      </c>
      <c r="H347" s="18">
        <f t="shared" si="35"/>
        <v>99</v>
      </c>
      <c r="I347" s="18">
        <v>83.8</v>
      </c>
      <c r="J347" s="18">
        <v>83.41</v>
      </c>
      <c r="K347" s="18" t="s">
        <v>114</v>
      </c>
      <c r="L347" s="18"/>
    </row>
    <row r="348" spans="1:12" ht="30" customHeight="1">
      <c r="A348" s="17">
        <v>346</v>
      </c>
      <c r="B348" s="18" t="str">
        <f>"23034928"</f>
        <v>23034928</v>
      </c>
      <c r="C348" s="18" t="str">
        <f t="shared" si="34"/>
        <v>230204</v>
      </c>
      <c r="D348" s="18" t="s">
        <v>13</v>
      </c>
      <c r="E348" s="18" t="str">
        <f>"刘珊珊"</f>
        <v>刘珊珊</v>
      </c>
      <c r="F348" s="18">
        <v>110</v>
      </c>
      <c r="G348" s="18">
        <v>100.5</v>
      </c>
      <c r="H348" s="18">
        <f t="shared" si="35"/>
        <v>106.2</v>
      </c>
      <c r="I348" s="18">
        <v>81</v>
      </c>
      <c r="J348" s="18">
        <v>83.25</v>
      </c>
      <c r="K348" s="18" t="s">
        <v>114</v>
      </c>
      <c r="L348" s="18"/>
    </row>
    <row r="349" spans="1:12" ht="30" customHeight="1">
      <c r="A349" s="17">
        <v>347</v>
      </c>
      <c r="B349" s="18" t="str">
        <f>"23034614"</f>
        <v>23034614</v>
      </c>
      <c r="C349" s="18" t="str">
        <f t="shared" si="34"/>
        <v>230204</v>
      </c>
      <c r="D349" s="18" t="s">
        <v>13</v>
      </c>
      <c r="E349" s="18" t="str">
        <f>"曹晨晨"</f>
        <v>曹晨晨</v>
      </c>
      <c r="F349" s="18">
        <v>111</v>
      </c>
      <c r="G349" s="18">
        <v>89</v>
      </c>
      <c r="H349" s="18">
        <f t="shared" si="35"/>
        <v>102.19999999999999</v>
      </c>
      <c r="I349" s="18">
        <v>82.2</v>
      </c>
      <c r="J349" s="18">
        <v>83.09</v>
      </c>
      <c r="K349" s="18" t="s">
        <v>114</v>
      </c>
      <c r="L349" s="18"/>
    </row>
    <row r="350" spans="1:12" ht="30" customHeight="1">
      <c r="A350" s="17">
        <v>348</v>
      </c>
      <c r="B350" s="18" t="str">
        <f>"23035827"</f>
        <v>23035827</v>
      </c>
      <c r="C350" s="18" t="str">
        <f t="shared" si="34"/>
        <v>230204</v>
      </c>
      <c r="D350" s="18" t="s">
        <v>13</v>
      </c>
      <c r="E350" s="18" t="str">
        <f>"刘莉莉"</f>
        <v>刘莉莉</v>
      </c>
      <c r="F350" s="18">
        <v>97</v>
      </c>
      <c r="G350" s="18">
        <v>94</v>
      </c>
      <c r="H350" s="18">
        <f t="shared" si="35"/>
        <v>95.8</v>
      </c>
      <c r="I350" s="18">
        <v>84</v>
      </c>
      <c r="J350" s="18">
        <v>82.75</v>
      </c>
      <c r="K350" s="18" t="s">
        <v>114</v>
      </c>
      <c r="L350" s="18"/>
    </row>
    <row r="351" spans="1:12" ht="30" customHeight="1">
      <c r="A351" s="17">
        <v>349</v>
      </c>
      <c r="B351" s="18" t="str">
        <f>"23035208"</f>
        <v>23035208</v>
      </c>
      <c r="C351" s="18" t="str">
        <f t="shared" si="34"/>
        <v>230204</v>
      </c>
      <c r="D351" s="18" t="s">
        <v>13</v>
      </c>
      <c r="E351" s="18" t="str">
        <f>"孟贞"</f>
        <v>孟贞</v>
      </c>
      <c r="F351" s="18">
        <v>108.5</v>
      </c>
      <c r="G351" s="18">
        <v>90.5</v>
      </c>
      <c r="H351" s="18">
        <f t="shared" si="35"/>
        <v>101.3</v>
      </c>
      <c r="I351" s="18">
        <v>82</v>
      </c>
      <c r="J351" s="18">
        <v>82.725</v>
      </c>
      <c r="K351" s="18" t="s">
        <v>114</v>
      </c>
      <c r="L351" s="18"/>
    </row>
    <row r="352" spans="1:12" ht="30" customHeight="1">
      <c r="A352" s="17">
        <v>350</v>
      </c>
      <c r="B352" s="18" t="str">
        <f>"23043516"</f>
        <v>23043516</v>
      </c>
      <c r="C352" s="18" t="str">
        <f>"230207"</f>
        <v>230207</v>
      </c>
      <c r="D352" s="18" t="s">
        <v>48</v>
      </c>
      <c r="E352" s="18" t="str">
        <f>"黄蓓"</f>
        <v>黄蓓</v>
      </c>
      <c r="F352" s="18">
        <v>100</v>
      </c>
      <c r="G352" s="18">
        <v>91.5</v>
      </c>
      <c r="H352" s="18">
        <f t="shared" si="35"/>
        <v>96.6</v>
      </c>
      <c r="I352" s="18">
        <v>85.2</v>
      </c>
      <c r="J352" s="18">
        <v>83.79</v>
      </c>
      <c r="K352" s="18" t="s">
        <v>114</v>
      </c>
      <c r="L352" s="18"/>
    </row>
    <row r="353" spans="1:12" ht="30" customHeight="1">
      <c r="A353" s="17">
        <v>351</v>
      </c>
      <c r="B353" s="18" t="str">
        <f>"23043527"</f>
        <v>23043527</v>
      </c>
      <c r="C353" s="18" t="str">
        <f>"230207"</f>
        <v>230207</v>
      </c>
      <c r="D353" s="18" t="s">
        <v>48</v>
      </c>
      <c r="E353" s="18" t="str">
        <f>"曹丽君"</f>
        <v>曹丽君</v>
      </c>
      <c r="F353" s="18">
        <v>103</v>
      </c>
      <c r="G353" s="18">
        <v>94</v>
      </c>
      <c r="H353" s="18">
        <f t="shared" si="35"/>
        <v>99.4</v>
      </c>
      <c r="I353" s="18">
        <v>84.2</v>
      </c>
      <c r="J353" s="18">
        <v>83.79</v>
      </c>
      <c r="K353" s="18" t="s">
        <v>114</v>
      </c>
      <c r="L353" s="18"/>
    </row>
    <row r="354" spans="1:12" ht="30" customHeight="1">
      <c r="A354" s="17">
        <v>352</v>
      </c>
      <c r="B354" s="18" t="str">
        <f>"23043216"</f>
        <v>23043216</v>
      </c>
      <c r="C354" s="18" t="str">
        <f>"230207"</f>
        <v>230207</v>
      </c>
      <c r="D354" s="18" t="s">
        <v>48</v>
      </c>
      <c r="E354" s="18" t="str">
        <f>"周加会"</f>
        <v>周加会</v>
      </c>
      <c r="F354" s="18">
        <v>98</v>
      </c>
      <c r="G354" s="18">
        <v>94</v>
      </c>
      <c r="H354" s="18">
        <f t="shared" si="35"/>
        <v>96.4</v>
      </c>
      <c r="I354" s="18">
        <v>85.2</v>
      </c>
      <c r="J354" s="18">
        <v>83.74</v>
      </c>
      <c r="K354" s="18" t="s">
        <v>114</v>
      </c>
      <c r="L354" s="18"/>
    </row>
    <row r="355" spans="1:12" ht="30" customHeight="1">
      <c r="A355" s="17">
        <v>353</v>
      </c>
      <c r="B355" s="18" t="str">
        <f>"23043405"</f>
        <v>23043405</v>
      </c>
      <c r="C355" s="18" t="str">
        <f>"230207"</f>
        <v>230207</v>
      </c>
      <c r="D355" s="18" t="s">
        <v>48</v>
      </c>
      <c r="E355" s="18" t="str">
        <f>"朱敏"</f>
        <v>朱敏</v>
      </c>
      <c r="F355" s="18">
        <v>103</v>
      </c>
      <c r="G355" s="18">
        <v>85</v>
      </c>
      <c r="H355" s="18">
        <f t="shared" si="35"/>
        <v>95.8</v>
      </c>
      <c r="I355" s="18">
        <v>85.2</v>
      </c>
      <c r="J355" s="18">
        <v>83.59</v>
      </c>
      <c r="K355" s="18" t="s">
        <v>114</v>
      </c>
      <c r="L355" s="18"/>
    </row>
    <row r="356" spans="1:12" ht="30" customHeight="1">
      <c r="A356" s="17">
        <v>354</v>
      </c>
      <c r="B356" s="18" t="str">
        <f>"23047430"</f>
        <v>23047430</v>
      </c>
      <c r="C356" s="18" t="str">
        <f aca="true" t="shared" si="36" ref="C356:C361">"230211"</f>
        <v>230211</v>
      </c>
      <c r="D356" s="18" t="s">
        <v>16</v>
      </c>
      <c r="E356" s="18" t="str">
        <f>"许佳"</f>
        <v>许佳</v>
      </c>
      <c r="F356" s="18">
        <v>89.5</v>
      </c>
      <c r="G356" s="18">
        <v>91</v>
      </c>
      <c r="H356" s="18">
        <f t="shared" si="35"/>
        <v>90.1</v>
      </c>
      <c r="I356" s="18">
        <v>87.1</v>
      </c>
      <c r="J356" s="18">
        <v>83.49499999999999</v>
      </c>
      <c r="K356" s="18" t="s">
        <v>114</v>
      </c>
      <c r="L356" s="18"/>
    </row>
    <row r="357" spans="1:12" ht="30" customHeight="1">
      <c r="A357" s="17">
        <v>355</v>
      </c>
      <c r="B357" s="18" t="str">
        <f>"23046714"</f>
        <v>23046714</v>
      </c>
      <c r="C357" s="18" t="str">
        <f t="shared" si="36"/>
        <v>230211</v>
      </c>
      <c r="D357" s="18" t="s">
        <v>16</v>
      </c>
      <c r="E357" s="18" t="str">
        <f>"赵丹荣"</f>
        <v>赵丹荣</v>
      </c>
      <c r="F357" s="18">
        <v>89.5</v>
      </c>
      <c r="G357" s="18">
        <v>90.5</v>
      </c>
      <c r="H357" s="18">
        <f t="shared" si="35"/>
        <v>89.9</v>
      </c>
      <c r="I357" s="18">
        <v>86.8</v>
      </c>
      <c r="J357" s="18">
        <v>83.23499999999999</v>
      </c>
      <c r="K357" s="18" t="s">
        <v>114</v>
      </c>
      <c r="L357" s="18"/>
    </row>
    <row r="358" spans="1:12" ht="30" customHeight="1">
      <c r="A358" s="17">
        <v>356</v>
      </c>
      <c r="B358" s="18" t="str">
        <f>"23046812"</f>
        <v>23046812</v>
      </c>
      <c r="C358" s="18" t="str">
        <f t="shared" si="36"/>
        <v>230211</v>
      </c>
      <c r="D358" s="18" t="s">
        <v>16</v>
      </c>
      <c r="E358" s="18" t="str">
        <f>"谢文娟"</f>
        <v>谢文娟</v>
      </c>
      <c r="F358" s="18">
        <v>96.5</v>
      </c>
      <c r="G358" s="18">
        <v>80</v>
      </c>
      <c r="H358" s="18">
        <f t="shared" si="35"/>
        <v>89.9</v>
      </c>
      <c r="I358" s="18">
        <v>86.44</v>
      </c>
      <c r="J358" s="18">
        <v>82.983</v>
      </c>
      <c r="K358" s="18" t="s">
        <v>114</v>
      </c>
      <c r="L358" s="18"/>
    </row>
    <row r="359" spans="1:12" ht="30" customHeight="1">
      <c r="A359" s="17">
        <v>357</v>
      </c>
      <c r="B359" s="18" t="str">
        <f>"23047328"</f>
        <v>23047328</v>
      </c>
      <c r="C359" s="18" t="str">
        <f t="shared" si="36"/>
        <v>230211</v>
      </c>
      <c r="D359" s="18" t="s">
        <v>16</v>
      </c>
      <c r="E359" s="18" t="str">
        <f>"刘文静"</f>
        <v>刘文静</v>
      </c>
      <c r="F359" s="18">
        <v>83</v>
      </c>
      <c r="G359" s="18">
        <v>92</v>
      </c>
      <c r="H359" s="18">
        <f t="shared" si="35"/>
        <v>86.6</v>
      </c>
      <c r="I359" s="18">
        <v>87.34</v>
      </c>
      <c r="J359" s="18">
        <v>82.788</v>
      </c>
      <c r="K359" s="18" t="s">
        <v>114</v>
      </c>
      <c r="L359" s="18"/>
    </row>
    <row r="360" spans="1:12" ht="30" customHeight="1">
      <c r="A360" s="17">
        <v>358</v>
      </c>
      <c r="B360" s="18" t="str">
        <f>"23047123"</f>
        <v>23047123</v>
      </c>
      <c r="C360" s="18" t="str">
        <f t="shared" si="36"/>
        <v>230211</v>
      </c>
      <c r="D360" s="18" t="s">
        <v>16</v>
      </c>
      <c r="E360" s="18" t="str">
        <f>"朱秀玉"</f>
        <v>朱秀玉</v>
      </c>
      <c r="F360" s="18">
        <v>83.5</v>
      </c>
      <c r="G360" s="18">
        <v>90</v>
      </c>
      <c r="H360" s="18">
        <f t="shared" si="35"/>
        <v>86.1</v>
      </c>
      <c r="I360" s="18">
        <v>87.5</v>
      </c>
      <c r="J360" s="18">
        <v>82.775</v>
      </c>
      <c r="K360" s="18" t="s">
        <v>114</v>
      </c>
      <c r="L360" s="18"/>
    </row>
    <row r="361" spans="1:12" ht="30" customHeight="1">
      <c r="A361" s="17">
        <v>359</v>
      </c>
      <c r="B361" s="18" t="str">
        <f>"23047216"</f>
        <v>23047216</v>
      </c>
      <c r="C361" s="18" t="str">
        <f t="shared" si="36"/>
        <v>230211</v>
      </c>
      <c r="D361" s="18" t="s">
        <v>16</v>
      </c>
      <c r="E361" s="18" t="str">
        <f>"于童"</f>
        <v>于童</v>
      </c>
      <c r="F361" s="18">
        <v>94.5</v>
      </c>
      <c r="G361" s="18">
        <v>85</v>
      </c>
      <c r="H361" s="18">
        <f t="shared" si="35"/>
        <v>90.69999999999999</v>
      </c>
      <c r="I361" s="18">
        <v>85.84</v>
      </c>
      <c r="J361" s="18">
        <v>82.763</v>
      </c>
      <c r="K361" s="18" t="s">
        <v>114</v>
      </c>
      <c r="L361" s="18"/>
    </row>
    <row r="362" spans="1:12" ht="30" customHeight="1">
      <c r="A362" s="17">
        <v>360</v>
      </c>
      <c r="B362" s="18" t="str">
        <f>"23020506"</f>
        <v>23020506</v>
      </c>
      <c r="C362" s="18" t="str">
        <f>"230212"</f>
        <v>230212</v>
      </c>
      <c r="D362" s="18" t="s">
        <v>88</v>
      </c>
      <c r="E362" s="18" t="str">
        <f>"丁亚萍"</f>
        <v>丁亚萍</v>
      </c>
      <c r="F362" s="18">
        <v>97</v>
      </c>
      <c r="G362" s="18">
        <v>89</v>
      </c>
      <c r="H362" s="18">
        <f t="shared" si="35"/>
        <v>93.8</v>
      </c>
      <c r="I362" s="18">
        <v>76</v>
      </c>
      <c r="J362" s="18">
        <v>76.64999999999999</v>
      </c>
      <c r="K362" s="18" t="s">
        <v>114</v>
      </c>
      <c r="L362" s="18"/>
    </row>
    <row r="363" spans="1:12" ht="30" customHeight="1">
      <c r="A363" s="17">
        <v>361</v>
      </c>
      <c r="B363" s="18" t="str">
        <f>"23021923"</f>
        <v>23021923</v>
      </c>
      <c r="C363" s="18" t="str">
        <f>"230214"</f>
        <v>230214</v>
      </c>
      <c r="D363" s="18" t="s">
        <v>20</v>
      </c>
      <c r="E363" s="18" t="str">
        <f>"黄曼曼"</f>
        <v>黄曼曼</v>
      </c>
      <c r="F363" s="18">
        <v>90</v>
      </c>
      <c r="G363" s="18">
        <v>91</v>
      </c>
      <c r="H363" s="18">
        <f t="shared" si="35"/>
        <v>90.4</v>
      </c>
      <c r="I363" s="18">
        <v>82.5</v>
      </c>
      <c r="J363" s="18">
        <v>80.35</v>
      </c>
      <c r="K363" s="18" t="s">
        <v>114</v>
      </c>
      <c r="L363" s="18"/>
    </row>
    <row r="364" spans="1:12" ht="30" customHeight="1">
      <c r="A364" s="17">
        <v>362</v>
      </c>
      <c r="B364" s="18" t="str">
        <f>"23021522"</f>
        <v>23021522</v>
      </c>
      <c r="C364" s="18" t="str">
        <f>"230214"</f>
        <v>230214</v>
      </c>
      <c r="D364" s="18" t="s">
        <v>20</v>
      </c>
      <c r="E364" s="18" t="str">
        <f>"张莞莹"</f>
        <v>张莞莹</v>
      </c>
      <c r="F364" s="18">
        <v>83</v>
      </c>
      <c r="G364" s="18">
        <v>84.5</v>
      </c>
      <c r="H364" s="18">
        <f t="shared" si="35"/>
        <v>83.6</v>
      </c>
      <c r="I364" s="18">
        <v>84.9</v>
      </c>
      <c r="J364" s="18">
        <v>80.33</v>
      </c>
      <c r="K364" s="18" t="s">
        <v>114</v>
      </c>
      <c r="L364" s="18"/>
    </row>
    <row r="365" spans="1:12" ht="30" customHeight="1">
      <c r="A365" s="17">
        <v>363</v>
      </c>
      <c r="B365" s="18" t="str">
        <f>"23023126"</f>
        <v>23023126</v>
      </c>
      <c r="C365" s="18" t="str">
        <f>"230215"</f>
        <v>230215</v>
      </c>
      <c r="D365" s="18" t="s">
        <v>90</v>
      </c>
      <c r="E365" s="18" t="str">
        <f>"卢奇"</f>
        <v>卢奇</v>
      </c>
      <c r="F365" s="18">
        <v>93</v>
      </c>
      <c r="G365" s="18">
        <v>81.5</v>
      </c>
      <c r="H365" s="18">
        <f t="shared" si="35"/>
        <v>88.4</v>
      </c>
      <c r="I365" s="18">
        <v>83.6</v>
      </c>
      <c r="J365" s="18">
        <v>80.61999999999999</v>
      </c>
      <c r="K365" s="18" t="s">
        <v>114</v>
      </c>
      <c r="L365" s="18"/>
    </row>
    <row r="366" spans="1:12" ht="30" customHeight="1">
      <c r="A366" s="17">
        <v>364</v>
      </c>
      <c r="B366" s="18" t="str">
        <f>"23022226"</f>
        <v>23022226</v>
      </c>
      <c r="C366" s="18" t="str">
        <f>"230215"</f>
        <v>230215</v>
      </c>
      <c r="D366" s="18" t="s">
        <v>90</v>
      </c>
      <c r="E366" s="18" t="str">
        <f>"董淑萍"</f>
        <v>董淑萍</v>
      </c>
      <c r="F366" s="18">
        <v>95.5</v>
      </c>
      <c r="G366" s="18">
        <v>82</v>
      </c>
      <c r="H366" s="18">
        <f t="shared" si="35"/>
        <v>90.1</v>
      </c>
      <c r="I366" s="18">
        <v>80.2</v>
      </c>
      <c r="J366" s="18">
        <v>78.66499999999999</v>
      </c>
      <c r="K366" s="18" t="s">
        <v>114</v>
      </c>
      <c r="L366" s="18"/>
    </row>
    <row r="367" spans="1:12" ht="30" customHeight="1">
      <c r="A367" s="17">
        <v>365</v>
      </c>
      <c r="B367" s="18" t="str">
        <f>"23036206"</f>
        <v>23036206</v>
      </c>
      <c r="C367" s="18" t="str">
        <f>"230216"</f>
        <v>230216</v>
      </c>
      <c r="D367" s="18" t="s">
        <v>94</v>
      </c>
      <c r="E367" s="18" t="str">
        <f>"杨敏"</f>
        <v>杨敏</v>
      </c>
      <c r="F367" s="18">
        <v>100</v>
      </c>
      <c r="G367" s="18">
        <v>78.5</v>
      </c>
      <c r="H367" s="18">
        <f t="shared" si="35"/>
        <v>91.4</v>
      </c>
      <c r="I367" s="18">
        <v>82.3</v>
      </c>
      <c r="J367" s="18">
        <v>80.46</v>
      </c>
      <c r="K367" s="18" t="s">
        <v>114</v>
      </c>
      <c r="L367" s="18"/>
    </row>
    <row r="368" spans="1:12" ht="30" customHeight="1">
      <c r="A368" s="17">
        <v>366</v>
      </c>
      <c r="B368" s="18" t="str">
        <f>"23041316"</f>
        <v>23041316</v>
      </c>
      <c r="C368" s="18" t="str">
        <f>"230206"</f>
        <v>230206</v>
      </c>
      <c r="D368" s="18" t="s">
        <v>53</v>
      </c>
      <c r="E368" s="18" t="str">
        <f>"姚泽黎阳"</f>
        <v>姚泽黎阳</v>
      </c>
      <c r="F368" s="18">
        <v>96</v>
      </c>
      <c r="G368" s="18">
        <v>80.5</v>
      </c>
      <c r="H368" s="18">
        <f t="shared" si="35"/>
        <v>89.8</v>
      </c>
      <c r="I368" s="18">
        <v>85.8</v>
      </c>
      <c r="J368" s="18">
        <v>82.51</v>
      </c>
      <c r="K368" s="18" t="s">
        <v>115</v>
      </c>
      <c r="L368" s="18"/>
    </row>
    <row r="369" spans="1:12" ht="30" customHeight="1">
      <c r="A369" s="17">
        <v>367</v>
      </c>
      <c r="B369" s="18" t="str">
        <f>"23047424"</f>
        <v>23047424</v>
      </c>
      <c r="C369" s="18" t="str">
        <f>"230211"</f>
        <v>230211</v>
      </c>
      <c r="D369" s="18" t="s">
        <v>16</v>
      </c>
      <c r="E369" s="18" t="str">
        <f>"程元元"</f>
        <v>程元元</v>
      </c>
      <c r="F369" s="18">
        <v>87.5</v>
      </c>
      <c r="G369" s="18">
        <v>92.5</v>
      </c>
      <c r="H369" s="18">
        <f t="shared" si="35"/>
        <v>89.5</v>
      </c>
      <c r="I369" s="18">
        <v>84.16</v>
      </c>
      <c r="J369" s="18">
        <v>81.28699999999999</v>
      </c>
      <c r="K369" s="18" t="s">
        <v>115</v>
      </c>
      <c r="L369" s="18"/>
    </row>
    <row r="370" spans="1:12" ht="30" customHeight="1">
      <c r="A370" s="17">
        <v>368</v>
      </c>
      <c r="B370" s="18" t="str">
        <f>"23031409"</f>
        <v>23031409</v>
      </c>
      <c r="C370" s="18" t="str">
        <f>"230201"</f>
        <v>230201</v>
      </c>
      <c r="D370" s="18" t="s">
        <v>85</v>
      </c>
      <c r="E370" s="18" t="str">
        <f>"曾瑞娟"</f>
        <v>曾瑞娟</v>
      </c>
      <c r="F370" s="18">
        <v>100</v>
      </c>
      <c r="G370" s="18">
        <v>92</v>
      </c>
      <c r="H370" s="18">
        <f t="shared" si="35"/>
        <v>96.80000000000001</v>
      </c>
      <c r="I370" s="18">
        <v>81.6</v>
      </c>
      <c r="J370" s="18">
        <v>81.32</v>
      </c>
      <c r="K370" s="18" t="s">
        <v>116</v>
      </c>
      <c r="L370" s="18"/>
    </row>
    <row r="371" spans="1:12" ht="30" customHeight="1">
      <c r="A371" s="17">
        <v>369</v>
      </c>
      <c r="B371" s="18" t="str">
        <f>"23030707"</f>
        <v>23030707</v>
      </c>
      <c r="C371" s="18" t="str">
        <f>"230201"</f>
        <v>230201</v>
      </c>
      <c r="D371" s="18" t="s">
        <v>85</v>
      </c>
      <c r="E371" s="18" t="str">
        <f>"汪国萍"</f>
        <v>汪国萍</v>
      </c>
      <c r="F371" s="18">
        <v>98</v>
      </c>
      <c r="G371" s="18">
        <v>92.5</v>
      </c>
      <c r="H371" s="18">
        <f t="shared" si="35"/>
        <v>95.8</v>
      </c>
      <c r="I371" s="18">
        <v>81.4</v>
      </c>
      <c r="J371" s="18">
        <v>80.92999999999999</v>
      </c>
      <c r="K371" s="18" t="s">
        <v>116</v>
      </c>
      <c r="L371" s="18"/>
    </row>
    <row r="372" spans="1:12" ht="30" customHeight="1">
      <c r="A372" s="17">
        <v>370</v>
      </c>
      <c r="B372" s="18" t="str">
        <f>"23043215"</f>
        <v>23043215</v>
      </c>
      <c r="C372" s="18" t="str">
        <f>"230207"</f>
        <v>230207</v>
      </c>
      <c r="D372" s="18" t="s">
        <v>48</v>
      </c>
      <c r="E372" s="18" t="str">
        <f>"张若舒"</f>
        <v>张若舒</v>
      </c>
      <c r="F372" s="18">
        <v>98</v>
      </c>
      <c r="G372" s="18">
        <v>82.5</v>
      </c>
      <c r="H372" s="18">
        <f t="shared" si="35"/>
        <v>91.8</v>
      </c>
      <c r="I372" s="18">
        <v>85.2</v>
      </c>
      <c r="J372" s="18">
        <v>82.59</v>
      </c>
      <c r="K372" s="18" t="s">
        <v>116</v>
      </c>
      <c r="L372" s="18"/>
    </row>
    <row r="373" spans="1:12" ht="30" customHeight="1">
      <c r="A373" s="17">
        <v>371</v>
      </c>
      <c r="B373" s="18" t="str">
        <f>"23043621"</f>
        <v>23043621</v>
      </c>
      <c r="C373" s="18" t="str">
        <f>"230207"</f>
        <v>230207</v>
      </c>
      <c r="D373" s="18" t="s">
        <v>48</v>
      </c>
      <c r="E373" s="18" t="str">
        <f>"王艳"</f>
        <v>王艳</v>
      </c>
      <c r="F373" s="18">
        <v>100</v>
      </c>
      <c r="G373" s="18">
        <v>90</v>
      </c>
      <c r="H373" s="18">
        <f t="shared" si="35"/>
        <v>96</v>
      </c>
      <c r="I373" s="18">
        <v>83.4</v>
      </c>
      <c r="J373" s="18">
        <v>82.38</v>
      </c>
      <c r="K373" s="18" t="s">
        <v>116</v>
      </c>
      <c r="L373" s="18"/>
    </row>
    <row r="374" spans="1:12" ht="30" customHeight="1">
      <c r="A374" s="17">
        <v>372</v>
      </c>
      <c r="B374" s="18" t="str">
        <f>"23046904"</f>
        <v>23046904</v>
      </c>
      <c r="C374" s="18" t="str">
        <f>"230211"</f>
        <v>230211</v>
      </c>
      <c r="D374" s="18" t="s">
        <v>16</v>
      </c>
      <c r="E374" s="18" t="str">
        <f>"杨培方"</f>
        <v>杨培方</v>
      </c>
      <c r="F374" s="18">
        <v>106.5</v>
      </c>
      <c r="G374" s="18">
        <v>79.5</v>
      </c>
      <c r="H374" s="18">
        <f t="shared" si="35"/>
        <v>95.7</v>
      </c>
      <c r="I374" s="18">
        <v>81.3</v>
      </c>
      <c r="J374" s="18">
        <v>80.835</v>
      </c>
      <c r="K374" s="18" t="s">
        <v>116</v>
      </c>
      <c r="L374" s="18"/>
    </row>
    <row r="375" spans="1:12" ht="30" customHeight="1">
      <c r="A375" s="17">
        <v>373</v>
      </c>
      <c r="B375" s="18" t="str">
        <f>"23034302"</f>
        <v>23034302</v>
      </c>
      <c r="C375" s="18" t="str">
        <f aca="true" t="shared" si="37" ref="C375:C383">"230203"</f>
        <v>230203</v>
      </c>
      <c r="D375" s="18" t="s">
        <v>25</v>
      </c>
      <c r="E375" s="18" t="str">
        <f>"葛爱玲"</f>
        <v>葛爱玲</v>
      </c>
      <c r="F375" s="18">
        <v>104</v>
      </c>
      <c r="G375" s="18">
        <v>102.5</v>
      </c>
      <c r="H375" s="18">
        <f t="shared" si="35"/>
        <v>103.4</v>
      </c>
      <c r="I375" s="18">
        <v>81.6</v>
      </c>
      <c r="J375" s="18">
        <v>82.97</v>
      </c>
      <c r="K375" s="18" t="s">
        <v>117</v>
      </c>
      <c r="L375" s="18"/>
    </row>
    <row r="376" spans="1:12" ht="30" customHeight="1">
      <c r="A376" s="17">
        <v>374</v>
      </c>
      <c r="B376" s="18" t="str">
        <f>"23033915"</f>
        <v>23033915</v>
      </c>
      <c r="C376" s="18" t="str">
        <f t="shared" si="37"/>
        <v>230203</v>
      </c>
      <c r="D376" s="18" t="s">
        <v>25</v>
      </c>
      <c r="E376" s="18" t="str">
        <f>"张思雨"</f>
        <v>张思雨</v>
      </c>
      <c r="F376" s="18">
        <v>97.5</v>
      </c>
      <c r="G376" s="18">
        <v>104</v>
      </c>
      <c r="H376" s="18">
        <f t="shared" si="35"/>
        <v>100.1</v>
      </c>
      <c r="I376" s="18">
        <v>82.6</v>
      </c>
      <c r="J376" s="18">
        <v>82.845</v>
      </c>
      <c r="K376" s="18" t="s">
        <v>117</v>
      </c>
      <c r="L376" s="18"/>
    </row>
    <row r="377" spans="1:12" ht="30" customHeight="1">
      <c r="A377" s="17">
        <v>375</v>
      </c>
      <c r="B377" s="18" t="str">
        <f>"23033722"</f>
        <v>23033722</v>
      </c>
      <c r="C377" s="18" t="str">
        <f t="shared" si="37"/>
        <v>230203</v>
      </c>
      <c r="D377" s="18" t="s">
        <v>25</v>
      </c>
      <c r="E377" s="18" t="str">
        <f>"张紫薇"</f>
        <v>张紫薇</v>
      </c>
      <c r="F377" s="18">
        <v>102</v>
      </c>
      <c r="G377" s="18">
        <v>98</v>
      </c>
      <c r="H377" s="18">
        <f t="shared" si="35"/>
        <v>100.4</v>
      </c>
      <c r="I377" s="18">
        <v>81.4</v>
      </c>
      <c r="J377" s="18">
        <v>82.08</v>
      </c>
      <c r="K377" s="18" t="s">
        <v>117</v>
      </c>
      <c r="L377" s="18"/>
    </row>
    <row r="378" spans="1:12" ht="30" customHeight="1">
      <c r="A378" s="17">
        <v>376</v>
      </c>
      <c r="B378" s="18" t="str">
        <f>"23033523"</f>
        <v>23033523</v>
      </c>
      <c r="C378" s="18" t="str">
        <f t="shared" si="37"/>
        <v>230203</v>
      </c>
      <c r="D378" s="18" t="s">
        <v>25</v>
      </c>
      <c r="E378" s="18" t="str">
        <f>"陈梦"</f>
        <v>陈梦</v>
      </c>
      <c r="F378" s="18">
        <v>106</v>
      </c>
      <c r="G378" s="18">
        <v>100.5</v>
      </c>
      <c r="H378" s="18">
        <f t="shared" si="35"/>
        <v>103.8</v>
      </c>
      <c r="I378" s="18">
        <v>80</v>
      </c>
      <c r="J378" s="18">
        <v>81.95</v>
      </c>
      <c r="K378" s="18" t="s">
        <v>117</v>
      </c>
      <c r="L378" s="18"/>
    </row>
    <row r="379" spans="1:12" ht="30" customHeight="1">
      <c r="A379" s="17">
        <v>377</v>
      </c>
      <c r="B379" s="18" t="str">
        <f>"23033016"</f>
        <v>23033016</v>
      </c>
      <c r="C379" s="18" t="str">
        <f t="shared" si="37"/>
        <v>230203</v>
      </c>
      <c r="D379" s="18" t="s">
        <v>25</v>
      </c>
      <c r="E379" s="18" t="str">
        <f>"郝楠楠"</f>
        <v>郝楠楠</v>
      </c>
      <c r="F379" s="18">
        <v>102</v>
      </c>
      <c r="G379" s="18">
        <v>97.5</v>
      </c>
      <c r="H379" s="18">
        <f t="shared" si="35"/>
        <v>100.19999999999999</v>
      </c>
      <c r="I379" s="18">
        <v>80.6</v>
      </c>
      <c r="J379" s="18">
        <v>81.47</v>
      </c>
      <c r="K379" s="18" t="s">
        <v>117</v>
      </c>
      <c r="L379" s="18"/>
    </row>
    <row r="380" spans="1:12" ht="30" customHeight="1">
      <c r="A380" s="17">
        <v>378</v>
      </c>
      <c r="B380" s="18" t="str">
        <f>"23034414"</f>
        <v>23034414</v>
      </c>
      <c r="C380" s="18" t="str">
        <f t="shared" si="37"/>
        <v>230203</v>
      </c>
      <c r="D380" s="18" t="s">
        <v>25</v>
      </c>
      <c r="E380" s="18" t="str">
        <f>"王丽娜"</f>
        <v>王丽娜</v>
      </c>
      <c r="F380" s="18">
        <v>105</v>
      </c>
      <c r="G380" s="18">
        <v>81</v>
      </c>
      <c r="H380" s="18">
        <f t="shared" si="35"/>
        <v>95.4</v>
      </c>
      <c r="I380" s="18">
        <v>82.2</v>
      </c>
      <c r="J380" s="18">
        <v>81.39</v>
      </c>
      <c r="K380" s="18" t="s">
        <v>117</v>
      </c>
      <c r="L380" s="18"/>
    </row>
    <row r="381" spans="1:12" ht="30" customHeight="1">
      <c r="A381" s="17">
        <v>379</v>
      </c>
      <c r="B381" s="18" t="str">
        <f>"23033130"</f>
        <v>23033130</v>
      </c>
      <c r="C381" s="18" t="str">
        <f t="shared" si="37"/>
        <v>230203</v>
      </c>
      <c r="D381" s="18" t="s">
        <v>25</v>
      </c>
      <c r="E381" s="18" t="str">
        <f>"车龙莉"</f>
        <v>车龙莉</v>
      </c>
      <c r="F381" s="18">
        <v>104</v>
      </c>
      <c r="G381" s="18">
        <v>85.5</v>
      </c>
      <c r="H381" s="18">
        <f t="shared" si="35"/>
        <v>96.6</v>
      </c>
      <c r="I381" s="18">
        <v>81.4</v>
      </c>
      <c r="J381" s="18">
        <v>81.13</v>
      </c>
      <c r="K381" s="18" t="s">
        <v>117</v>
      </c>
      <c r="L381" s="18"/>
    </row>
    <row r="382" spans="1:12" ht="30" customHeight="1">
      <c r="A382" s="17">
        <v>380</v>
      </c>
      <c r="B382" s="18" t="str">
        <f>"23033129"</f>
        <v>23033129</v>
      </c>
      <c r="C382" s="18" t="str">
        <f t="shared" si="37"/>
        <v>230203</v>
      </c>
      <c r="D382" s="18" t="s">
        <v>25</v>
      </c>
      <c r="E382" s="18" t="str">
        <f>"孙金玉"</f>
        <v>孙金玉</v>
      </c>
      <c r="F382" s="18">
        <v>101</v>
      </c>
      <c r="G382" s="18">
        <v>97.5</v>
      </c>
      <c r="H382" s="18">
        <f t="shared" si="35"/>
        <v>99.6</v>
      </c>
      <c r="I382" s="18">
        <v>80.2</v>
      </c>
      <c r="J382" s="18">
        <v>81.03999999999999</v>
      </c>
      <c r="K382" s="18" t="s">
        <v>117</v>
      </c>
      <c r="L382" s="18"/>
    </row>
    <row r="383" spans="1:12" ht="30" customHeight="1">
      <c r="A383" s="17">
        <v>381</v>
      </c>
      <c r="B383" s="18" t="str">
        <f>"23033205"</f>
        <v>23033205</v>
      </c>
      <c r="C383" s="18" t="str">
        <f t="shared" si="37"/>
        <v>230203</v>
      </c>
      <c r="D383" s="18" t="s">
        <v>25</v>
      </c>
      <c r="E383" s="18" t="str">
        <f>"李如梦"</f>
        <v>李如梦</v>
      </c>
      <c r="F383" s="18">
        <v>98</v>
      </c>
      <c r="G383" s="18">
        <v>106.5</v>
      </c>
      <c r="H383" s="18">
        <f t="shared" si="35"/>
        <v>101.4</v>
      </c>
      <c r="I383" s="18">
        <v>79.2</v>
      </c>
      <c r="J383" s="18">
        <v>80.79</v>
      </c>
      <c r="K383" s="18" t="s">
        <v>117</v>
      </c>
      <c r="L383" s="18"/>
    </row>
    <row r="384" spans="1:12" ht="30" customHeight="1">
      <c r="A384" s="17">
        <v>382</v>
      </c>
      <c r="B384" s="18" t="str">
        <f>"23040606"</f>
        <v>23040606</v>
      </c>
      <c r="C384" s="18" t="str">
        <f aca="true" t="shared" si="38" ref="C384:C392">"230205"</f>
        <v>230205</v>
      </c>
      <c r="D384" s="18" t="s">
        <v>29</v>
      </c>
      <c r="E384" s="18" t="str">
        <f>"王雪婷"</f>
        <v>王雪婷</v>
      </c>
      <c r="F384" s="18">
        <v>96</v>
      </c>
      <c r="G384" s="18">
        <v>96.5</v>
      </c>
      <c r="H384" s="18">
        <f t="shared" si="35"/>
        <v>96.19999999999999</v>
      </c>
      <c r="I384" s="18">
        <v>84.6</v>
      </c>
      <c r="J384" s="18">
        <v>83.26999999999998</v>
      </c>
      <c r="K384" s="18" t="s">
        <v>117</v>
      </c>
      <c r="L384" s="18"/>
    </row>
    <row r="385" spans="1:12" ht="30" customHeight="1">
      <c r="A385" s="17">
        <v>383</v>
      </c>
      <c r="B385" s="18" t="str">
        <f>"23040714"</f>
        <v>23040714</v>
      </c>
      <c r="C385" s="18" t="str">
        <f t="shared" si="38"/>
        <v>230205</v>
      </c>
      <c r="D385" s="18" t="s">
        <v>29</v>
      </c>
      <c r="E385" s="18" t="str">
        <f>"杨良慧"</f>
        <v>杨良慧</v>
      </c>
      <c r="F385" s="18">
        <v>94</v>
      </c>
      <c r="G385" s="18">
        <v>86.5</v>
      </c>
      <c r="H385" s="18">
        <f t="shared" si="35"/>
        <v>91</v>
      </c>
      <c r="I385" s="18">
        <v>86.2</v>
      </c>
      <c r="J385" s="18">
        <v>83.09</v>
      </c>
      <c r="K385" s="18" t="s">
        <v>117</v>
      </c>
      <c r="L385" s="18"/>
    </row>
    <row r="386" spans="1:12" ht="30" customHeight="1">
      <c r="A386" s="17">
        <v>384</v>
      </c>
      <c r="B386" s="18" t="str">
        <f>"23040522"</f>
        <v>23040522</v>
      </c>
      <c r="C386" s="18" t="str">
        <f t="shared" si="38"/>
        <v>230205</v>
      </c>
      <c r="D386" s="18" t="s">
        <v>29</v>
      </c>
      <c r="E386" s="18" t="str">
        <f>"戴飞"</f>
        <v>戴飞</v>
      </c>
      <c r="F386" s="18">
        <v>93</v>
      </c>
      <c r="G386" s="18">
        <v>84.5</v>
      </c>
      <c r="H386" s="18">
        <f t="shared" si="35"/>
        <v>89.6</v>
      </c>
      <c r="I386" s="18">
        <v>86.6</v>
      </c>
      <c r="J386" s="18">
        <v>83.02</v>
      </c>
      <c r="K386" s="18" t="s">
        <v>117</v>
      </c>
      <c r="L386" s="18"/>
    </row>
    <row r="387" spans="1:12" ht="30" customHeight="1">
      <c r="A387" s="17">
        <v>385</v>
      </c>
      <c r="B387" s="18" t="str">
        <f>"23040503"</f>
        <v>23040503</v>
      </c>
      <c r="C387" s="18" t="str">
        <f t="shared" si="38"/>
        <v>230205</v>
      </c>
      <c r="D387" s="18" t="s">
        <v>29</v>
      </c>
      <c r="E387" s="18" t="str">
        <f>"蔡欣欣"</f>
        <v>蔡欣欣</v>
      </c>
      <c r="F387" s="18">
        <v>96</v>
      </c>
      <c r="G387" s="18">
        <v>93</v>
      </c>
      <c r="H387" s="18">
        <f t="shared" si="35"/>
        <v>94.8</v>
      </c>
      <c r="I387" s="18">
        <v>84</v>
      </c>
      <c r="J387" s="18">
        <v>82.5</v>
      </c>
      <c r="K387" s="18" t="s">
        <v>117</v>
      </c>
      <c r="L387" s="18"/>
    </row>
    <row r="388" spans="1:12" ht="30" customHeight="1">
      <c r="A388" s="17">
        <v>386</v>
      </c>
      <c r="B388" s="18" t="str">
        <f>"23041211"</f>
        <v>23041211</v>
      </c>
      <c r="C388" s="18" t="str">
        <f t="shared" si="38"/>
        <v>230205</v>
      </c>
      <c r="D388" s="18" t="s">
        <v>29</v>
      </c>
      <c r="E388" s="18" t="str">
        <f>"徐雅静"</f>
        <v>徐雅静</v>
      </c>
      <c r="F388" s="18">
        <v>96</v>
      </c>
      <c r="G388" s="18">
        <v>80.5</v>
      </c>
      <c r="H388" s="18">
        <f t="shared" si="35"/>
        <v>89.8</v>
      </c>
      <c r="I388" s="18">
        <v>84.2</v>
      </c>
      <c r="J388" s="18">
        <v>81.39</v>
      </c>
      <c r="K388" s="18" t="s">
        <v>117</v>
      </c>
      <c r="L388" s="18"/>
    </row>
    <row r="389" spans="1:12" ht="30" customHeight="1">
      <c r="A389" s="17">
        <v>387</v>
      </c>
      <c r="B389" s="18" t="str">
        <f>"23040415"</f>
        <v>23040415</v>
      </c>
      <c r="C389" s="18" t="str">
        <f t="shared" si="38"/>
        <v>230205</v>
      </c>
      <c r="D389" s="18" t="s">
        <v>29</v>
      </c>
      <c r="E389" s="18" t="str">
        <f>"谭旭"</f>
        <v>谭旭</v>
      </c>
      <c r="F389" s="18">
        <v>89</v>
      </c>
      <c r="G389" s="18">
        <v>87.5</v>
      </c>
      <c r="H389" s="18">
        <f t="shared" si="35"/>
        <v>88.4</v>
      </c>
      <c r="I389" s="18">
        <v>84.6</v>
      </c>
      <c r="J389" s="18">
        <v>81.32</v>
      </c>
      <c r="K389" s="18" t="s">
        <v>117</v>
      </c>
      <c r="L389" s="18"/>
    </row>
    <row r="390" spans="1:12" ht="30" customHeight="1">
      <c r="A390" s="17">
        <v>388</v>
      </c>
      <c r="B390" s="18" t="str">
        <f>"23040928"</f>
        <v>23040928</v>
      </c>
      <c r="C390" s="18" t="str">
        <f t="shared" si="38"/>
        <v>230205</v>
      </c>
      <c r="D390" s="18" t="s">
        <v>29</v>
      </c>
      <c r="E390" s="18" t="str">
        <f>"张会云"</f>
        <v>张会云</v>
      </c>
      <c r="F390" s="18">
        <v>93</v>
      </c>
      <c r="G390" s="18">
        <v>87.5</v>
      </c>
      <c r="H390" s="18">
        <f t="shared" si="35"/>
        <v>90.8</v>
      </c>
      <c r="I390" s="18">
        <v>82.8</v>
      </c>
      <c r="J390" s="18">
        <v>80.66</v>
      </c>
      <c r="K390" s="18" t="s">
        <v>117</v>
      </c>
      <c r="L390" s="18"/>
    </row>
    <row r="391" spans="1:12" ht="30" customHeight="1">
      <c r="A391" s="17">
        <v>389</v>
      </c>
      <c r="B391" s="18" t="str">
        <f>"23040616"</f>
        <v>23040616</v>
      </c>
      <c r="C391" s="18" t="str">
        <f t="shared" si="38"/>
        <v>230205</v>
      </c>
      <c r="D391" s="18" t="s">
        <v>29</v>
      </c>
      <c r="E391" s="18" t="str">
        <f>"朱红豆"</f>
        <v>朱红豆</v>
      </c>
      <c r="F391" s="18">
        <v>95</v>
      </c>
      <c r="G391" s="18">
        <v>81.5</v>
      </c>
      <c r="H391" s="18">
        <f t="shared" si="35"/>
        <v>89.6</v>
      </c>
      <c r="I391" s="18">
        <v>83.2</v>
      </c>
      <c r="J391" s="18">
        <v>80.64</v>
      </c>
      <c r="K391" s="18" t="s">
        <v>117</v>
      </c>
      <c r="L391" s="18"/>
    </row>
    <row r="392" spans="1:12" ht="30" customHeight="1">
      <c r="A392" s="17">
        <v>390</v>
      </c>
      <c r="B392" s="18" t="str">
        <f>"23040701"</f>
        <v>23040701</v>
      </c>
      <c r="C392" s="18" t="str">
        <f t="shared" si="38"/>
        <v>230205</v>
      </c>
      <c r="D392" s="18" t="s">
        <v>29</v>
      </c>
      <c r="E392" s="18" t="str">
        <f>"罗佳佳"</f>
        <v>罗佳佳</v>
      </c>
      <c r="F392" s="18">
        <v>97</v>
      </c>
      <c r="G392" s="18">
        <v>84</v>
      </c>
      <c r="H392" s="18">
        <f t="shared" si="35"/>
        <v>91.8</v>
      </c>
      <c r="I392" s="18">
        <v>82.4</v>
      </c>
      <c r="J392" s="18">
        <v>80.63</v>
      </c>
      <c r="K392" s="18" t="s">
        <v>117</v>
      </c>
      <c r="L392" s="18"/>
    </row>
    <row r="393" spans="1:12" ht="30" customHeight="1">
      <c r="A393" s="17">
        <v>391</v>
      </c>
      <c r="B393" s="18" t="str">
        <f>"23046706"</f>
        <v>23046706</v>
      </c>
      <c r="C393" s="18" t="str">
        <f>"230210"</f>
        <v>230210</v>
      </c>
      <c r="D393" s="18" t="s">
        <v>19</v>
      </c>
      <c r="E393" s="18" t="str">
        <f>"胡骁"</f>
        <v>胡骁</v>
      </c>
      <c r="F393" s="18">
        <v>96</v>
      </c>
      <c r="G393" s="18">
        <v>91</v>
      </c>
      <c r="H393" s="18">
        <f t="shared" si="35"/>
        <v>94</v>
      </c>
      <c r="I393" s="18">
        <v>86</v>
      </c>
      <c r="J393" s="18">
        <v>83.7</v>
      </c>
      <c r="K393" s="18" t="s">
        <v>117</v>
      </c>
      <c r="L393" s="18"/>
    </row>
    <row r="394" spans="1:12" ht="30" customHeight="1">
      <c r="A394" s="17">
        <v>392</v>
      </c>
      <c r="B394" s="18" t="str">
        <f>"23046426"</f>
        <v>23046426</v>
      </c>
      <c r="C394" s="18" t="str">
        <f>"230210"</f>
        <v>230210</v>
      </c>
      <c r="D394" s="18" t="s">
        <v>19</v>
      </c>
      <c r="E394" s="18" t="str">
        <f>"薛慧"</f>
        <v>薛慧</v>
      </c>
      <c r="F394" s="18">
        <v>95</v>
      </c>
      <c r="G394" s="18">
        <v>81</v>
      </c>
      <c r="H394" s="18">
        <f t="shared" si="35"/>
        <v>89.4</v>
      </c>
      <c r="I394" s="18">
        <v>83.8</v>
      </c>
      <c r="J394" s="18">
        <v>81.01</v>
      </c>
      <c r="K394" s="18" t="s">
        <v>117</v>
      </c>
      <c r="L394" s="18"/>
    </row>
    <row r="395" spans="1:12" ht="30" customHeight="1">
      <c r="A395" s="17">
        <v>393</v>
      </c>
      <c r="B395" s="18" t="str">
        <f>"23046304"</f>
        <v>23046304</v>
      </c>
      <c r="C395" s="18" t="str">
        <f>"230210"</f>
        <v>230210</v>
      </c>
      <c r="D395" s="18" t="s">
        <v>19</v>
      </c>
      <c r="E395" s="18" t="str">
        <f>"孟雨晴"</f>
        <v>孟雨晴</v>
      </c>
      <c r="F395" s="18">
        <v>105</v>
      </c>
      <c r="G395" s="18">
        <v>93.5</v>
      </c>
      <c r="H395" s="18">
        <f t="shared" si="35"/>
        <v>100.4</v>
      </c>
      <c r="I395" s="18">
        <v>79.8</v>
      </c>
      <c r="J395" s="18">
        <v>80.96</v>
      </c>
      <c r="K395" s="18" t="s">
        <v>117</v>
      </c>
      <c r="L395" s="18"/>
    </row>
    <row r="396" spans="1:12" ht="30" customHeight="1">
      <c r="A396" s="17">
        <v>394</v>
      </c>
      <c r="B396" s="18" t="str">
        <f>"23046515"</f>
        <v>23046515</v>
      </c>
      <c r="C396" s="18" t="str">
        <f>"230210"</f>
        <v>230210</v>
      </c>
      <c r="D396" s="18" t="s">
        <v>19</v>
      </c>
      <c r="E396" s="18" t="str">
        <f>"李迪迪"</f>
        <v>李迪迪</v>
      </c>
      <c r="F396" s="18">
        <v>92.5</v>
      </c>
      <c r="G396" s="18">
        <v>95</v>
      </c>
      <c r="H396" s="18">
        <f t="shared" si="35"/>
        <v>93.5</v>
      </c>
      <c r="I396" s="18">
        <v>82.1</v>
      </c>
      <c r="J396" s="18">
        <v>80.845</v>
      </c>
      <c r="K396" s="18" t="s">
        <v>117</v>
      </c>
      <c r="L396" s="18"/>
    </row>
    <row r="397" spans="1:12" ht="30" customHeight="1">
      <c r="A397" s="17">
        <v>395</v>
      </c>
      <c r="B397" s="18" t="str">
        <f>"23020719"</f>
        <v>23020719</v>
      </c>
      <c r="C397" s="18" t="str">
        <f>"230212"</f>
        <v>230212</v>
      </c>
      <c r="D397" s="18" t="s">
        <v>88</v>
      </c>
      <c r="E397" s="18" t="str">
        <f>"翁亚萍"</f>
        <v>翁亚萍</v>
      </c>
      <c r="F397" s="18">
        <v>93</v>
      </c>
      <c r="G397" s="18">
        <v>89</v>
      </c>
      <c r="H397" s="18">
        <f t="shared" si="35"/>
        <v>91.4</v>
      </c>
      <c r="I397" s="18">
        <v>81.2</v>
      </c>
      <c r="J397" s="18">
        <v>79.69</v>
      </c>
      <c r="K397" s="18" t="s">
        <v>117</v>
      </c>
      <c r="L397" s="18"/>
    </row>
    <row r="398" spans="1:12" ht="30" customHeight="1">
      <c r="A398" s="17">
        <v>396</v>
      </c>
      <c r="B398" s="18" t="str">
        <f>"23021514"</f>
        <v>23021514</v>
      </c>
      <c r="C398" s="18" t="str">
        <f>"230214"</f>
        <v>230214</v>
      </c>
      <c r="D398" s="18" t="s">
        <v>20</v>
      </c>
      <c r="E398" s="18" t="str">
        <f>"张亚文"</f>
        <v>张亚文</v>
      </c>
      <c r="F398" s="18">
        <v>95</v>
      </c>
      <c r="G398" s="18">
        <v>83.5</v>
      </c>
      <c r="H398" s="18">
        <f t="shared" si="35"/>
        <v>90.4</v>
      </c>
      <c r="I398" s="18">
        <v>82.4</v>
      </c>
      <c r="J398" s="18">
        <v>80.28</v>
      </c>
      <c r="K398" s="18" t="s">
        <v>117</v>
      </c>
      <c r="L398" s="18"/>
    </row>
    <row r="399" spans="1:12" ht="30" customHeight="1">
      <c r="A399" s="17">
        <v>397</v>
      </c>
      <c r="B399" s="18" t="str">
        <f>"23022023"</f>
        <v>23022023</v>
      </c>
      <c r="C399" s="18" t="str">
        <f>"230214"</f>
        <v>230214</v>
      </c>
      <c r="D399" s="18" t="s">
        <v>20</v>
      </c>
      <c r="E399" s="18" t="str">
        <f>"王腾飞"</f>
        <v>王腾飞</v>
      </c>
      <c r="F399" s="18">
        <v>86.5</v>
      </c>
      <c r="G399" s="18">
        <v>86.5</v>
      </c>
      <c r="H399" s="18">
        <f t="shared" si="35"/>
        <v>86.5</v>
      </c>
      <c r="I399" s="18">
        <v>83.7</v>
      </c>
      <c r="J399" s="18">
        <v>80.215</v>
      </c>
      <c r="K399" s="18" t="s">
        <v>117</v>
      </c>
      <c r="L399" s="18"/>
    </row>
    <row r="400" spans="1:12" ht="30" customHeight="1">
      <c r="A400" s="17">
        <v>398</v>
      </c>
      <c r="B400" s="18" t="str">
        <f>"23022207"</f>
        <v>23022207</v>
      </c>
      <c r="C400" s="18" t="str">
        <f>"230215"</f>
        <v>230215</v>
      </c>
      <c r="D400" s="18" t="s">
        <v>90</v>
      </c>
      <c r="E400" s="18" t="str">
        <f>"郭婷"</f>
        <v>郭婷</v>
      </c>
      <c r="F400" s="18">
        <v>102</v>
      </c>
      <c r="G400" s="18">
        <v>86</v>
      </c>
      <c r="H400" s="18">
        <f t="shared" si="35"/>
        <v>95.6</v>
      </c>
      <c r="I400" s="18">
        <v>81.2</v>
      </c>
      <c r="J400" s="18">
        <v>80.74</v>
      </c>
      <c r="K400" s="18" t="s">
        <v>117</v>
      </c>
      <c r="L400" s="18"/>
    </row>
    <row r="401" spans="1:12" ht="30" customHeight="1">
      <c r="A401" s="17">
        <v>399</v>
      </c>
      <c r="B401" s="18" t="str">
        <f>"23036222"</f>
        <v>23036222</v>
      </c>
      <c r="C401" s="18" t="str">
        <f>"230216"</f>
        <v>230216</v>
      </c>
      <c r="D401" s="18" t="s">
        <v>94</v>
      </c>
      <c r="E401" s="18" t="str">
        <f>"牛敏"</f>
        <v>牛敏</v>
      </c>
      <c r="F401" s="18">
        <v>96</v>
      </c>
      <c r="G401" s="18">
        <v>75</v>
      </c>
      <c r="H401" s="18">
        <f t="shared" si="35"/>
        <v>87.6</v>
      </c>
      <c r="I401" s="18">
        <v>82.4</v>
      </c>
      <c r="J401" s="18">
        <v>79.58</v>
      </c>
      <c r="K401" s="18" t="s">
        <v>117</v>
      </c>
      <c r="L401" s="18"/>
    </row>
    <row r="403" spans="1:12" ht="33" customHeight="1">
      <c r="A403" s="22"/>
      <c r="B403" s="23"/>
      <c r="C403" s="23"/>
      <c r="D403" s="24"/>
      <c r="E403" s="25"/>
      <c r="F403" s="25"/>
      <c r="G403" s="25"/>
      <c r="H403" s="25"/>
      <c r="I403" s="25"/>
      <c r="J403" s="25"/>
      <c r="K403" s="25"/>
      <c r="L403" s="25"/>
    </row>
  </sheetData>
  <sheetProtection/>
  <mergeCells count="2">
    <mergeCell ref="A1:L1"/>
    <mergeCell ref="A403:C403"/>
  </mergeCells>
  <printOptions/>
  <pageMargins left="0.15694444444444444" right="0.07847222222222222" top="0.3145833333333333" bottom="0.11805555555555555" header="0.19652777777777777" footer="0.11805555555555555"/>
  <pageSetup horizontalDpi="600" verticalDpi="600" orientation="landscape" paperSize="9"/>
  <rowBreaks count="28" manualBreakCount="28">
    <brk id="11" max="255" man="1"/>
    <brk id="23" max="255" man="1"/>
    <brk id="34" max="255" man="1"/>
    <brk id="47" max="255" man="1"/>
    <brk id="72" max="255" man="1"/>
    <brk id="85" max="255" man="1"/>
    <brk id="97" max="255" man="1"/>
    <brk id="109" max="255" man="1"/>
    <brk id="121" max="255" man="1"/>
    <brk id="131" max="255" man="1"/>
    <brk id="139" max="255" man="1"/>
    <brk id="149" max="255" man="1"/>
    <brk id="163" max="255" man="1"/>
    <brk id="173" max="255" man="1"/>
    <brk id="184" max="255" man="1"/>
    <brk id="201" max="255" man="1"/>
    <brk id="215" max="255" man="1"/>
    <brk id="229" max="255" man="1"/>
    <brk id="244" max="255" man="1"/>
    <brk id="259" max="255" man="1"/>
    <brk id="274" max="255" man="1"/>
    <brk id="289" max="255" man="1"/>
    <brk id="315" max="255" man="1"/>
    <brk id="329" max="255" man="1"/>
    <brk id="344" max="255" man="1"/>
    <brk id="360" max="255" man="1"/>
    <brk id="366" max="255" man="1"/>
    <brk id="3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倚暖石栏苔</cp:lastModifiedBy>
  <dcterms:created xsi:type="dcterms:W3CDTF">2023-03-21T02:21:19Z</dcterms:created>
  <dcterms:modified xsi:type="dcterms:W3CDTF">2023-08-23T00:29:09Z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FAF7FD678E0443BE9EE4D46EC6BA3DF8_13</vt:lpwstr>
  </property>
  <property fmtid="{D5CDD505-2E9C-101B-9397-08002B2CF9AE}" pid="4" name="KSOProductBuildV">
    <vt:lpwstr>2052-11.1.0.14309</vt:lpwstr>
  </property>
</Properties>
</file>