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<sst xmlns="http://schemas.openxmlformats.org/spreadsheetml/2006/main" count="2097" uniqueCount="12">
  <si>
    <t>2023年宿州市埇桥区事业单位公开招聘
工作人员笔试成绩</t>
  </si>
  <si>
    <t>职位代码</t>
  </si>
  <si>
    <t>准考证号</t>
  </si>
  <si>
    <t>职业能力倾向测验</t>
  </si>
  <si>
    <t>综合应用能力</t>
  </si>
  <si>
    <t>总成绩</t>
  </si>
  <si>
    <t>备注</t>
  </si>
  <si>
    <t>缺考</t>
  </si>
  <si>
    <t>未核验身份证做零分处理</t>
  </si>
  <si>
    <t>空白卷</t>
  </si>
  <si>
    <t>职业能力倾向测验科目
做零分处理</t>
  </si>
  <si>
    <t>综合应用能力测试科目
做零分处理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</si>
</sst>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227"/>
  <sheetViews>
    <sheetView tabSelected="1" workbookViewId="0">
      <pane ySplit="2" topLeftCell="A159" activePane="bottomLeft" state="frozen"/>
      <selection/>
      <selection pane="bottomLeft" activeCell="K2" sqref="K2"/>
    </sheetView>
  </sheetViews>
  <sheetFormatPr defaultColWidth="9" defaultRowHeight="13.5" outlineLevelCol="5"/>
  <cols>
    <col min="1" max="1" width="12.625" customWidth="1"/>
    <col min="2" max="2" width="17" customWidth="1"/>
    <col min="3" max="3" width="17.375" customWidth="1"/>
    <col min="4" max="4" width="13.5" customWidth="1"/>
    <col min="5" max="5" width="15.125" customWidth="1"/>
    <col min="6" max="6" width="22.875" customWidth="1"/>
  </cols>
  <sheetData>
    <row r="1" ht="68" customHeight="1" spans="1:6">
      <c r="A1" s="1" t="s">
        <v>0</v>
      </c>
      <c r="B1" s="1"/>
      <c r="C1" s="1"/>
      <c r="D1" s="1"/>
      <c r="E1" s="1"/>
      <c r="F1" s="1"/>
    </row>
    <row r="2" ht="28" customHeight="1" spans="1:6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2" t="s">
        <v>6</v>
      </c>
    </row>
    <row r="3" spans="1:6">
      <c r="A3" s="5" t="str">
        <f t="shared" ref="A3:A66" si="0">"202301"</f>
        <v>202301</v>
      </c>
      <c r="B3" s="5" t="str">
        <f>"23085010403"</f>
        <v>23085010403</v>
      </c>
      <c r="C3" s="6">
        <v>118.5</v>
      </c>
      <c r="D3" s="6">
        <v>117.5</v>
      </c>
      <c r="E3" s="6">
        <v>236</v>
      </c>
      <c r="F3" s="7"/>
    </row>
    <row r="4" spans="1:6">
      <c r="A4" s="8" t="str">
        <f t="shared" si="0"/>
        <v>202301</v>
      </c>
      <c r="B4" s="8" t="str">
        <f>"23085010316"</f>
        <v>23085010316</v>
      </c>
      <c r="C4" s="9">
        <v>112.5</v>
      </c>
      <c r="D4" s="9">
        <v>123</v>
      </c>
      <c r="E4" s="9">
        <v>235.5</v>
      </c>
      <c r="F4" s="10"/>
    </row>
    <row r="5" spans="1:6">
      <c r="A5" s="5" t="str">
        <f t="shared" si="0"/>
        <v>202301</v>
      </c>
      <c r="B5" s="5" t="str">
        <f>"23085010121"</f>
        <v>23085010121</v>
      </c>
      <c r="C5" s="6">
        <v>121.5</v>
      </c>
      <c r="D5" s="6">
        <v>113.5</v>
      </c>
      <c r="E5" s="6">
        <v>235</v>
      </c>
      <c r="F5" s="11"/>
    </row>
    <row r="6" spans="1:6">
      <c r="A6" s="5" t="str">
        <f t="shared" si="0"/>
        <v>202301</v>
      </c>
      <c r="B6" s="5" t="str">
        <f>"23085010408"</f>
        <v>23085010408</v>
      </c>
      <c r="C6" s="6">
        <v>114</v>
      </c>
      <c r="D6" s="6">
        <v>120</v>
      </c>
      <c r="E6" s="6">
        <v>234</v>
      </c>
      <c r="F6" s="11"/>
    </row>
    <row r="7" spans="1:6">
      <c r="A7" s="5" t="str">
        <f t="shared" si="0"/>
        <v>202301</v>
      </c>
      <c r="B7" s="5" t="str">
        <f>"23085010323"</f>
        <v>23085010323</v>
      </c>
      <c r="C7" s="6">
        <v>114</v>
      </c>
      <c r="D7" s="6">
        <v>119.5</v>
      </c>
      <c r="E7" s="6">
        <v>233.5</v>
      </c>
      <c r="F7" s="11"/>
    </row>
    <row r="8" spans="1:6">
      <c r="A8" s="5" t="str">
        <f t="shared" si="0"/>
        <v>202301</v>
      </c>
      <c r="B8" s="5" t="str">
        <f>"23085010112"</f>
        <v>23085010112</v>
      </c>
      <c r="C8" s="6">
        <v>111</v>
      </c>
      <c r="D8" s="6">
        <v>121.5</v>
      </c>
      <c r="E8" s="6">
        <v>232.5</v>
      </c>
      <c r="F8" s="11"/>
    </row>
    <row r="9" spans="1:6">
      <c r="A9" s="5" t="str">
        <f t="shared" si="0"/>
        <v>202301</v>
      </c>
      <c r="B9" s="5" t="str">
        <f>"23085010407"</f>
        <v>23085010407</v>
      </c>
      <c r="C9" s="6">
        <v>114</v>
      </c>
      <c r="D9" s="6">
        <v>117.5</v>
      </c>
      <c r="E9" s="6">
        <v>231.5</v>
      </c>
      <c r="F9" s="11"/>
    </row>
    <row r="10" spans="1:6">
      <c r="A10" s="5" t="str">
        <f t="shared" si="0"/>
        <v>202301</v>
      </c>
      <c r="B10" s="5" t="str">
        <f>"23085010123"</f>
        <v>23085010123</v>
      </c>
      <c r="C10" s="6">
        <v>114</v>
      </c>
      <c r="D10" s="6">
        <v>117</v>
      </c>
      <c r="E10" s="6">
        <v>231</v>
      </c>
      <c r="F10" s="11"/>
    </row>
    <row r="11" spans="1:6">
      <c r="A11" s="5" t="str">
        <f t="shared" si="0"/>
        <v>202301</v>
      </c>
      <c r="B11" s="5" t="str">
        <f>"23085010106"</f>
        <v>23085010106</v>
      </c>
      <c r="C11" s="6">
        <v>108</v>
      </c>
      <c r="D11" s="6">
        <v>122</v>
      </c>
      <c r="E11" s="6">
        <v>230</v>
      </c>
      <c r="F11" s="11"/>
    </row>
    <row r="12" spans="1:6">
      <c r="A12" s="5" t="str">
        <f t="shared" si="0"/>
        <v>202301</v>
      </c>
      <c r="B12" s="5" t="str">
        <f>"23085010230"</f>
        <v>23085010230</v>
      </c>
      <c r="C12" s="6">
        <v>106.5</v>
      </c>
      <c r="D12" s="6">
        <v>123.5</v>
      </c>
      <c r="E12" s="6">
        <v>230</v>
      </c>
      <c r="F12" s="11"/>
    </row>
    <row r="13" spans="1:6">
      <c r="A13" s="5" t="str">
        <f t="shared" si="0"/>
        <v>202301</v>
      </c>
      <c r="B13" s="5" t="str">
        <f>"23085010306"</f>
        <v>23085010306</v>
      </c>
      <c r="C13" s="6">
        <v>117</v>
      </c>
      <c r="D13" s="6">
        <v>113</v>
      </c>
      <c r="E13" s="6">
        <v>230</v>
      </c>
      <c r="F13" s="11"/>
    </row>
    <row r="14" spans="1:6">
      <c r="A14" s="5" t="str">
        <f t="shared" si="0"/>
        <v>202301</v>
      </c>
      <c r="B14" s="5" t="str">
        <f>"23085010524"</f>
        <v>23085010524</v>
      </c>
      <c r="C14" s="6">
        <v>111</v>
      </c>
      <c r="D14" s="6">
        <v>119</v>
      </c>
      <c r="E14" s="6">
        <v>230</v>
      </c>
      <c r="F14" s="11"/>
    </row>
    <row r="15" spans="1:6">
      <c r="A15" s="5" t="str">
        <f t="shared" si="0"/>
        <v>202301</v>
      </c>
      <c r="B15" s="5" t="str">
        <f>"23085010205"</f>
        <v>23085010205</v>
      </c>
      <c r="C15" s="6">
        <v>112.5</v>
      </c>
      <c r="D15" s="6">
        <v>117</v>
      </c>
      <c r="E15" s="6">
        <v>229.5</v>
      </c>
      <c r="F15" s="11"/>
    </row>
    <row r="16" spans="1:6">
      <c r="A16" s="5" t="str">
        <f t="shared" si="0"/>
        <v>202301</v>
      </c>
      <c r="B16" s="5" t="str">
        <f>"23085010424"</f>
        <v>23085010424</v>
      </c>
      <c r="C16" s="6">
        <v>106.5</v>
      </c>
      <c r="D16" s="6">
        <v>121.5</v>
      </c>
      <c r="E16" s="6">
        <v>228</v>
      </c>
      <c r="F16" s="11"/>
    </row>
    <row r="17" spans="1:6">
      <c r="A17" s="5" t="str">
        <f t="shared" si="0"/>
        <v>202301</v>
      </c>
      <c r="B17" s="5" t="str">
        <f>"23085010126"</f>
        <v>23085010126</v>
      </c>
      <c r="C17" s="6">
        <v>115.5</v>
      </c>
      <c r="D17" s="6">
        <v>112.5</v>
      </c>
      <c r="E17" s="6">
        <v>228</v>
      </c>
      <c r="F17" s="11"/>
    </row>
    <row r="18" spans="1:6">
      <c r="A18" s="5" t="str">
        <f t="shared" si="0"/>
        <v>202301</v>
      </c>
      <c r="B18" s="5" t="str">
        <f>"23085010401"</f>
        <v>23085010401</v>
      </c>
      <c r="C18" s="6">
        <v>115.5</v>
      </c>
      <c r="D18" s="6">
        <v>112</v>
      </c>
      <c r="E18" s="6">
        <v>227.5</v>
      </c>
      <c r="F18" s="11"/>
    </row>
    <row r="19" spans="1:6">
      <c r="A19" s="5" t="str">
        <f t="shared" si="0"/>
        <v>202301</v>
      </c>
      <c r="B19" s="5" t="str">
        <f>"23085010220"</f>
        <v>23085010220</v>
      </c>
      <c r="C19" s="6">
        <v>106.5</v>
      </c>
      <c r="D19" s="6">
        <v>121</v>
      </c>
      <c r="E19" s="6">
        <v>227.5</v>
      </c>
      <c r="F19" s="11"/>
    </row>
    <row r="20" spans="1:6">
      <c r="A20" s="5" t="str">
        <f t="shared" si="0"/>
        <v>202301</v>
      </c>
      <c r="B20" s="5" t="str">
        <f>"23085010109"</f>
        <v>23085010109</v>
      </c>
      <c r="C20" s="6">
        <v>103.5</v>
      </c>
      <c r="D20" s="6">
        <v>124</v>
      </c>
      <c r="E20" s="6">
        <v>227.5</v>
      </c>
      <c r="F20" s="11"/>
    </row>
    <row r="21" spans="1:6">
      <c r="A21" s="5" t="str">
        <f t="shared" si="0"/>
        <v>202301</v>
      </c>
      <c r="B21" s="5" t="str">
        <f>"23085010419"</f>
        <v>23085010419</v>
      </c>
      <c r="C21" s="6">
        <v>111</v>
      </c>
      <c r="D21" s="6">
        <v>115.5</v>
      </c>
      <c r="E21" s="6">
        <v>226.5</v>
      </c>
      <c r="F21" s="11"/>
    </row>
    <row r="22" spans="1:6">
      <c r="A22" s="5" t="str">
        <f t="shared" si="0"/>
        <v>202301</v>
      </c>
      <c r="B22" s="5" t="str">
        <f>"23085010124"</f>
        <v>23085010124</v>
      </c>
      <c r="C22" s="6">
        <v>108</v>
      </c>
      <c r="D22" s="6">
        <v>118.5</v>
      </c>
      <c r="E22" s="6">
        <v>226.5</v>
      </c>
      <c r="F22" s="11"/>
    </row>
    <row r="23" spans="1:6">
      <c r="A23" s="5" t="str">
        <f t="shared" si="0"/>
        <v>202301</v>
      </c>
      <c r="B23" s="5" t="str">
        <f>"23085010122"</f>
        <v>23085010122</v>
      </c>
      <c r="C23" s="6">
        <v>103.5</v>
      </c>
      <c r="D23" s="6">
        <v>121.5</v>
      </c>
      <c r="E23" s="6">
        <v>225</v>
      </c>
      <c r="F23" s="11"/>
    </row>
    <row r="24" spans="1:6">
      <c r="A24" s="5" t="str">
        <f t="shared" si="0"/>
        <v>202301</v>
      </c>
      <c r="B24" s="5" t="str">
        <f>"23085010118"</f>
        <v>23085010118</v>
      </c>
      <c r="C24" s="6">
        <v>109.5</v>
      </c>
      <c r="D24" s="6">
        <v>115</v>
      </c>
      <c r="E24" s="6">
        <v>224.5</v>
      </c>
      <c r="F24" s="11"/>
    </row>
    <row r="25" spans="1:6">
      <c r="A25" s="5" t="str">
        <f t="shared" si="0"/>
        <v>202301</v>
      </c>
      <c r="B25" s="5" t="str">
        <f>"23085010328"</f>
        <v>23085010328</v>
      </c>
      <c r="C25" s="6">
        <v>108</v>
      </c>
      <c r="D25" s="6">
        <v>116.5</v>
      </c>
      <c r="E25" s="6">
        <v>224.5</v>
      </c>
      <c r="F25" s="11"/>
    </row>
    <row r="26" spans="1:6">
      <c r="A26" s="5" t="str">
        <f t="shared" si="0"/>
        <v>202301</v>
      </c>
      <c r="B26" s="5" t="str">
        <f>"23085010117"</f>
        <v>23085010117</v>
      </c>
      <c r="C26" s="6">
        <v>103.5</v>
      </c>
      <c r="D26" s="6">
        <v>120.5</v>
      </c>
      <c r="E26" s="6">
        <v>224</v>
      </c>
      <c r="F26" s="11"/>
    </row>
    <row r="27" spans="1:6">
      <c r="A27" s="5" t="str">
        <f t="shared" si="0"/>
        <v>202301</v>
      </c>
      <c r="B27" s="5" t="str">
        <f>"23085010502"</f>
        <v>23085010502</v>
      </c>
      <c r="C27" s="6">
        <v>102</v>
      </c>
      <c r="D27" s="6">
        <v>121.5</v>
      </c>
      <c r="E27" s="6">
        <v>223.5</v>
      </c>
      <c r="F27" s="11"/>
    </row>
    <row r="28" spans="1:6">
      <c r="A28" s="5" t="str">
        <f t="shared" si="0"/>
        <v>202301</v>
      </c>
      <c r="B28" s="5" t="str">
        <f>"23085010218"</f>
        <v>23085010218</v>
      </c>
      <c r="C28" s="6">
        <v>111</v>
      </c>
      <c r="D28" s="6">
        <v>112.5</v>
      </c>
      <c r="E28" s="6">
        <v>223.5</v>
      </c>
      <c r="F28" s="11"/>
    </row>
    <row r="29" spans="1:6">
      <c r="A29" s="5" t="str">
        <f t="shared" si="0"/>
        <v>202301</v>
      </c>
      <c r="B29" s="5" t="str">
        <f>"23085010307"</f>
        <v>23085010307</v>
      </c>
      <c r="C29" s="6">
        <v>103.5</v>
      </c>
      <c r="D29" s="6">
        <v>118.5</v>
      </c>
      <c r="E29" s="6">
        <v>222</v>
      </c>
      <c r="F29" s="11"/>
    </row>
    <row r="30" spans="1:6">
      <c r="A30" s="5" t="str">
        <f t="shared" si="0"/>
        <v>202301</v>
      </c>
      <c r="B30" s="5" t="str">
        <f>"23085010411"</f>
        <v>23085010411</v>
      </c>
      <c r="C30" s="6">
        <v>106.5</v>
      </c>
      <c r="D30" s="6">
        <v>115.5</v>
      </c>
      <c r="E30" s="6">
        <v>222</v>
      </c>
      <c r="F30" s="11"/>
    </row>
    <row r="31" spans="1:6">
      <c r="A31" s="5" t="str">
        <f t="shared" si="0"/>
        <v>202301</v>
      </c>
      <c r="B31" s="5" t="str">
        <f>"23085010215"</f>
        <v>23085010215</v>
      </c>
      <c r="C31" s="6">
        <v>105</v>
      </c>
      <c r="D31" s="6">
        <v>117</v>
      </c>
      <c r="E31" s="6">
        <v>222</v>
      </c>
      <c r="F31" s="11"/>
    </row>
    <row r="32" spans="1:6">
      <c r="A32" s="5" t="str">
        <f t="shared" si="0"/>
        <v>202301</v>
      </c>
      <c r="B32" s="5" t="str">
        <f>"23085010305"</f>
        <v>23085010305</v>
      </c>
      <c r="C32" s="6">
        <v>102</v>
      </c>
      <c r="D32" s="6">
        <v>119.5</v>
      </c>
      <c r="E32" s="6">
        <v>221.5</v>
      </c>
      <c r="F32" s="11"/>
    </row>
    <row r="33" spans="1:6">
      <c r="A33" s="5" t="str">
        <f t="shared" si="0"/>
        <v>202301</v>
      </c>
      <c r="B33" s="5" t="str">
        <f>"23085010312"</f>
        <v>23085010312</v>
      </c>
      <c r="C33" s="6">
        <v>111</v>
      </c>
      <c r="D33" s="6">
        <v>110.5</v>
      </c>
      <c r="E33" s="6">
        <v>221.5</v>
      </c>
      <c r="F33" s="11"/>
    </row>
    <row r="34" spans="1:6">
      <c r="A34" s="5" t="str">
        <f t="shared" si="0"/>
        <v>202301</v>
      </c>
      <c r="B34" s="5" t="str">
        <f>"23085010425"</f>
        <v>23085010425</v>
      </c>
      <c r="C34" s="6">
        <v>102</v>
      </c>
      <c r="D34" s="6">
        <v>119</v>
      </c>
      <c r="E34" s="6">
        <v>221</v>
      </c>
      <c r="F34" s="11"/>
    </row>
    <row r="35" spans="1:6">
      <c r="A35" s="5" t="str">
        <f t="shared" si="0"/>
        <v>202301</v>
      </c>
      <c r="B35" s="5" t="str">
        <f>"23085010321"</f>
        <v>23085010321</v>
      </c>
      <c r="C35" s="6">
        <v>103.5</v>
      </c>
      <c r="D35" s="6">
        <v>117</v>
      </c>
      <c r="E35" s="6">
        <v>220.5</v>
      </c>
      <c r="F35" s="11"/>
    </row>
    <row r="36" spans="1:6">
      <c r="A36" s="5" t="str">
        <f t="shared" si="0"/>
        <v>202301</v>
      </c>
      <c r="B36" s="5" t="str">
        <f>"23085010422"</f>
        <v>23085010422</v>
      </c>
      <c r="C36" s="6">
        <v>97.5</v>
      </c>
      <c r="D36" s="6">
        <v>122.5</v>
      </c>
      <c r="E36" s="6">
        <v>220</v>
      </c>
      <c r="F36" s="11"/>
    </row>
    <row r="37" spans="1:6">
      <c r="A37" s="5" t="str">
        <f t="shared" si="0"/>
        <v>202301</v>
      </c>
      <c r="B37" s="5" t="str">
        <f>"23085010213"</f>
        <v>23085010213</v>
      </c>
      <c r="C37" s="6">
        <v>94.5</v>
      </c>
      <c r="D37" s="6">
        <v>125.5</v>
      </c>
      <c r="E37" s="6">
        <v>220</v>
      </c>
      <c r="F37" s="11"/>
    </row>
    <row r="38" spans="1:6">
      <c r="A38" s="5" t="str">
        <f t="shared" si="0"/>
        <v>202301</v>
      </c>
      <c r="B38" s="5" t="str">
        <f>"23085010314"</f>
        <v>23085010314</v>
      </c>
      <c r="C38" s="6">
        <v>103.5</v>
      </c>
      <c r="D38" s="6">
        <v>116</v>
      </c>
      <c r="E38" s="6">
        <v>219.5</v>
      </c>
      <c r="F38" s="11"/>
    </row>
    <row r="39" spans="1:6">
      <c r="A39" s="5" t="str">
        <f t="shared" si="0"/>
        <v>202301</v>
      </c>
      <c r="B39" s="5" t="str">
        <f>"23085010412"</f>
        <v>23085010412</v>
      </c>
      <c r="C39" s="6">
        <v>97.5</v>
      </c>
      <c r="D39" s="6">
        <v>121.5</v>
      </c>
      <c r="E39" s="6">
        <v>219</v>
      </c>
      <c r="F39" s="11"/>
    </row>
    <row r="40" spans="1:6">
      <c r="A40" s="5" t="str">
        <f t="shared" si="0"/>
        <v>202301</v>
      </c>
      <c r="B40" s="5" t="str">
        <f>"23085010520"</f>
        <v>23085010520</v>
      </c>
      <c r="C40" s="6">
        <v>100.5</v>
      </c>
      <c r="D40" s="6">
        <v>118.5</v>
      </c>
      <c r="E40" s="6">
        <v>219</v>
      </c>
      <c r="F40" s="11"/>
    </row>
    <row r="41" spans="1:6">
      <c r="A41" s="5" t="str">
        <f t="shared" si="0"/>
        <v>202301</v>
      </c>
      <c r="B41" s="5" t="str">
        <f>"23085010504"</f>
        <v>23085010504</v>
      </c>
      <c r="C41" s="6">
        <v>106.5</v>
      </c>
      <c r="D41" s="6">
        <v>112</v>
      </c>
      <c r="E41" s="6">
        <v>218.5</v>
      </c>
      <c r="F41" s="11"/>
    </row>
    <row r="42" spans="1:6">
      <c r="A42" s="5" t="str">
        <f t="shared" si="0"/>
        <v>202301</v>
      </c>
      <c r="B42" s="5" t="str">
        <f>"23085010430"</f>
        <v>23085010430</v>
      </c>
      <c r="C42" s="6">
        <v>97.5</v>
      </c>
      <c r="D42" s="6">
        <v>121</v>
      </c>
      <c r="E42" s="6">
        <v>218.5</v>
      </c>
      <c r="F42" s="11"/>
    </row>
    <row r="43" spans="1:6">
      <c r="A43" s="5" t="str">
        <f t="shared" si="0"/>
        <v>202301</v>
      </c>
      <c r="B43" s="5" t="str">
        <f>"23085010329"</f>
        <v>23085010329</v>
      </c>
      <c r="C43" s="6">
        <v>112.5</v>
      </c>
      <c r="D43" s="6">
        <v>106</v>
      </c>
      <c r="E43" s="6">
        <v>218.5</v>
      </c>
      <c r="F43" s="11"/>
    </row>
    <row r="44" spans="1:6">
      <c r="A44" s="5" t="str">
        <f t="shared" si="0"/>
        <v>202301</v>
      </c>
      <c r="B44" s="5" t="str">
        <f>"23085010201"</f>
        <v>23085010201</v>
      </c>
      <c r="C44" s="6">
        <v>99</v>
      </c>
      <c r="D44" s="6">
        <v>119</v>
      </c>
      <c r="E44" s="6">
        <v>218</v>
      </c>
      <c r="F44" s="11"/>
    </row>
    <row r="45" spans="1:6">
      <c r="A45" s="5" t="str">
        <f t="shared" si="0"/>
        <v>202301</v>
      </c>
      <c r="B45" s="5" t="str">
        <f>"23085010210"</f>
        <v>23085010210</v>
      </c>
      <c r="C45" s="6">
        <v>105</v>
      </c>
      <c r="D45" s="6">
        <v>113</v>
      </c>
      <c r="E45" s="6">
        <v>218</v>
      </c>
      <c r="F45" s="11"/>
    </row>
    <row r="46" spans="1:6">
      <c r="A46" s="5" t="str">
        <f t="shared" si="0"/>
        <v>202301</v>
      </c>
      <c r="B46" s="5" t="str">
        <f>"23085010103"</f>
        <v>23085010103</v>
      </c>
      <c r="C46" s="6">
        <v>99</v>
      </c>
      <c r="D46" s="6">
        <v>118.5</v>
      </c>
      <c r="E46" s="6">
        <v>217.5</v>
      </c>
      <c r="F46" s="11"/>
    </row>
    <row r="47" spans="1:6">
      <c r="A47" s="5" t="str">
        <f t="shared" si="0"/>
        <v>202301</v>
      </c>
      <c r="B47" s="5" t="str">
        <f>"23085010119"</f>
        <v>23085010119</v>
      </c>
      <c r="C47" s="6">
        <v>97.5</v>
      </c>
      <c r="D47" s="6">
        <v>120</v>
      </c>
      <c r="E47" s="6">
        <v>217.5</v>
      </c>
      <c r="F47" s="11"/>
    </row>
    <row r="48" spans="1:6">
      <c r="A48" s="5" t="str">
        <f t="shared" si="0"/>
        <v>202301</v>
      </c>
      <c r="B48" s="5" t="str">
        <f>"23085010327"</f>
        <v>23085010327</v>
      </c>
      <c r="C48" s="6">
        <v>100.5</v>
      </c>
      <c r="D48" s="6">
        <v>117</v>
      </c>
      <c r="E48" s="6">
        <v>217.5</v>
      </c>
      <c r="F48" s="11"/>
    </row>
    <row r="49" spans="1:6">
      <c r="A49" s="5" t="str">
        <f t="shared" si="0"/>
        <v>202301</v>
      </c>
      <c r="B49" s="5" t="str">
        <f>"23085010325"</f>
        <v>23085010325</v>
      </c>
      <c r="C49" s="6">
        <v>99</v>
      </c>
      <c r="D49" s="6">
        <v>117.5</v>
      </c>
      <c r="E49" s="6">
        <v>216.5</v>
      </c>
      <c r="F49" s="11"/>
    </row>
    <row r="50" spans="1:6">
      <c r="A50" s="5" t="str">
        <f t="shared" si="0"/>
        <v>202301</v>
      </c>
      <c r="B50" s="5" t="str">
        <f>"23085010301"</f>
        <v>23085010301</v>
      </c>
      <c r="C50" s="6">
        <v>102</v>
      </c>
      <c r="D50" s="6">
        <v>114.5</v>
      </c>
      <c r="E50" s="6">
        <v>216.5</v>
      </c>
      <c r="F50" s="11"/>
    </row>
    <row r="51" spans="1:6">
      <c r="A51" s="5" t="str">
        <f t="shared" si="0"/>
        <v>202301</v>
      </c>
      <c r="B51" s="5" t="str">
        <f>"23085010105"</f>
        <v>23085010105</v>
      </c>
      <c r="C51" s="6">
        <v>109.5</v>
      </c>
      <c r="D51" s="6">
        <v>106.5</v>
      </c>
      <c r="E51" s="6">
        <v>216</v>
      </c>
      <c r="F51" s="11"/>
    </row>
    <row r="52" spans="1:6">
      <c r="A52" s="5" t="str">
        <f t="shared" si="0"/>
        <v>202301</v>
      </c>
      <c r="B52" s="5" t="str">
        <f>"23085010513"</f>
        <v>23085010513</v>
      </c>
      <c r="C52" s="6">
        <v>103.5</v>
      </c>
      <c r="D52" s="6">
        <v>112.5</v>
      </c>
      <c r="E52" s="6">
        <v>216</v>
      </c>
      <c r="F52" s="11"/>
    </row>
    <row r="53" spans="1:6">
      <c r="A53" s="5" t="str">
        <f t="shared" si="0"/>
        <v>202301</v>
      </c>
      <c r="B53" s="5" t="str">
        <f>"23085010309"</f>
        <v>23085010309</v>
      </c>
      <c r="C53" s="6">
        <v>102</v>
      </c>
      <c r="D53" s="6">
        <v>114</v>
      </c>
      <c r="E53" s="6">
        <v>216</v>
      </c>
      <c r="F53" s="11"/>
    </row>
    <row r="54" spans="1:6">
      <c r="A54" s="5" t="str">
        <f t="shared" si="0"/>
        <v>202301</v>
      </c>
      <c r="B54" s="5" t="str">
        <f>"23085010128"</f>
        <v>23085010128</v>
      </c>
      <c r="C54" s="6">
        <v>100.5</v>
      </c>
      <c r="D54" s="6">
        <v>115</v>
      </c>
      <c r="E54" s="6">
        <v>215.5</v>
      </c>
      <c r="F54" s="11"/>
    </row>
    <row r="55" spans="1:6">
      <c r="A55" s="5" t="str">
        <f t="shared" si="0"/>
        <v>202301</v>
      </c>
      <c r="B55" s="5" t="str">
        <f>"23085010203"</f>
        <v>23085010203</v>
      </c>
      <c r="C55" s="6">
        <v>96</v>
      </c>
      <c r="D55" s="6">
        <v>119</v>
      </c>
      <c r="E55" s="6">
        <v>215</v>
      </c>
      <c r="F55" s="11"/>
    </row>
    <row r="56" spans="1:6">
      <c r="A56" s="5" t="str">
        <f t="shared" si="0"/>
        <v>202301</v>
      </c>
      <c r="B56" s="5" t="str">
        <f>"23085010116"</f>
        <v>23085010116</v>
      </c>
      <c r="C56" s="6">
        <v>100.5</v>
      </c>
      <c r="D56" s="6">
        <v>114.5</v>
      </c>
      <c r="E56" s="6">
        <v>215</v>
      </c>
      <c r="F56" s="11"/>
    </row>
    <row r="57" spans="1:6">
      <c r="A57" s="5" t="str">
        <f t="shared" si="0"/>
        <v>202301</v>
      </c>
      <c r="B57" s="5" t="str">
        <f>"23085010222"</f>
        <v>23085010222</v>
      </c>
      <c r="C57" s="6">
        <v>105</v>
      </c>
      <c r="D57" s="6">
        <v>109</v>
      </c>
      <c r="E57" s="6">
        <v>214</v>
      </c>
      <c r="F57" s="11"/>
    </row>
    <row r="58" spans="1:6">
      <c r="A58" s="5" t="str">
        <f t="shared" si="0"/>
        <v>202301</v>
      </c>
      <c r="B58" s="5" t="str">
        <f>"23085010506"</f>
        <v>23085010506</v>
      </c>
      <c r="C58" s="6">
        <v>90</v>
      </c>
      <c r="D58" s="6">
        <v>124</v>
      </c>
      <c r="E58" s="6">
        <v>214</v>
      </c>
      <c r="F58" s="11"/>
    </row>
    <row r="59" spans="1:6">
      <c r="A59" s="5" t="str">
        <f t="shared" si="0"/>
        <v>202301</v>
      </c>
      <c r="B59" s="5" t="str">
        <f>"23085010405"</f>
        <v>23085010405</v>
      </c>
      <c r="C59" s="6">
        <v>94.5</v>
      </c>
      <c r="D59" s="6">
        <v>119.5</v>
      </c>
      <c r="E59" s="6">
        <v>214</v>
      </c>
      <c r="F59" s="11"/>
    </row>
    <row r="60" spans="1:6">
      <c r="A60" s="5" t="str">
        <f t="shared" si="0"/>
        <v>202301</v>
      </c>
      <c r="B60" s="5" t="str">
        <f>"23085010225"</f>
        <v>23085010225</v>
      </c>
      <c r="C60" s="6">
        <v>97.5</v>
      </c>
      <c r="D60" s="6">
        <v>115</v>
      </c>
      <c r="E60" s="6">
        <v>212.5</v>
      </c>
      <c r="F60" s="11"/>
    </row>
    <row r="61" spans="1:6">
      <c r="A61" s="5" t="str">
        <f t="shared" si="0"/>
        <v>202301</v>
      </c>
      <c r="B61" s="5" t="str">
        <f>"23085010226"</f>
        <v>23085010226</v>
      </c>
      <c r="C61" s="6">
        <v>94.5</v>
      </c>
      <c r="D61" s="6">
        <v>118</v>
      </c>
      <c r="E61" s="6">
        <v>212.5</v>
      </c>
      <c r="F61" s="11"/>
    </row>
    <row r="62" spans="1:6">
      <c r="A62" s="5" t="str">
        <f t="shared" si="0"/>
        <v>202301</v>
      </c>
      <c r="B62" s="5" t="str">
        <f>"23085010315"</f>
        <v>23085010315</v>
      </c>
      <c r="C62" s="6">
        <v>100.5</v>
      </c>
      <c r="D62" s="6">
        <v>112</v>
      </c>
      <c r="E62" s="6">
        <v>212.5</v>
      </c>
      <c r="F62" s="11"/>
    </row>
    <row r="63" spans="1:6">
      <c r="A63" s="5" t="str">
        <f t="shared" si="0"/>
        <v>202301</v>
      </c>
      <c r="B63" s="5" t="str">
        <f>"23085010525"</f>
        <v>23085010525</v>
      </c>
      <c r="C63" s="6">
        <v>97.5</v>
      </c>
      <c r="D63" s="6">
        <v>114.5</v>
      </c>
      <c r="E63" s="6">
        <v>212</v>
      </c>
      <c r="F63" s="11"/>
    </row>
    <row r="64" spans="1:6">
      <c r="A64" s="5" t="str">
        <f t="shared" si="0"/>
        <v>202301</v>
      </c>
      <c r="B64" s="5" t="str">
        <f>"23085010129"</f>
        <v>23085010129</v>
      </c>
      <c r="C64" s="6">
        <v>96</v>
      </c>
      <c r="D64" s="6">
        <v>114.5</v>
      </c>
      <c r="E64" s="6">
        <v>210.5</v>
      </c>
      <c r="F64" s="11"/>
    </row>
    <row r="65" spans="1:6">
      <c r="A65" s="5" t="str">
        <f t="shared" si="0"/>
        <v>202301</v>
      </c>
      <c r="B65" s="5" t="str">
        <f>"23085010510"</f>
        <v>23085010510</v>
      </c>
      <c r="C65" s="6">
        <v>96</v>
      </c>
      <c r="D65" s="6">
        <v>114.5</v>
      </c>
      <c r="E65" s="6">
        <v>210.5</v>
      </c>
      <c r="F65" s="11"/>
    </row>
    <row r="66" spans="1:6">
      <c r="A66" s="5" t="str">
        <f t="shared" si="0"/>
        <v>202301</v>
      </c>
      <c r="B66" s="5" t="str">
        <f>"23085010313"</f>
        <v>23085010313</v>
      </c>
      <c r="C66" s="6">
        <v>90</v>
      </c>
      <c r="D66" s="6">
        <v>120.5</v>
      </c>
      <c r="E66" s="6">
        <v>210.5</v>
      </c>
      <c r="F66" s="11"/>
    </row>
    <row r="67" spans="1:6">
      <c r="A67" s="5" t="str">
        <f t="shared" ref="A67:A130" si="1">"202301"</f>
        <v>202301</v>
      </c>
      <c r="B67" s="5" t="str">
        <f>"23085010428"</f>
        <v>23085010428</v>
      </c>
      <c r="C67" s="6">
        <v>97.5</v>
      </c>
      <c r="D67" s="6">
        <v>113</v>
      </c>
      <c r="E67" s="6">
        <v>210.5</v>
      </c>
      <c r="F67" s="11"/>
    </row>
    <row r="68" spans="1:6">
      <c r="A68" s="5" t="str">
        <f t="shared" si="1"/>
        <v>202301</v>
      </c>
      <c r="B68" s="5" t="str">
        <f>"23085010414"</f>
        <v>23085010414</v>
      </c>
      <c r="C68" s="6">
        <v>97.5</v>
      </c>
      <c r="D68" s="6">
        <v>112</v>
      </c>
      <c r="E68" s="6">
        <v>209.5</v>
      </c>
      <c r="F68" s="11"/>
    </row>
    <row r="69" spans="1:6">
      <c r="A69" s="5" t="str">
        <f t="shared" si="1"/>
        <v>202301</v>
      </c>
      <c r="B69" s="5" t="str">
        <f>"23085010114"</f>
        <v>23085010114</v>
      </c>
      <c r="C69" s="6">
        <v>102</v>
      </c>
      <c r="D69" s="6">
        <v>107</v>
      </c>
      <c r="E69" s="6">
        <v>209</v>
      </c>
      <c r="F69" s="11"/>
    </row>
    <row r="70" spans="1:6">
      <c r="A70" s="5" t="str">
        <f t="shared" si="1"/>
        <v>202301</v>
      </c>
      <c r="B70" s="5" t="str">
        <f>"23085010319"</f>
        <v>23085010319</v>
      </c>
      <c r="C70" s="6">
        <v>91.5</v>
      </c>
      <c r="D70" s="6">
        <v>117</v>
      </c>
      <c r="E70" s="6">
        <v>208.5</v>
      </c>
      <c r="F70" s="11"/>
    </row>
    <row r="71" spans="1:6">
      <c r="A71" s="5" t="str">
        <f t="shared" si="1"/>
        <v>202301</v>
      </c>
      <c r="B71" s="5" t="str">
        <f>"23085010208"</f>
        <v>23085010208</v>
      </c>
      <c r="C71" s="6">
        <v>94.5</v>
      </c>
      <c r="D71" s="6">
        <v>114</v>
      </c>
      <c r="E71" s="6">
        <v>208.5</v>
      </c>
      <c r="F71" s="11"/>
    </row>
    <row r="72" spans="1:6">
      <c r="A72" s="5" t="str">
        <f t="shared" si="1"/>
        <v>202301</v>
      </c>
      <c r="B72" s="5" t="str">
        <f>"23085010501"</f>
        <v>23085010501</v>
      </c>
      <c r="C72" s="6">
        <v>87</v>
      </c>
      <c r="D72" s="6">
        <v>121.5</v>
      </c>
      <c r="E72" s="6">
        <v>208.5</v>
      </c>
      <c r="F72" s="11"/>
    </row>
    <row r="73" spans="1:6">
      <c r="A73" s="5" t="str">
        <f t="shared" si="1"/>
        <v>202301</v>
      </c>
      <c r="B73" s="5" t="str">
        <f>"23085010523"</f>
        <v>23085010523</v>
      </c>
      <c r="C73" s="6">
        <v>94.5</v>
      </c>
      <c r="D73" s="6">
        <v>112</v>
      </c>
      <c r="E73" s="6">
        <v>206.5</v>
      </c>
      <c r="F73" s="11"/>
    </row>
    <row r="74" spans="1:6">
      <c r="A74" s="5" t="str">
        <f t="shared" si="1"/>
        <v>202301</v>
      </c>
      <c r="B74" s="5" t="str">
        <f>"23085010221"</f>
        <v>23085010221</v>
      </c>
      <c r="C74" s="6">
        <v>93</v>
      </c>
      <c r="D74" s="6">
        <v>113.5</v>
      </c>
      <c r="E74" s="6">
        <v>206.5</v>
      </c>
      <c r="F74" s="11"/>
    </row>
    <row r="75" spans="1:6">
      <c r="A75" s="5" t="str">
        <f t="shared" si="1"/>
        <v>202301</v>
      </c>
      <c r="B75" s="5" t="str">
        <f>"23085010515"</f>
        <v>23085010515</v>
      </c>
      <c r="C75" s="6">
        <v>85.5</v>
      </c>
      <c r="D75" s="6">
        <v>119.5</v>
      </c>
      <c r="E75" s="6">
        <v>205</v>
      </c>
      <c r="F75" s="11"/>
    </row>
    <row r="76" spans="1:6">
      <c r="A76" s="5" t="str">
        <f t="shared" si="1"/>
        <v>202301</v>
      </c>
      <c r="B76" s="5" t="str">
        <f>"23085010410"</f>
        <v>23085010410</v>
      </c>
      <c r="C76" s="6">
        <v>96</v>
      </c>
      <c r="D76" s="6">
        <v>108.5</v>
      </c>
      <c r="E76" s="6">
        <v>204.5</v>
      </c>
      <c r="F76" s="11"/>
    </row>
    <row r="77" spans="1:6">
      <c r="A77" s="5" t="str">
        <f t="shared" si="1"/>
        <v>202301</v>
      </c>
      <c r="B77" s="5" t="str">
        <f>"23085010227"</f>
        <v>23085010227</v>
      </c>
      <c r="C77" s="6">
        <v>96</v>
      </c>
      <c r="D77" s="6">
        <v>107.5</v>
      </c>
      <c r="E77" s="6">
        <v>203.5</v>
      </c>
      <c r="F77" s="11"/>
    </row>
    <row r="78" spans="1:6">
      <c r="A78" s="5" t="str">
        <f t="shared" si="1"/>
        <v>202301</v>
      </c>
      <c r="B78" s="5" t="str">
        <f>"23085010426"</f>
        <v>23085010426</v>
      </c>
      <c r="C78" s="6">
        <v>88.5</v>
      </c>
      <c r="D78" s="6">
        <v>114</v>
      </c>
      <c r="E78" s="6">
        <v>202.5</v>
      </c>
      <c r="F78" s="11"/>
    </row>
    <row r="79" spans="1:6">
      <c r="A79" s="5" t="str">
        <f t="shared" si="1"/>
        <v>202301</v>
      </c>
      <c r="B79" s="5" t="str">
        <f>"23085010130"</f>
        <v>23085010130</v>
      </c>
      <c r="C79" s="6">
        <v>90</v>
      </c>
      <c r="D79" s="6">
        <v>112.5</v>
      </c>
      <c r="E79" s="6">
        <v>202.5</v>
      </c>
      <c r="F79" s="11"/>
    </row>
    <row r="80" spans="1:6">
      <c r="A80" s="5" t="str">
        <f t="shared" si="1"/>
        <v>202301</v>
      </c>
      <c r="B80" s="5" t="str">
        <f>"23085010308"</f>
        <v>23085010308</v>
      </c>
      <c r="C80" s="6">
        <v>91.5</v>
      </c>
      <c r="D80" s="6">
        <v>110.5</v>
      </c>
      <c r="E80" s="6">
        <v>202</v>
      </c>
      <c r="F80" s="11"/>
    </row>
    <row r="81" spans="1:6">
      <c r="A81" s="5" t="str">
        <f t="shared" si="1"/>
        <v>202301</v>
      </c>
      <c r="B81" s="5" t="str">
        <f>"23085010509"</f>
        <v>23085010509</v>
      </c>
      <c r="C81" s="6">
        <v>85.5</v>
      </c>
      <c r="D81" s="6">
        <v>116.5</v>
      </c>
      <c r="E81" s="6">
        <v>202</v>
      </c>
      <c r="F81" s="11"/>
    </row>
    <row r="82" spans="1:6">
      <c r="A82" s="5" t="str">
        <f t="shared" si="1"/>
        <v>202301</v>
      </c>
      <c r="B82" s="5" t="str">
        <f>"23085010530"</f>
        <v>23085010530</v>
      </c>
      <c r="C82" s="6">
        <v>87</v>
      </c>
      <c r="D82" s="6">
        <v>115</v>
      </c>
      <c r="E82" s="6">
        <v>202</v>
      </c>
      <c r="F82" s="11"/>
    </row>
    <row r="83" spans="1:6">
      <c r="A83" s="5" t="str">
        <f t="shared" si="1"/>
        <v>202301</v>
      </c>
      <c r="B83" s="5" t="str">
        <f>"23085010110"</f>
        <v>23085010110</v>
      </c>
      <c r="C83" s="6">
        <v>84</v>
      </c>
      <c r="D83" s="6">
        <v>117.5</v>
      </c>
      <c r="E83" s="6">
        <v>201.5</v>
      </c>
      <c r="F83" s="11"/>
    </row>
    <row r="84" spans="1:6">
      <c r="A84" s="5" t="str">
        <f t="shared" si="1"/>
        <v>202301</v>
      </c>
      <c r="B84" s="5" t="str">
        <f>"23085010310"</f>
        <v>23085010310</v>
      </c>
      <c r="C84" s="6">
        <v>91.5</v>
      </c>
      <c r="D84" s="6">
        <v>110</v>
      </c>
      <c r="E84" s="6">
        <v>201.5</v>
      </c>
      <c r="F84" s="11"/>
    </row>
    <row r="85" spans="1:6">
      <c r="A85" s="5" t="str">
        <f t="shared" si="1"/>
        <v>202301</v>
      </c>
      <c r="B85" s="5" t="str">
        <f>"23085010214"</f>
        <v>23085010214</v>
      </c>
      <c r="C85" s="6">
        <v>109.5</v>
      </c>
      <c r="D85" s="6">
        <v>92</v>
      </c>
      <c r="E85" s="6">
        <v>201.5</v>
      </c>
      <c r="F85" s="11"/>
    </row>
    <row r="86" spans="1:6">
      <c r="A86" s="5" t="str">
        <f t="shared" si="1"/>
        <v>202301</v>
      </c>
      <c r="B86" s="5" t="str">
        <f>"23085010102"</f>
        <v>23085010102</v>
      </c>
      <c r="C86" s="6">
        <v>84</v>
      </c>
      <c r="D86" s="6">
        <v>117</v>
      </c>
      <c r="E86" s="6">
        <v>201</v>
      </c>
      <c r="F86" s="11"/>
    </row>
    <row r="87" spans="1:6">
      <c r="A87" s="5" t="str">
        <f t="shared" si="1"/>
        <v>202301</v>
      </c>
      <c r="B87" s="5" t="str">
        <f>"23085010107"</f>
        <v>23085010107</v>
      </c>
      <c r="C87" s="6">
        <v>85.5</v>
      </c>
      <c r="D87" s="6">
        <v>115.5</v>
      </c>
      <c r="E87" s="6">
        <v>201</v>
      </c>
      <c r="F87" s="11"/>
    </row>
    <row r="88" spans="1:6">
      <c r="A88" s="5" t="str">
        <f t="shared" si="1"/>
        <v>202301</v>
      </c>
      <c r="B88" s="5" t="str">
        <f>"23085010423"</f>
        <v>23085010423</v>
      </c>
      <c r="C88" s="6">
        <v>85.5</v>
      </c>
      <c r="D88" s="6">
        <v>115</v>
      </c>
      <c r="E88" s="6">
        <v>200.5</v>
      </c>
      <c r="F88" s="11"/>
    </row>
    <row r="89" spans="1:6">
      <c r="A89" s="5" t="str">
        <f t="shared" si="1"/>
        <v>202301</v>
      </c>
      <c r="B89" s="5" t="str">
        <f>"23085010511"</f>
        <v>23085010511</v>
      </c>
      <c r="C89" s="6">
        <v>88.5</v>
      </c>
      <c r="D89" s="6">
        <v>112</v>
      </c>
      <c r="E89" s="6">
        <v>200.5</v>
      </c>
      <c r="F89" s="11"/>
    </row>
    <row r="90" spans="1:6">
      <c r="A90" s="5" t="str">
        <f t="shared" si="1"/>
        <v>202301</v>
      </c>
      <c r="B90" s="5" t="str">
        <f>"23085010101"</f>
        <v>23085010101</v>
      </c>
      <c r="C90" s="6">
        <v>90</v>
      </c>
      <c r="D90" s="6">
        <v>110</v>
      </c>
      <c r="E90" s="6">
        <v>200</v>
      </c>
      <c r="F90" s="11"/>
    </row>
    <row r="91" spans="1:6">
      <c r="A91" s="5" t="str">
        <f t="shared" si="1"/>
        <v>202301</v>
      </c>
      <c r="B91" s="5" t="str">
        <f>"23085010304"</f>
        <v>23085010304</v>
      </c>
      <c r="C91" s="6">
        <v>87</v>
      </c>
      <c r="D91" s="6">
        <v>112</v>
      </c>
      <c r="E91" s="6">
        <v>199</v>
      </c>
      <c r="F91" s="11"/>
    </row>
    <row r="92" spans="1:6">
      <c r="A92" s="5" t="str">
        <f t="shared" si="1"/>
        <v>202301</v>
      </c>
      <c r="B92" s="5" t="str">
        <f>"23085010529"</f>
        <v>23085010529</v>
      </c>
      <c r="C92" s="6">
        <v>85.5</v>
      </c>
      <c r="D92" s="6">
        <v>112.5</v>
      </c>
      <c r="E92" s="6">
        <v>198</v>
      </c>
      <c r="F92" s="11"/>
    </row>
    <row r="93" spans="1:6">
      <c r="A93" s="5" t="str">
        <f t="shared" si="1"/>
        <v>202301</v>
      </c>
      <c r="B93" s="5" t="str">
        <f>"23085010223"</f>
        <v>23085010223</v>
      </c>
      <c r="C93" s="6">
        <v>91.5</v>
      </c>
      <c r="D93" s="6">
        <v>106</v>
      </c>
      <c r="E93" s="6">
        <v>197.5</v>
      </c>
      <c r="F93" s="11"/>
    </row>
    <row r="94" spans="1:6">
      <c r="A94" s="5" t="str">
        <f t="shared" si="1"/>
        <v>202301</v>
      </c>
      <c r="B94" s="5" t="str">
        <f>"23085010311"</f>
        <v>23085010311</v>
      </c>
      <c r="C94" s="6">
        <v>84</v>
      </c>
      <c r="D94" s="6">
        <v>113.5</v>
      </c>
      <c r="E94" s="6">
        <v>197.5</v>
      </c>
      <c r="F94" s="11"/>
    </row>
    <row r="95" spans="1:6">
      <c r="A95" s="5" t="str">
        <f t="shared" si="1"/>
        <v>202301</v>
      </c>
      <c r="B95" s="5" t="str">
        <f>"23085010505"</f>
        <v>23085010505</v>
      </c>
      <c r="C95" s="6">
        <v>84</v>
      </c>
      <c r="D95" s="6">
        <v>112.5</v>
      </c>
      <c r="E95" s="6">
        <v>196.5</v>
      </c>
      <c r="F95" s="11"/>
    </row>
    <row r="96" spans="1:6">
      <c r="A96" s="5" t="str">
        <f t="shared" si="1"/>
        <v>202301</v>
      </c>
      <c r="B96" s="5" t="str">
        <f>"23085010108"</f>
        <v>23085010108</v>
      </c>
      <c r="C96" s="6">
        <v>85.5</v>
      </c>
      <c r="D96" s="6">
        <v>111</v>
      </c>
      <c r="E96" s="6">
        <v>196.5</v>
      </c>
      <c r="F96" s="11"/>
    </row>
    <row r="97" spans="1:6">
      <c r="A97" s="5" t="str">
        <f t="shared" si="1"/>
        <v>202301</v>
      </c>
      <c r="B97" s="5" t="str">
        <f>"23085010212"</f>
        <v>23085010212</v>
      </c>
      <c r="C97" s="6">
        <v>84</v>
      </c>
      <c r="D97" s="6">
        <v>112.5</v>
      </c>
      <c r="E97" s="6">
        <v>196.5</v>
      </c>
      <c r="F97" s="11"/>
    </row>
    <row r="98" spans="1:6">
      <c r="A98" s="5" t="str">
        <f t="shared" si="1"/>
        <v>202301</v>
      </c>
      <c r="B98" s="5" t="str">
        <f>"23085010518"</f>
        <v>23085010518</v>
      </c>
      <c r="C98" s="6">
        <v>85.5</v>
      </c>
      <c r="D98" s="6">
        <v>110</v>
      </c>
      <c r="E98" s="6">
        <v>195.5</v>
      </c>
      <c r="F98" s="11"/>
    </row>
    <row r="99" spans="1:6">
      <c r="A99" s="5" t="str">
        <f t="shared" si="1"/>
        <v>202301</v>
      </c>
      <c r="B99" s="5" t="str">
        <f>"23085010522"</f>
        <v>23085010522</v>
      </c>
      <c r="C99" s="6">
        <v>91.5</v>
      </c>
      <c r="D99" s="6">
        <v>103.5</v>
      </c>
      <c r="E99" s="6">
        <v>195</v>
      </c>
      <c r="F99" s="11"/>
    </row>
    <row r="100" spans="1:6">
      <c r="A100" s="5" t="str">
        <f t="shared" si="1"/>
        <v>202301</v>
      </c>
      <c r="B100" s="5" t="str">
        <f>"23085010404"</f>
        <v>23085010404</v>
      </c>
      <c r="C100" s="6">
        <v>84</v>
      </c>
      <c r="D100" s="6">
        <v>111</v>
      </c>
      <c r="E100" s="6">
        <v>195</v>
      </c>
      <c r="F100" s="11"/>
    </row>
    <row r="101" spans="1:6">
      <c r="A101" s="5" t="str">
        <f t="shared" si="1"/>
        <v>202301</v>
      </c>
      <c r="B101" s="5" t="str">
        <f>"23085010204"</f>
        <v>23085010204</v>
      </c>
      <c r="C101" s="6">
        <v>88.5</v>
      </c>
      <c r="D101" s="6">
        <v>105</v>
      </c>
      <c r="E101" s="6">
        <v>193.5</v>
      </c>
      <c r="F101" s="11"/>
    </row>
    <row r="102" spans="1:6">
      <c r="A102" s="5" t="str">
        <f t="shared" si="1"/>
        <v>202301</v>
      </c>
      <c r="B102" s="5" t="str">
        <f>"23085010111"</f>
        <v>23085010111</v>
      </c>
      <c r="C102" s="6">
        <v>85.5</v>
      </c>
      <c r="D102" s="6">
        <v>108</v>
      </c>
      <c r="E102" s="6">
        <v>193.5</v>
      </c>
      <c r="F102" s="11"/>
    </row>
    <row r="103" spans="1:6">
      <c r="A103" s="5" t="str">
        <f t="shared" si="1"/>
        <v>202301</v>
      </c>
      <c r="B103" s="5" t="str">
        <f>"23085010507"</f>
        <v>23085010507</v>
      </c>
      <c r="C103" s="6">
        <v>90</v>
      </c>
      <c r="D103" s="6">
        <v>103.5</v>
      </c>
      <c r="E103" s="6">
        <v>193.5</v>
      </c>
      <c r="F103" s="11"/>
    </row>
    <row r="104" spans="1:6">
      <c r="A104" s="5" t="str">
        <f t="shared" si="1"/>
        <v>202301</v>
      </c>
      <c r="B104" s="5" t="str">
        <f>"23085010206"</f>
        <v>23085010206</v>
      </c>
      <c r="C104" s="6">
        <v>73.5</v>
      </c>
      <c r="D104" s="6">
        <v>120</v>
      </c>
      <c r="E104" s="6">
        <v>193.5</v>
      </c>
      <c r="F104" s="11"/>
    </row>
    <row r="105" spans="1:6">
      <c r="A105" s="5" t="str">
        <f t="shared" si="1"/>
        <v>202301</v>
      </c>
      <c r="B105" s="5" t="str">
        <f>"23085010125"</f>
        <v>23085010125</v>
      </c>
      <c r="C105" s="6">
        <v>78</v>
      </c>
      <c r="D105" s="6">
        <v>114.5</v>
      </c>
      <c r="E105" s="6">
        <v>192.5</v>
      </c>
      <c r="F105" s="11"/>
    </row>
    <row r="106" spans="1:6">
      <c r="A106" s="5" t="str">
        <f t="shared" si="1"/>
        <v>202301</v>
      </c>
      <c r="B106" s="5" t="str">
        <f>"23085010420"</f>
        <v>23085010420</v>
      </c>
      <c r="C106" s="6">
        <v>78</v>
      </c>
      <c r="D106" s="6">
        <v>113.5</v>
      </c>
      <c r="E106" s="6">
        <v>191.5</v>
      </c>
      <c r="F106" s="11"/>
    </row>
    <row r="107" spans="1:6">
      <c r="A107" s="5" t="str">
        <f t="shared" si="1"/>
        <v>202301</v>
      </c>
      <c r="B107" s="5" t="str">
        <f>"23085010429"</f>
        <v>23085010429</v>
      </c>
      <c r="C107" s="6">
        <v>90</v>
      </c>
      <c r="D107" s="6">
        <v>101</v>
      </c>
      <c r="E107" s="6">
        <v>191</v>
      </c>
      <c r="F107" s="11"/>
    </row>
    <row r="108" spans="1:6">
      <c r="A108" s="5" t="str">
        <f t="shared" si="1"/>
        <v>202301</v>
      </c>
      <c r="B108" s="5" t="str">
        <f>"23085010528"</f>
        <v>23085010528</v>
      </c>
      <c r="C108" s="6">
        <v>78</v>
      </c>
      <c r="D108" s="6">
        <v>111</v>
      </c>
      <c r="E108" s="6">
        <v>189</v>
      </c>
      <c r="F108" s="11"/>
    </row>
    <row r="109" spans="1:6">
      <c r="A109" s="5" t="str">
        <f t="shared" si="1"/>
        <v>202301</v>
      </c>
      <c r="B109" s="5" t="str">
        <f>"23085010219"</f>
        <v>23085010219</v>
      </c>
      <c r="C109" s="6">
        <v>73.5</v>
      </c>
      <c r="D109" s="6">
        <v>111.5</v>
      </c>
      <c r="E109" s="6">
        <v>185</v>
      </c>
      <c r="F109" s="11"/>
    </row>
    <row r="110" spans="1:6">
      <c r="A110" s="5" t="str">
        <f t="shared" si="1"/>
        <v>202301</v>
      </c>
      <c r="B110" s="5" t="str">
        <f>"23085010413"</f>
        <v>23085010413</v>
      </c>
      <c r="C110" s="6">
        <v>70.5</v>
      </c>
      <c r="D110" s="6">
        <v>108</v>
      </c>
      <c r="E110" s="6">
        <v>178.5</v>
      </c>
      <c r="F110" s="11"/>
    </row>
    <row r="111" spans="1:6">
      <c r="A111" s="5" t="str">
        <f t="shared" si="1"/>
        <v>202301</v>
      </c>
      <c r="B111" s="5" t="str">
        <f>"23085010207"</f>
        <v>23085010207</v>
      </c>
      <c r="C111" s="6">
        <v>66</v>
      </c>
      <c r="D111" s="6">
        <v>112.5</v>
      </c>
      <c r="E111" s="6">
        <v>178.5</v>
      </c>
      <c r="F111" s="11"/>
    </row>
    <row r="112" spans="1:6">
      <c r="A112" s="5" t="str">
        <f t="shared" si="1"/>
        <v>202301</v>
      </c>
      <c r="B112" s="5" t="str">
        <f>"23085010512"</f>
        <v>23085010512</v>
      </c>
      <c r="C112" s="6">
        <v>79.5</v>
      </c>
      <c r="D112" s="6">
        <v>95</v>
      </c>
      <c r="E112" s="6">
        <v>174.5</v>
      </c>
      <c r="F112" s="11"/>
    </row>
    <row r="113" spans="1:6">
      <c r="A113" s="5" t="str">
        <f t="shared" si="1"/>
        <v>202301</v>
      </c>
      <c r="B113" s="5" t="str">
        <f>"23085010517"</f>
        <v>23085010517</v>
      </c>
      <c r="C113" s="6">
        <v>60</v>
      </c>
      <c r="D113" s="6">
        <v>114</v>
      </c>
      <c r="E113" s="6">
        <v>174</v>
      </c>
      <c r="F113" s="11"/>
    </row>
    <row r="114" spans="1:6">
      <c r="A114" s="5" t="str">
        <f t="shared" si="1"/>
        <v>202301</v>
      </c>
      <c r="B114" s="5" t="str">
        <f>"23085010421"</f>
        <v>23085010421</v>
      </c>
      <c r="C114" s="6">
        <v>55.5</v>
      </c>
      <c r="D114" s="6">
        <v>118.5</v>
      </c>
      <c r="E114" s="6">
        <v>174</v>
      </c>
      <c r="F114" s="11"/>
    </row>
    <row r="115" spans="1:6">
      <c r="A115" s="5" t="str">
        <f t="shared" si="1"/>
        <v>202301</v>
      </c>
      <c r="B115" s="5" t="str">
        <f>"23085010322"</f>
        <v>23085010322</v>
      </c>
      <c r="C115" s="6">
        <v>4.5</v>
      </c>
      <c r="D115" s="6">
        <v>28.5</v>
      </c>
      <c r="E115" s="6">
        <v>33</v>
      </c>
      <c r="F115" s="11"/>
    </row>
    <row r="116" spans="1:6">
      <c r="A116" s="5" t="str">
        <f t="shared" si="1"/>
        <v>202301</v>
      </c>
      <c r="B116" s="5" t="str">
        <f>"23085010527"</f>
        <v>23085010527</v>
      </c>
      <c r="C116" s="6">
        <v>0</v>
      </c>
      <c r="D116" s="6">
        <v>0</v>
      </c>
      <c r="E116" s="6">
        <v>0</v>
      </c>
      <c r="F116" s="11" t="s">
        <v>7</v>
      </c>
    </row>
    <row r="117" spans="1:6">
      <c r="A117" s="5" t="str">
        <f t="shared" si="1"/>
        <v>202301</v>
      </c>
      <c r="B117" s="5" t="str">
        <f>"23085010216"</f>
        <v>23085010216</v>
      </c>
      <c r="C117" s="6">
        <v>0</v>
      </c>
      <c r="D117" s="6">
        <v>0</v>
      </c>
      <c r="E117" s="6">
        <v>0</v>
      </c>
      <c r="F117" s="11" t="s">
        <v>7</v>
      </c>
    </row>
    <row r="118" spans="1:6">
      <c r="A118" s="5" t="str">
        <f t="shared" si="1"/>
        <v>202301</v>
      </c>
      <c r="B118" s="5" t="str">
        <f>"23085010416"</f>
        <v>23085010416</v>
      </c>
      <c r="C118" s="6">
        <v>0</v>
      </c>
      <c r="D118" s="6">
        <v>0</v>
      </c>
      <c r="E118" s="6">
        <v>0</v>
      </c>
      <c r="F118" s="11" t="s">
        <v>7</v>
      </c>
    </row>
    <row r="119" spans="1:6">
      <c r="A119" s="5" t="str">
        <f t="shared" si="1"/>
        <v>202301</v>
      </c>
      <c r="B119" s="5" t="str">
        <f>"23085010521"</f>
        <v>23085010521</v>
      </c>
      <c r="C119" s="6">
        <v>0</v>
      </c>
      <c r="D119" s="6">
        <v>0</v>
      </c>
      <c r="E119" s="6">
        <v>0</v>
      </c>
      <c r="F119" s="11" t="s">
        <v>7</v>
      </c>
    </row>
    <row r="120" spans="1:6">
      <c r="A120" s="5" t="str">
        <f t="shared" si="1"/>
        <v>202301</v>
      </c>
      <c r="B120" s="5" t="str">
        <f>"23085010113"</f>
        <v>23085010113</v>
      </c>
      <c r="C120" s="6">
        <v>0</v>
      </c>
      <c r="D120" s="6">
        <v>0</v>
      </c>
      <c r="E120" s="6">
        <v>0</v>
      </c>
      <c r="F120" s="11" t="s">
        <v>7</v>
      </c>
    </row>
    <row r="121" spans="1:6">
      <c r="A121" s="5" t="str">
        <f t="shared" si="1"/>
        <v>202301</v>
      </c>
      <c r="B121" s="5" t="str">
        <f>"23085010526"</f>
        <v>23085010526</v>
      </c>
      <c r="C121" s="6">
        <v>0</v>
      </c>
      <c r="D121" s="6">
        <v>0</v>
      </c>
      <c r="E121" s="6">
        <v>0</v>
      </c>
      <c r="F121" s="11" t="s">
        <v>7</v>
      </c>
    </row>
    <row r="122" spans="1:6">
      <c r="A122" s="5" t="str">
        <f t="shared" si="1"/>
        <v>202301</v>
      </c>
      <c r="B122" s="5" t="str">
        <f>"23085010409"</f>
        <v>23085010409</v>
      </c>
      <c r="C122" s="6">
        <v>0</v>
      </c>
      <c r="D122" s="6">
        <v>0</v>
      </c>
      <c r="E122" s="6">
        <v>0</v>
      </c>
      <c r="F122" s="11" t="s">
        <v>7</v>
      </c>
    </row>
    <row r="123" spans="1:6">
      <c r="A123" s="5" t="str">
        <f t="shared" si="1"/>
        <v>202301</v>
      </c>
      <c r="B123" s="5" t="str">
        <f>"23085010516"</f>
        <v>23085010516</v>
      </c>
      <c r="C123" s="6">
        <v>0</v>
      </c>
      <c r="D123" s="6">
        <v>0</v>
      </c>
      <c r="E123" s="6">
        <v>0</v>
      </c>
      <c r="F123" s="11" t="s">
        <v>7</v>
      </c>
    </row>
    <row r="124" spans="1:6">
      <c r="A124" s="5" t="str">
        <f t="shared" si="1"/>
        <v>202301</v>
      </c>
      <c r="B124" s="5" t="str">
        <f>"23085010330"</f>
        <v>23085010330</v>
      </c>
      <c r="C124" s="6">
        <v>0</v>
      </c>
      <c r="D124" s="6">
        <v>0</v>
      </c>
      <c r="E124" s="6">
        <v>0</v>
      </c>
      <c r="F124" s="11" t="s">
        <v>7</v>
      </c>
    </row>
    <row r="125" spans="1:6">
      <c r="A125" s="5" t="str">
        <f t="shared" si="1"/>
        <v>202301</v>
      </c>
      <c r="B125" s="5" t="str">
        <f>"23085010303"</f>
        <v>23085010303</v>
      </c>
      <c r="C125" s="6">
        <v>0</v>
      </c>
      <c r="D125" s="6">
        <v>0</v>
      </c>
      <c r="E125" s="6">
        <v>0</v>
      </c>
      <c r="F125" s="11" t="s">
        <v>7</v>
      </c>
    </row>
    <row r="126" spans="1:6">
      <c r="A126" s="5" t="str">
        <f t="shared" si="1"/>
        <v>202301</v>
      </c>
      <c r="B126" s="5" t="str">
        <f>"23085010402"</f>
        <v>23085010402</v>
      </c>
      <c r="C126" s="6">
        <v>0</v>
      </c>
      <c r="D126" s="6">
        <v>0</v>
      </c>
      <c r="E126" s="6">
        <v>0</v>
      </c>
      <c r="F126" s="11" t="s">
        <v>7</v>
      </c>
    </row>
    <row r="127" spans="1:6">
      <c r="A127" s="5" t="str">
        <f t="shared" si="1"/>
        <v>202301</v>
      </c>
      <c r="B127" s="5" t="str">
        <f>"23085010406"</f>
        <v>23085010406</v>
      </c>
      <c r="C127" s="6">
        <v>0</v>
      </c>
      <c r="D127" s="6">
        <v>0</v>
      </c>
      <c r="E127" s="6">
        <v>0</v>
      </c>
      <c r="F127" s="11" t="s">
        <v>7</v>
      </c>
    </row>
    <row r="128" spans="1:6">
      <c r="A128" s="5" t="str">
        <f t="shared" si="1"/>
        <v>202301</v>
      </c>
      <c r="B128" s="5" t="str">
        <f>"23085010224"</f>
        <v>23085010224</v>
      </c>
      <c r="C128" s="6">
        <v>0</v>
      </c>
      <c r="D128" s="6">
        <v>0</v>
      </c>
      <c r="E128" s="6">
        <v>0</v>
      </c>
      <c r="F128" s="11" t="s">
        <v>7</v>
      </c>
    </row>
    <row r="129" spans="1:6">
      <c r="A129" s="5" t="str">
        <f t="shared" si="1"/>
        <v>202301</v>
      </c>
      <c r="B129" s="5" t="str">
        <f>"23085010417"</f>
        <v>23085010417</v>
      </c>
      <c r="C129" s="6">
        <v>0</v>
      </c>
      <c r="D129" s="6">
        <v>0</v>
      </c>
      <c r="E129" s="6">
        <v>0</v>
      </c>
      <c r="F129" s="11" t="s">
        <v>7</v>
      </c>
    </row>
    <row r="130" spans="1:6">
      <c r="A130" s="5" t="str">
        <f t="shared" si="1"/>
        <v>202301</v>
      </c>
      <c r="B130" s="5" t="str">
        <f>"23085010514"</f>
        <v>23085010514</v>
      </c>
      <c r="C130" s="6">
        <v>0</v>
      </c>
      <c r="D130" s="6">
        <v>0</v>
      </c>
      <c r="E130" s="6">
        <v>0</v>
      </c>
      <c r="F130" s="11" t="s">
        <v>7</v>
      </c>
    </row>
    <row r="131" spans="1:6">
      <c r="A131" s="5" t="str">
        <f t="shared" ref="A131:A152" si="2">"202301"</f>
        <v>202301</v>
      </c>
      <c r="B131" s="5" t="str">
        <f>"23085010115"</f>
        <v>23085010115</v>
      </c>
      <c r="C131" s="6">
        <v>0</v>
      </c>
      <c r="D131" s="6">
        <v>0</v>
      </c>
      <c r="E131" s="6">
        <v>0</v>
      </c>
      <c r="F131" s="11" t="s">
        <v>7</v>
      </c>
    </row>
    <row r="132" spans="1:6">
      <c r="A132" s="5" t="str">
        <f t="shared" si="2"/>
        <v>202301</v>
      </c>
      <c r="B132" s="5" t="str">
        <f>"23085010320"</f>
        <v>23085010320</v>
      </c>
      <c r="C132" s="6">
        <v>0</v>
      </c>
      <c r="D132" s="6">
        <v>0</v>
      </c>
      <c r="E132" s="6">
        <v>0</v>
      </c>
      <c r="F132" s="11" t="s">
        <v>7</v>
      </c>
    </row>
    <row r="133" spans="1:6">
      <c r="A133" s="5" t="str">
        <f t="shared" si="2"/>
        <v>202301</v>
      </c>
      <c r="B133" s="5" t="str">
        <f>"23085010229"</f>
        <v>23085010229</v>
      </c>
      <c r="C133" s="6">
        <v>0</v>
      </c>
      <c r="D133" s="6">
        <v>0</v>
      </c>
      <c r="E133" s="6">
        <v>0</v>
      </c>
      <c r="F133" s="11" t="s">
        <v>7</v>
      </c>
    </row>
    <row r="134" spans="1:6">
      <c r="A134" s="5" t="str">
        <f t="shared" si="2"/>
        <v>202301</v>
      </c>
      <c r="B134" s="5" t="str">
        <f>"23085010302"</f>
        <v>23085010302</v>
      </c>
      <c r="C134" s="6">
        <v>0</v>
      </c>
      <c r="D134" s="6">
        <v>0</v>
      </c>
      <c r="E134" s="6">
        <v>0</v>
      </c>
      <c r="F134" s="11" t="s">
        <v>7</v>
      </c>
    </row>
    <row r="135" spans="1:6">
      <c r="A135" s="5" t="str">
        <f t="shared" si="2"/>
        <v>202301</v>
      </c>
      <c r="B135" s="5" t="str">
        <f>"23085010211"</f>
        <v>23085010211</v>
      </c>
      <c r="C135" s="6">
        <v>0</v>
      </c>
      <c r="D135" s="6">
        <v>0</v>
      </c>
      <c r="E135" s="6">
        <v>0</v>
      </c>
      <c r="F135" s="11" t="s">
        <v>7</v>
      </c>
    </row>
    <row r="136" spans="1:6">
      <c r="A136" s="5" t="str">
        <f t="shared" si="2"/>
        <v>202301</v>
      </c>
      <c r="B136" s="5" t="str">
        <f>"23085010415"</f>
        <v>23085010415</v>
      </c>
      <c r="C136" s="6">
        <v>0</v>
      </c>
      <c r="D136" s="6">
        <v>0</v>
      </c>
      <c r="E136" s="6">
        <v>0</v>
      </c>
      <c r="F136" s="11" t="s">
        <v>7</v>
      </c>
    </row>
    <row r="137" spans="1:6">
      <c r="A137" s="5" t="str">
        <f t="shared" si="2"/>
        <v>202301</v>
      </c>
      <c r="B137" s="5" t="str">
        <f>"23085010317"</f>
        <v>23085010317</v>
      </c>
      <c r="C137" s="6">
        <v>0</v>
      </c>
      <c r="D137" s="6">
        <v>0</v>
      </c>
      <c r="E137" s="6">
        <v>0</v>
      </c>
      <c r="F137" s="11" t="s">
        <v>7</v>
      </c>
    </row>
    <row r="138" spans="1:6">
      <c r="A138" s="5" t="str">
        <f t="shared" si="2"/>
        <v>202301</v>
      </c>
      <c r="B138" s="5" t="str">
        <f>"23085010228"</f>
        <v>23085010228</v>
      </c>
      <c r="C138" s="6">
        <v>0</v>
      </c>
      <c r="D138" s="6">
        <v>0</v>
      </c>
      <c r="E138" s="6">
        <v>0</v>
      </c>
      <c r="F138" s="11" t="s">
        <v>7</v>
      </c>
    </row>
    <row r="139" spans="1:6">
      <c r="A139" s="5" t="str">
        <f t="shared" si="2"/>
        <v>202301</v>
      </c>
      <c r="B139" s="5" t="str">
        <f>"23085010326"</f>
        <v>23085010326</v>
      </c>
      <c r="C139" s="6">
        <v>0</v>
      </c>
      <c r="D139" s="6">
        <v>0</v>
      </c>
      <c r="E139" s="6">
        <v>0</v>
      </c>
      <c r="F139" s="11" t="s">
        <v>7</v>
      </c>
    </row>
    <row r="140" spans="1:6">
      <c r="A140" s="5" t="str">
        <f t="shared" si="2"/>
        <v>202301</v>
      </c>
      <c r="B140" s="5" t="str">
        <f>"23085010104"</f>
        <v>23085010104</v>
      </c>
      <c r="C140" s="6">
        <v>0</v>
      </c>
      <c r="D140" s="6">
        <v>0</v>
      </c>
      <c r="E140" s="6">
        <v>0</v>
      </c>
      <c r="F140" s="11" t="s">
        <v>7</v>
      </c>
    </row>
    <row r="141" spans="1:6">
      <c r="A141" s="5" t="str">
        <f t="shared" si="2"/>
        <v>202301</v>
      </c>
      <c r="B141" s="5" t="str">
        <f>"23085010217"</f>
        <v>23085010217</v>
      </c>
      <c r="C141" s="6">
        <v>0</v>
      </c>
      <c r="D141" s="6">
        <v>0</v>
      </c>
      <c r="E141" s="6">
        <v>0</v>
      </c>
      <c r="F141" s="11" t="s">
        <v>7</v>
      </c>
    </row>
    <row r="142" spans="1:6">
      <c r="A142" s="5" t="str">
        <f t="shared" si="2"/>
        <v>202301</v>
      </c>
      <c r="B142" s="5" t="str">
        <f>"23085010508"</f>
        <v>23085010508</v>
      </c>
      <c r="C142" s="6">
        <v>0</v>
      </c>
      <c r="D142" s="6">
        <v>0</v>
      </c>
      <c r="E142" s="6">
        <v>0</v>
      </c>
      <c r="F142" s="11" t="s">
        <v>7</v>
      </c>
    </row>
    <row r="143" spans="1:6">
      <c r="A143" s="5" t="str">
        <f t="shared" si="2"/>
        <v>202301</v>
      </c>
      <c r="B143" s="5" t="str">
        <f>"23085010209"</f>
        <v>23085010209</v>
      </c>
      <c r="C143" s="6">
        <v>0</v>
      </c>
      <c r="D143" s="6">
        <v>0</v>
      </c>
      <c r="E143" s="6">
        <v>0</v>
      </c>
      <c r="F143" s="11" t="s">
        <v>7</v>
      </c>
    </row>
    <row r="144" spans="1:6">
      <c r="A144" s="5" t="str">
        <f t="shared" si="2"/>
        <v>202301</v>
      </c>
      <c r="B144" s="5" t="str">
        <f>"23085010120"</f>
        <v>23085010120</v>
      </c>
      <c r="C144" s="6">
        <v>0</v>
      </c>
      <c r="D144" s="6">
        <v>0</v>
      </c>
      <c r="E144" s="6">
        <v>0</v>
      </c>
      <c r="F144" s="11" t="s">
        <v>7</v>
      </c>
    </row>
    <row r="145" spans="1:6">
      <c r="A145" s="5" t="str">
        <f t="shared" si="2"/>
        <v>202301</v>
      </c>
      <c r="B145" s="5" t="str">
        <f>"23085010318"</f>
        <v>23085010318</v>
      </c>
      <c r="C145" s="6">
        <v>0</v>
      </c>
      <c r="D145" s="6">
        <v>0</v>
      </c>
      <c r="E145" s="6">
        <v>0</v>
      </c>
      <c r="F145" s="11" t="s">
        <v>7</v>
      </c>
    </row>
    <row r="146" spans="1:6">
      <c r="A146" s="5" t="str">
        <f t="shared" si="2"/>
        <v>202301</v>
      </c>
      <c r="B146" s="5" t="str">
        <f>"23085010324"</f>
        <v>23085010324</v>
      </c>
      <c r="C146" s="6">
        <v>0</v>
      </c>
      <c r="D146" s="6">
        <v>0</v>
      </c>
      <c r="E146" s="6">
        <v>0</v>
      </c>
      <c r="F146" s="11" t="s">
        <v>7</v>
      </c>
    </row>
    <row r="147" spans="1:6">
      <c r="A147" s="5" t="str">
        <f t="shared" si="2"/>
        <v>202301</v>
      </c>
      <c r="B147" s="5" t="str">
        <f>"23085010519"</f>
        <v>23085010519</v>
      </c>
      <c r="C147" s="6">
        <v>0</v>
      </c>
      <c r="D147" s="6">
        <v>0</v>
      </c>
      <c r="E147" s="6">
        <v>0</v>
      </c>
      <c r="F147" s="11" t="s">
        <v>7</v>
      </c>
    </row>
    <row r="148" spans="1:6">
      <c r="A148" s="5" t="str">
        <f t="shared" si="2"/>
        <v>202301</v>
      </c>
      <c r="B148" s="5" t="str">
        <f>"23085010127"</f>
        <v>23085010127</v>
      </c>
      <c r="C148" s="6">
        <v>0</v>
      </c>
      <c r="D148" s="6">
        <v>0</v>
      </c>
      <c r="E148" s="6">
        <v>0</v>
      </c>
      <c r="F148" s="11" t="s">
        <v>7</v>
      </c>
    </row>
    <row r="149" spans="1:6">
      <c r="A149" s="5" t="str">
        <f t="shared" si="2"/>
        <v>202301</v>
      </c>
      <c r="B149" s="5" t="str">
        <f>"23085010503"</f>
        <v>23085010503</v>
      </c>
      <c r="C149" s="6">
        <v>0</v>
      </c>
      <c r="D149" s="6">
        <v>0</v>
      </c>
      <c r="E149" s="6">
        <v>0</v>
      </c>
      <c r="F149" s="11" t="s">
        <v>7</v>
      </c>
    </row>
    <row r="150" spans="1:6">
      <c r="A150" s="5" t="str">
        <f t="shared" si="2"/>
        <v>202301</v>
      </c>
      <c r="B150" s="5" t="str">
        <f>"23085010202"</f>
        <v>23085010202</v>
      </c>
      <c r="C150" s="6">
        <v>0</v>
      </c>
      <c r="D150" s="6">
        <v>0</v>
      </c>
      <c r="E150" s="6">
        <v>0</v>
      </c>
      <c r="F150" s="11" t="s">
        <v>7</v>
      </c>
    </row>
    <row r="151" spans="1:6">
      <c r="A151" s="5" t="str">
        <f t="shared" si="2"/>
        <v>202301</v>
      </c>
      <c r="B151" s="5" t="str">
        <f>"23085010427"</f>
        <v>23085010427</v>
      </c>
      <c r="C151" s="6">
        <v>0</v>
      </c>
      <c r="D151" s="6">
        <v>0</v>
      </c>
      <c r="E151" s="6">
        <v>0</v>
      </c>
      <c r="F151" s="11" t="s">
        <v>7</v>
      </c>
    </row>
    <row r="152" spans="1:6">
      <c r="A152" s="5" t="str">
        <f t="shared" si="2"/>
        <v>202301</v>
      </c>
      <c r="B152" s="5" t="str">
        <f>"23085010418"</f>
        <v>23085010418</v>
      </c>
      <c r="C152" s="6">
        <v>0</v>
      </c>
      <c r="D152" s="6">
        <v>0</v>
      </c>
      <c r="E152" s="6">
        <v>0</v>
      </c>
      <c r="F152" s="11" t="s">
        <v>7</v>
      </c>
    </row>
    <row r="153" spans="1:6">
      <c r="A153" s="5" t="str">
        <f t="shared" ref="A153:A216" si="3">"202302"</f>
        <v>202302</v>
      </c>
      <c r="B153" s="5" t="str">
        <f>"23085011223"</f>
        <v>23085011223</v>
      </c>
      <c r="C153" s="6">
        <v>129</v>
      </c>
      <c r="D153" s="6">
        <v>121</v>
      </c>
      <c r="E153" s="6">
        <v>250</v>
      </c>
      <c r="F153" s="11"/>
    </row>
    <row r="154" spans="1:6">
      <c r="A154" s="5" t="str">
        <f t="shared" si="3"/>
        <v>202302</v>
      </c>
      <c r="B154" s="5" t="str">
        <f>"23085010713"</f>
        <v>23085010713</v>
      </c>
      <c r="C154" s="6">
        <v>129</v>
      </c>
      <c r="D154" s="6">
        <v>117.5</v>
      </c>
      <c r="E154" s="6">
        <v>246.5</v>
      </c>
      <c r="F154" s="11"/>
    </row>
    <row r="155" spans="1:6">
      <c r="A155" s="5" t="str">
        <f t="shared" si="3"/>
        <v>202302</v>
      </c>
      <c r="B155" s="5" t="str">
        <f>"23085011109"</f>
        <v>23085011109</v>
      </c>
      <c r="C155" s="6">
        <v>126</v>
      </c>
      <c r="D155" s="6">
        <v>119</v>
      </c>
      <c r="E155" s="6">
        <v>245</v>
      </c>
      <c r="F155" s="11"/>
    </row>
    <row r="156" spans="1:6">
      <c r="A156" s="5" t="str">
        <f t="shared" si="3"/>
        <v>202302</v>
      </c>
      <c r="B156" s="5" t="str">
        <f>"23085011219"</f>
        <v>23085011219</v>
      </c>
      <c r="C156" s="6">
        <v>127.5</v>
      </c>
      <c r="D156" s="6">
        <v>116</v>
      </c>
      <c r="E156" s="6">
        <v>243.5</v>
      </c>
      <c r="F156" s="11"/>
    </row>
    <row r="157" spans="1:6">
      <c r="A157" s="5" t="str">
        <f t="shared" si="3"/>
        <v>202302</v>
      </c>
      <c r="B157" s="5" t="str">
        <f>"23085012012"</f>
        <v>23085012012</v>
      </c>
      <c r="C157" s="6">
        <v>123</v>
      </c>
      <c r="D157" s="6">
        <v>120.5</v>
      </c>
      <c r="E157" s="6">
        <v>243.5</v>
      </c>
      <c r="F157" s="11"/>
    </row>
    <row r="158" spans="1:6">
      <c r="A158" s="5" t="str">
        <f t="shared" si="3"/>
        <v>202302</v>
      </c>
      <c r="B158" s="5" t="str">
        <f>"23085011129"</f>
        <v>23085011129</v>
      </c>
      <c r="C158" s="6">
        <v>123</v>
      </c>
      <c r="D158" s="6">
        <v>120.5</v>
      </c>
      <c r="E158" s="6">
        <v>243.5</v>
      </c>
      <c r="F158" s="11"/>
    </row>
    <row r="159" spans="1:6">
      <c r="A159" s="5" t="str">
        <f t="shared" si="3"/>
        <v>202302</v>
      </c>
      <c r="B159" s="5" t="str">
        <f>"23085010929"</f>
        <v>23085010929</v>
      </c>
      <c r="C159" s="6">
        <v>123</v>
      </c>
      <c r="D159" s="6">
        <v>118</v>
      </c>
      <c r="E159" s="6">
        <v>241</v>
      </c>
      <c r="F159" s="11"/>
    </row>
    <row r="160" spans="1:6">
      <c r="A160" s="5" t="str">
        <f t="shared" si="3"/>
        <v>202302</v>
      </c>
      <c r="B160" s="5" t="str">
        <f>"23085010816"</f>
        <v>23085010816</v>
      </c>
      <c r="C160" s="6">
        <v>127.5</v>
      </c>
      <c r="D160" s="6">
        <v>113.5</v>
      </c>
      <c r="E160" s="6">
        <v>241</v>
      </c>
      <c r="F160" s="11"/>
    </row>
    <row r="161" spans="1:6">
      <c r="A161" s="5" t="str">
        <f t="shared" si="3"/>
        <v>202302</v>
      </c>
      <c r="B161" s="5" t="str">
        <f>"23085011422"</f>
        <v>23085011422</v>
      </c>
      <c r="C161" s="6">
        <v>118.5</v>
      </c>
      <c r="D161" s="6">
        <v>121.5</v>
      </c>
      <c r="E161" s="6">
        <v>240</v>
      </c>
      <c r="F161" s="11"/>
    </row>
    <row r="162" spans="1:6">
      <c r="A162" s="5" t="str">
        <f t="shared" si="3"/>
        <v>202302</v>
      </c>
      <c r="B162" s="5" t="str">
        <f>"23085011505"</f>
        <v>23085011505</v>
      </c>
      <c r="C162" s="6">
        <v>124.5</v>
      </c>
      <c r="D162" s="6">
        <v>114.5</v>
      </c>
      <c r="E162" s="6">
        <v>239</v>
      </c>
      <c r="F162" s="11"/>
    </row>
    <row r="163" spans="1:6">
      <c r="A163" s="5" t="str">
        <f t="shared" si="3"/>
        <v>202302</v>
      </c>
      <c r="B163" s="5" t="str">
        <f>"23085011412"</f>
        <v>23085011412</v>
      </c>
      <c r="C163" s="6">
        <v>120</v>
      </c>
      <c r="D163" s="6">
        <v>118.5</v>
      </c>
      <c r="E163" s="6">
        <v>238.5</v>
      </c>
      <c r="F163" s="11"/>
    </row>
    <row r="164" spans="1:6">
      <c r="A164" s="5" t="str">
        <f t="shared" si="3"/>
        <v>202302</v>
      </c>
      <c r="B164" s="5" t="str">
        <f>"23085010716"</f>
        <v>23085010716</v>
      </c>
      <c r="C164" s="6">
        <v>120</v>
      </c>
      <c r="D164" s="6">
        <v>117.5</v>
      </c>
      <c r="E164" s="6">
        <v>237.5</v>
      </c>
      <c r="F164" s="11"/>
    </row>
    <row r="165" spans="1:6">
      <c r="A165" s="5" t="str">
        <f t="shared" si="3"/>
        <v>202302</v>
      </c>
      <c r="B165" s="5" t="str">
        <f>"23085010925"</f>
        <v>23085010925</v>
      </c>
      <c r="C165" s="6">
        <v>121.5</v>
      </c>
      <c r="D165" s="6">
        <v>115.5</v>
      </c>
      <c r="E165" s="6">
        <v>237</v>
      </c>
      <c r="F165" s="11"/>
    </row>
    <row r="166" spans="1:6">
      <c r="A166" s="5" t="str">
        <f t="shared" si="3"/>
        <v>202302</v>
      </c>
      <c r="B166" s="5" t="str">
        <f>"23085011528"</f>
        <v>23085011528</v>
      </c>
      <c r="C166" s="6">
        <v>117</v>
      </c>
      <c r="D166" s="6">
        <v>120</v>
      </c>
      <c r="E166" s="6">
        <v>237</v>
      </c>
      <c r="F166" s="11"/>
    </row>
    <row r="167" spans="1:6">
      <c r="A167" s="5" t="str">
        <f t="shared" si="3"/>
        <v>202302</v>
      </c>
      <c r="B167" s="5" t="str">
        <f>"23085011822"</f>
        <v>23085011822</v>
      </c>
      <c r="C167" s="6">
        <v>123</v>
      </c>
      <c r="D167" s="6">
        <v>113</v>
      </c>
      <c r="E167" s="6">
        <v>236</v>
      </c>
      <c r="F167" s="11"/>
    </row>
    <row r="168" spans="1:6">
      <c r="A168" s="5" t="str">
        <f t="shared" si="3"/>
        <v>202302</v>
      </c>
      <c r="B168" s="5" t="str">
        <f>"23085011301"</f>
        <v>23085011301</v>
      </c>
      <c r="C168" s="6">
        <v>120</v>
      </c>
      <c r="D168" s="6">
        <v>116</v>
      </c>
      <c r="E168" s="6">
        <v>236</v>
      </c>
      <c r="F168" s="11"/>
    </row>
    <row r="169" spans="1:6">
      <c r="A169" s="5" t="str">
        <f t="shared" si="3"/>
        <v>202302</v>
      </c>
      <c r="B169" s="5" t="str">
        <f>"23085011121"</f>
        <v>23085011121</v>
      </c>
      <c r="C169" s="6">
        <v>120</v>
      </c>
      <c r="D169" s="6">
        <v>116</v>
      </c>
      <c r="E169" s="6">
        <v>236</v>
      </c>
      <c r="F169" s="11"/>
    </row>
    <row r="170" spans="1:6">
      <c r="A170" s="5" t="str">
        <f t="shared" si="3"/>
        <v>202302</v>
      </c>
      <c r="B170" s="5" t="str">
        <f>"23085011012"</f>
        <v>23085011012</v>
      </c>
      <c r="C170" s="6">
        <v>115.5</v>
      </c>
      <c r="D170" s="6">
        <v>119</v>
      </c>
      <c r="E170" s="6">
        <v>234.5</v>
      </c>
      <c r="F170" s="11"/>
    </row>
    <row r="171" spans="1:6">
      <c r="A171" s="5" t="str">
        <f t="shared" si="3"/>
        <v>202302</v>
      </c>
      <c r="B171" s="5" t="str">
        <f>"23085011501"</f>
        <v>23085011501</v>
      </c>
      <c r="C171" s="6">
        <v>117</v>
      </c>
      <c r="D171" s="6">
        <v>117</v>
      </c>
      <c r="E171" s="6">
        <v>234</v>
      </c>
      <c r="F171" s="11"/>
    </row>
    <row r="172" spans="1:6">
      <c r="A172" s="5" t="str">
        <f t="shared" si="3"/>
        <v>202302</v>
      </c>
      <c r="B172" s="5" t="str">
        <f>"23085010605"</f>
        <v>23085010605</v>
      </c>
      <c r="C172" s="6">
        <v>115.5</v>
      </c>
      <c r="D172" s="6">
        <v>118.5</v>
      </c>
      <c r="E172" s="6">
        <v>234</v>
      </c>
      <c r="F172" s="11"/>
    </row>
    <row r="173" spans="1:6">
      <c r="A173" s="5" t="str">
        <f t="shared" si="3"/>
        <v>202302</v>
      </c>
      <c r="B173" s="5" t="str">
        <f>"23085012023"</f>
        <v>23085012023</v>
      </c>
      <c r="C173" s="6">
        <v>124.5</v>
      </c>
      <c r="D173" s="6">
        <v>109.5</v>
      </c>
      <c r="E173" s="6">
        <v>234</v>
      </c>
      <c r="F173" s="11"/>
    </row>
    <row r="174" spans="1:6">
      <c r="A174" s="5" t="str">
        <f t="shared" si="3"/>
        <v>202302</v>
      </c>
      <c r="B174" s="5" t="str">
        <f>"23085011818"</f>
        <v>23085011818</v>
      </c>
      <c r="C174" s="6">
        <v>114</v>
      </c>
      <c r="D174" s="6">
        <v>119.5</v>
      </c>
      <c r="E174" s="6">
        <v>233.5</v>
      </c>
      <c r="F174" s="11"/>
    </row>
    <row r="175" spans="1:6">
      <c r="A175" s="5" t="str">
        <f t="shared" si="3"/>
        <v>202302</v>
      </c>
      <c r="B175" s="5" t="str">
        <f>"23085011724"</f>
        <v>23085011724</v>
      </c>
      <c r="C175" s="6">
        <v>114</v>
      </c>
      <c r="D175" s="6">
        <v>119.5</v>
      </c>
      <c r="E175" s="6">
        <v>233.5</v>
      </c>
      <c r="F175" s="11"/>
    </row>
    <row r="176" spans="1:6">
      <c r="A176" s="5" t="str">
        <f t="shared" si="3"/>
        <v>202302</v>
      </c>
      <c r="B176" s="5" t="str">
        <f>"23085011924"</f>
        <v>23085011924</v>
      </c>
      <c r="C176" s="6">
        <v>115.5</v>
      </c>
      <c r="D176" s="6">
        <v>117.5</v>
      </c>
      <c r="E176" s="6">
        <v>233</v>
      </c>
      <c r="F176" s="11"/>
    </row>
    <row r="177" spans="1:6">
      <c r="A177" s="5" t="str">
        <f t="shared" si="3"/>
        <v>202302</v>
      </c>
      <c r="B177" s="5" t="str">
        <f>"23085011525"</f>
        <v>23085011525</v>
      </c>
      <c r="C177" s="6">
        <v>121.5</v>
      </c>
      <c r="D177" s="6">
        <v>111.5</v>
      </c>
      <c r="E177" s="6">
        <v>233</v>
      </c>
      <c r="F177" s="11"/>
    </row>
    <row r="178" spans="1:6">
      <c r="A178" s="5" t="str">
        <f t="shared" si="3"/>
        <v>202302</v>
      </c>
      <c r="B178" s="5" t="str">
        <f>"23085011410"</f>
        <v>23085011410</v>
      </c>
      <c r="C178" s="6">
        <v>114</v>
      </c>
      <c r="D178" s="6">
        <v>118.5</v>
      </c>
      <c r="E178" s="6">
        <v>232.5</v>
      </c>
      <c r="F178" s="11"/>
    </row>
    <row r="179" spans="1:6">
      <c r="A179" s="5" t="str">
        <f t="shared" si="3"/>
        <v>202302</v>
      </c>
      <c r="B179" s="5" t="str">
        <f>"23085011305"</f>
        <v>23085011305</v>
      </c>
      <c r="C179" s="6">
        <v>112.5</v>
      </c>
      <c r="D179" s="6">
        <v>120</v>
      </c>
      <c r="E179" s="6">
        <v>232.5</v>
      </c>
      <c r="F179" s="11"/>
    </row>
    <row r="180" spans="1:6">
      <c r="A180" s="5" t="str">
        <f t="shared" si="3"/>
        <v>202302</v>
      </c>
      <c r="B180" s="5" t="str">
        <f>"23085011119"</f>
        <v>23085011119</v>
      </c>
      <c r="C180" s="6">
        <v>114</v>
      </c>
      <c r="D180" s="6">
        <v>118</v>
      </c>
      <c r="E180" s="6">
        <v>232</v>
      </c>
      <c r="F180" s="11"/>
    </row>
    <row r="181" spans="1:6">
      <c r="A181" s="5" t="str">
        <f t="shared" si="3"/>
        <v>202302</v>
      </c>
      <c r="B181" s="5" t="str">
        <f>"23085011319"</f>
        <v>23085011319</v>
      </c>
      <c r="C181" s="6">
        <v>117</v>
      </c>
      <c r="D181" s="6">
        <v>115</v>
      </c>
      <c r="E181" s="6">
        <v>232</v>
      </c>
      <c r="F181" s="11"/>
    </row>
    <row r="182" spans="1:6">
      <c r="A182" s="5" t="str">
        <f t="shared" si="3"/>
        <v>202302</v>
      </c>
      <c r="B182" s="5" t="str">
        <f>"23085010902"</f>
        <v>23085010902</v>
      </c>
      <c r="C182" s="6">
        <v>117</v>
      </c>
      <c r="D182" s="6">
        <v>115</v>
      </c>
      <c r="E182" s="6">
        <v>232</v>
      </c>
      <c r="F182" s="11"/>
    </row>
    <row r="183" spans="1:6">
      <c r="A183" s="5" t="str">
        <f t="shared" si="3"/>
        <v>202302</v>
      </c>
      <c r="B183" s="5" t="str">
        <f>"23085010622"</f>
        <v>23085010622</v>
      </c>
      <c r="C183" s="6">
        <v>115.5</v>
      </c>
      <c r="D183" s="6">
        <v>116.5</v>
      </c>
      <c r="E183" s="6">
        <v>232</v>
      </c>
      <c r="F183" s="11"/>
    </row>
    <row r="184" spans="1:6">
      <c r="A184" s="5" t="str">
        <f t="shared" si="3"/>
        <v>202302</v>
      </c>
      <c r="B184" s="5" t="str">
        <f>"23085010711"</f>
        <v>23085010711</v>
      </c>
      <c r="C184" s="6">
        <v>109.5</v>
      </c>
      <c r="D184" s="6">
        <v>121.5</v>
      </c>
      <c r="E184" s="6">
        <v>231</v>
      </c>
      <c r="F184" s="11"/>
    </row>
    <row r="185" spans="1:6">
      <c r="A185" s="5" t="str">
        <f t="shared" si="3"/>
        <v>202302</v>
      </c>
      <c r="B185" s="5" t="str">
        <f>"23085012014"</f>
        <v>23085012014</v>
      </c>
      <c r="C185" s="6">
        <v>114</v>
      </c>
      <c r="D185" s="6">
        <v>116.5</v>
      </c>
      <c r="E185" s="6">
        <v>230.5</v>
      </c>
      <c r="F185" s="11"/>
    </row>
    <row r="186" spans="1:6">
      <c r="A186" s="5" t="str">
        <f t="shared" si="3"/>
        <v>202302</v>
      </c>
      <c r="B186" s="5" t="str">
        <f>"23085011117"</f>
        <v>23085011117</v>
      </c>
      <c r="C186" s="6">
        <v>112.5</v>
      </c>
      <c r="D186" s="6">
        <v>117.5</v>
      </c>
      <c r="E186" s="6">
        <v>230</v>
      </c>
      <c r="F186" s="11"/>
    </row>
    <row r="187" spans="1:6">
      <c r="A187" s="5" t="str">
        <f t="shared" si="3"/>
        <v>202302</v>
      </c>
      <c r="B187" s="5" t="str">
        <f>"23085012030"</f>
        <v>23085012030</v>
      </c>
      <c r="C187" s="6">
        <v>114</v>
      </c>
      <c r="D187" s="6">
        <v>115.5</v>
      </c>
      <c r="E187" s="6">
        <v>229.5</v>
      </c>
      <c r="F187" s="11"/>
    </row>
    <row r="188" spans="1:6">
      <c r="A188" s="5" t="str">
        <f t="shared" si="3"/>
        <v>202302</v>
      </c>
      <c r="B188" s="5" t="str">
        <f>"23085011601"</f>
        <v>23085011601</v>
      </c>
      <c r="C188" s="6">
        <v>112.5</v>
      </c>
      <c r="D188" s="6">
        <v>117</v>
      </c>
      <c r="E188" s="6">
        <v>229.5</v>
      </c>
      <c r="F188" s="11"/>
    </row>
    <row r="189" spans="1:6">
      <c r="A189" s="5" t="str">
        <f t="shared" si="3"/>
        <v>202302</v>
      </c>
      <c r="B189" s="5" t="str">
        <f>"23085012011"</f>
        <v>23085012011</v>
      </c>
      <c r="C189" s="6">
        <v>118.5</v>
      </c>
      <c r="D189" s="6">
        <v>111</v>
      </c>
      <c r="E189" s="6">
        <v>229.5</v>
      </c>
      <c r="F189" s="11"/>
    </row>
    <row r="190" spans="1:6">
      <c r="A190" s="5" t="str">
        <f t="shared" si="3"/>
        <v>202302</v>
      </c>
      <c r="B190" s="5" t="str">
        <f>"23085011414"</f>
        <v>23085011414</v>
      </c>
      <c r="C190" s="6">
        <v>114</v>
      </c>
      <c r="D190" s="6">
        <v>114.5</v>
      </c>
      <c r="E190" s="6">
        <v>228.5</v>
      </c>
      <c r="F190" s="11"/>
    </row>
    <row r="191" spans="1:6">
      <c r="A191" s="5" t="str">
        <f t="shared" si="3"/>
        <v>202302</v>
      </c>
      <c r="B191" s="5" t="str">
        <f>"23085011224"</f>
        <v>23085011224</v>
      </c>
      <c r="C191" s="6">
        <v>115.5</v>
      </c>
      <c r="D191" s="6">
        <v>113</v>
      </c>
      <c r="E191" s="6">
        <v>228.5</v>
      </c>
      <c r="F191" s="11"/>
    </row>
    <row r="192" spans="1:6">
      <c r="A192" s="5" t="str">
        <f t="shared" si="3"/>
        <v>202302</v>
      </c>
      <c r="B192" s="5" t="str">
        <f>"23085011902"</f>
        <v>23085011902</v>
      </c>
      <c r="C192" s="6">
        <v>114</v>
      </c>
      <c r="D192" s="6">
        <v>114</v>
      </c>
      <c r="E192" s="6">
        <v>228</v>
      </c>
      <c r="F192" s="11"/>
    </row>
    <row r="193" spans="1:6">
      <c r="A193" s="5" t="str">
        <f t="shared" si="3"/>
        <v>202302</v>
      </c>
      <c r="B193" s="5" t="str">
        <f>"23085011320"</f>
        <v>23085011320</v>
      </c>
      <c r="C193" s="6">
        <v>114</v>
      </c>
      <c r="D193" s="6">
        <v>114</v>
      </c>
      <c r="E193" s="6">
        <v>228</v>
      </c>
      <c r="F193" s="11"/>
    </row>
    <row r="194" spans="1:6">
      <c r="A194" s="5" t="str">
        <f t="shared" si="3"/>
        <v>202302</v>
      </c>
      <c r="B194" s="5" t="str">
        <f>"23085011602"</f>
        <v>23085011602</v>
      </c>
      <c r="C194" s="6">
        <v>112.5</v>
      </c>
      <c r="D194" s="6">
        <v>115</v>
      </c>
      <c r="E194" s="6">
        <v>227.5</v>
      </c>
      <c r="F194" s="11"/>
    </row>
    <row r="195" spans="1:6">
      <c r="A195" s="5" t="str">
        <f t="shared" si="3"/>
        <v>202302</v>
      </c>
      <c r="B195" s="5" t="str">
        <f>"23085010629"</f>
        <v>23085010629</v>
      </c>
      <c r="C195" s="6">
        <v>111</v>
      </c>
      <c r="D195" s="6">
        <v>116.5</v>
      </c>
      <c r="E195" s="6">
        <v>227.5</v>
      </c>
      <c r="F195" s="11"/>
    </row>
    <row r="196" spans="1:6">
      <c r="A196" s="5" t="str">
        <f t="shared" si="3"/>
        <v>202302</v>
      </c>
      <c r="B196" s="5" t="str">
        <f>"23085010918"</f>
        <v>23085010918</v>
      </c>
      <c r="C196" s="6">
        <v>111</v>
      </c>
      <c r="D196" s="6">
        <v>116.5</v>
      </c>
      <c r="E196" s="6">
        <v>227.5</v>
      </c>
      <c r="F196" s="11"/>
    </row>
    <row r="197" spans="1:6">
      <c r="A197" s="5" t="str">
        <f t="shared" si="3"/>
        <v>202302</v>
      </c>
      <c r="B197" s="5" t="str">
        <f>"23085012021"</f>
        <v>23085012021</v>
      </c>
      <c r="C197" s="6">
        <v>117</v>
      </c>
      <c r="D197" s="6">
        <v>110.5</v>
      </c>
      <c r="E197" s="6">
        <v>227.5</v>
      </c>
      <c r="F197" s="11"/>
    </row>
    <row r="198" spans="1:6">
      <c r="A198" s="5" t="str">
        <f t="shared" si="3"/>
        <v>202302</v>
      </c>
      <c r="B198" s="5" t="str">
        <f>"23085010702"</f>
        <v>23085010702</v>
      </c>
      <c r="C198" s="6">
        <v>112.5</v>
      </c>
      <c r="D198" s="6">
        <v>114.5</v>
      </c>
      <c r="E198" s="6">
        <v>227</v>
      </c>
      <c r="F198" s="11"/>
    </row>
    <row r="199" spans="1:6">
      <c r="A199" s="5" t="str">
        <f t="shared" si="3"/>
        <v>202302</v>
      </c>
      <c r="B199" s="5" t="str">
        <f>"23085011817"</f>
        <v>23085011817</v>
      </c>
      <c r="C199" s="6">
        <v>112.5</v>
      </c>
      <c r="D199" s="6">
        <v>114.5</v>
      </c>
      <c r="E199" s="6">
        <v>227</v>
      </c>
      <c r="F199" s="11"/>
    </row>
    <row r="200" spans="1:6">
      <c r="A200" s="5" t="str">
        <f t="shared" si="3"/>
        <v>202302</v>
      </c>
      <c r="B200" s="5" t="str">
        <f>"23085011904"</f>
        <v>23085011904</v>
      </c>
      <c r="C200" s="6">
        <v>112.5</v>
      </c>
      <c r="D200" s="6">
        <v>114.5</v>
      </c>
      <c r="E200" s="6">
        <v>227</v>
      </c>
      <c r="F200" s="11"/>
    </row>
    <row r="201" spans="1:6">
      <c r="A201" s="5" t="str">
        <f t="shared" si="3"/>
        <v>202302</v>
      </c>
      <c r="B201" s="5" t="str">
        <f>"23085011713"</f>
        <v>23085011713</v>
      </c>
      <c r="C201" s="6">
        <v>111</v>
      </c>
      <c r="D201" s="6">
        <v>116</v>
      </c>
      <c r="E201" s="6">
        <v>227</v>
      </c>
      <c r="F201" s="11"/>
    </row>
    <row r="202" spans="1:6">
      <c r="A202" s="5" t="str">
        <f t="shared" si="3"/>
        <v>202302</v>
      </c>
      <c r="B202" s="5" t="str">
        <f>"23085011618"</f>
        <v>23085011618</v>
      </c>
      <c r="C202" s="6">
        <v>112.5</v>
      </c>
      <c r="D202" s="6">
        <v>114.5</v>
      </c>
      <c r="E202" s="6">
        <v>227</v>
      </c>
      <c r="F202" s="11"/>
    </row>
    <row r="203" spans="1:6">
      <c r="A203" s="5" t="str">
        <f t="shared" si="3"/>
        <v>202302</v>
      </c>
      <c r="B203" s="5" t="str">
        <f>"23085010802"</f>
        <v>23085010802</v>
      </c>
      <c r="C203" s="6">
        <v>111</v>
      </c>
      <c r="D203" s="6">
        <v>115.5</v>
      </c>
      <c r="E203" s="6">
        <v>226.5</v>
      </c>
      <c r="F203" s="11"/>
    </row>
    <row r="204" spans="1:6">
      <c r="A204" s="5" t="str">
        <f t="shared" si="3"/>
        <v>202302</v>
      </c>
      <c r="B204" s="5" t="str">
        <f>"23085011828"</f>
        <v>23085011828</v>
      </c>
      <c r="C204" s="6">
        <v>115.5</v>
      </c>
      <c r="D204" s="6">
        <v>110.5</v>
      </c>
      <c r="E204" s="6">
        <v>226</v>
      </c>
      <c r="F204" s="11"/>
    </row>
    <row r="205" spans="1:6">
      <c r="A205" s="5" t="str">
        <f t="shared" si="3"/>
        <v>202302</v>
      </c>
      <c r="B205" s="5" t="str">
        <f>"23085011914"</f>
        <v>23085011914</v>
      </c>
      <c r="C205" s="6">
        <v>108</v>
      </c>
      <c r="D205" s="6">
        <v>118</v>
      </c>
      <c r="E205" s="6">
        <v>226</v>
      </c>
      <c r="F205" s="11"/>
    </row>
    <row r="206" spans="1:6">
      <c r="A206" s="5" t="str">
        <f t="shared" si="3"/>
        <v>202302</v>
      </c>
      <c r="B206" s="5" t="str">
        <f>"23085011415"</f>
        <v>23085011415</v>
      </c>
      <c r="C206" s="6">
        <v>118.5</v>
      </c>
      <c r="D206" s="6">
        <v>107</v>
      </c>
      <c r="E206" s="6">
        <v>225.5</v>
      </c>
      <c r="F206" s="11"/>
    </row>
    <row r="207" spans="1:6">
      <c r="A207" s="5" t="str">
        <f t="shared" si="3"/>
        <v>202302</v>
      </c>
      <c r="B207" s="5" t="str">
        <f>"23085010807"</f>
        <v>23085010807</v>
      </c>
      <c r="C207" s="6">
        <v>117</v>
      </c>
      <c r="D207" s="6">
        <v>108.5</v>
      </c>
      <c r="E207" s="6">
        <v>225.5</v>
      </c>
      <c r="F207" s="11"/>
    </row>
    <row r="208" spans="1:6">
      <c r="A208" s="5" t="str">
        <f t="shared" si="3"/>
        <v>202302</v>
      </c>
      <c r="B208" s="5" t="str">
        <f>"23085012008"</f>
        <v>23085012008</v>
      </c>
      <c r="C208" s="6">
        <v>108</v>
      </c>
      <c r="D208" s="6">
        <v>117.5</v>
      </c>
      <c r="E208" s="6">
        <v>225.5</v>
      </c>
      <c r="F208" s="11"/>
    </row>
    <row r="209" spans="1:6">
      <c r="A209" s="5" t="str">
        <f t="shared" si="3"/>
        <v>202302</v>
      </c>
      <c r="B209" s="5" t="str">
        <f>"23085011227"</f>
        <v>23085011227</v>
      </c>
      <c r="C209" s="6">
        <v>114</v>
      </c>
      <c r="D209" s="6">
        <v>111</v>
      </c>
      <c r="E209" s="6">
        <v>225</v>
      </c>
      <c r="F209" s="11"/>
    </row>
    <row r="210" spans="1:6">
      <c r="A210" s="5" t="str">
        <f t="shared" si="3"/>
        <v>202302</v>
      </c>
      <c r="B210" s="5" t="str">
        <f>"23085011216"</f>
        <v>23085011216</v>
      </c>
      <c r="C210" s="6">
        <v>112.5</v>
      </c>
      <c r="D210" s="6">
        <v>112.5</v>
      </c>
      <c r="E210" s="6">
        <v>225</v>
      </c>
      <c r="F210" s="11"/>
    </row>
    <row r="211" spans="1:6">
      <c r="A211" s="5" t="str">
        <f t="shared" si="3"/>
        <v>202302</v>
      </c>
      <c r="B211" s="5" t="str">
        <f>"23085011210"</f>
        <v>23085011210</v>
      </c>
      <c r="C211" s="6">
        <v>112.5</v>
      </c>
      <c r="D211" s="6">
        <v>112.5</v>
      </c>
      <c r="E211" s="6">
        <v>225</v>
      </c>
      <c r="F211" s="11"/>
    </row>
    <row r="212" spans="1:6">
      <c r="A212" s="5" t="str">
        <f t="shared" si="3"/>
        <v>202302</v>
      </c>
      <c r="B212" s="5" t="str">
        <f>"23085010624"</f>
        <v>23085010624</v>
      </c>
      <c r="C212" s="6">
        <v>112.5</v>
      </c>
      <c r="D212" s="6">
        <v>112</v>
      </c>
      <c r="E212" s="6">
        <v>224.5</v>
      </c>
      <c r="F212" s="11"/>
    </row>
    <row r="213" spans="1:6">
      <c r="A213" s="5" t="str">
        <f t="shared" si="3"/>
        <v>202302</v>
      </c>
      <c r="B213" s="5" t="str">
        <f>"23085011512"</f>
        <v>23085011512</v>
      </c>
      <c r="C213" s="6">
        <v>109.5</v>
      </c>
      <c r="D213" s="6">
        <v>115</v>
      </c>
      <c r="E213" s="6">
        <v>224.5</v>
      </c>
      <c r="F213" s="11"/>
    </row>
    <row r="214" spans="1:6">
      <c r="A214" s="5" t="str">
        <f t="shared" si="3"/>
        <v>202302</v>
      </c>
      <c r="B214" s="5" t="str">
        <f>"23085011717"</f>
        <v>23085011717</v>
      </c>
      <c r="C214" s="6">
        <v>109.5</v>
      </c>
      <c r="D214" s="6">
        <v>115</v>
      </c>
      <c r="E214" s="6">
        <v>224.5</v>
      </c>
      <c r="F214" s="11"/>
    </row>
    <row r="215" spans="1:6">
      <c r="A215" s="5" t="str">
        <f t="shared" si="3"/>
        <v>202302</v>
      </c>
      <c r="B215" s="5" t="str">
        <f>"23085012018"</f>
        <v>23085012018</v>
      </c>
      <c r="C215" s="6">
        <v>102</v>
      </c>
      <c r="D215" s="6">
        <v>122.5</v>
      </c>
      <c r="E215" s="6">
        <v>224.5</v>
      </c>
      <c r="F215" s="11"/>
    </row>
    <row r="216" spans="1:6">
      <c r="A216" s="5" t="str">
        <f t="shared" si="3"/>
        <v>202302</v>
      </c>
      <c r="B216" s="5" t="str">
        <f>"23085010703"</f>
        <v>23085010703</v>
      </c>
      <c r="C216" s="6">
        <v>114</v>
      </c>
      <c r="D216" s="6">
        <v>110.5</v>
      </c>
      <c r="E216" s="6">
        <v>224.5</v>
      </c>
      <c r="F216" s="11"/>
    </row>
    <row r="217" spans="1:6">
      <c r="A217" s="5" t="str">
        <f t="shared" ref="A217:A280" si="4">"202302"</f>
        <v>202302</v>
      </c>
      <c r="B217" s="5" t="str">
        <f>"23085010715"</f>
        <v>23085010715</v>
      </c>
      <c r="C217" s="6">
        <v>108</v>
      </c>
      <c r="D217" s="6">
        <v>115.5</v>
      </c>
      <c r="E217" s="6">
        <v>223.5</v>
      </c>
      <c r="F217" s="11"/>
    </row>
    <row r="218" spans="1:6">
      <c r="A218" s="5" t="str">
        <f t="shared" si="4"/>
        <v>202302</v>
      </c>
      <c r="B218" s="5" t="str">
        <f>"23085011905"</f>
        <v>23085011905</v>
      </c>
      <c r="C218" s="6">
        <v>112.5</v>
      </c>
      <c r="D218" s="6">
        <v>111</v>
      </c>
      <c r="E218" s="6">
        <v>223.5</v>
      </c>
      <c r="F218" s="11"/>
    </row>
    <row r="219" spans="1:6">
      <c r="A219" s="5" t="str">
        <f t="shared" si="4"/>
        <v>202302</v>
      </c>
      <c r="B219" s="5" t="str">
        <f>"23085011014"</f>
        <v>23085011014</v>
      </c>
      <c r="C219" s="6">
        <v>111</v>
      </c>
      <c r="D219" s="6">
        <v>112.5</v>
      </c>
      <c r="E219" s="6">
        <v>223.5</v>
      </c>
      <c r="F219" s="11"/>
    </row>
    <row r="220" spans="1:6">
      <c r="A220" s="5" t="str">
        <f t="shared" si="4"/>
        <v>202302</v>
      </c>
      <c r="B220" s="5" t="str">
        <f>"23085012001"</f>
        <v>23085012001</v>
      </c>
      <c r="C220" s="6">
        <v>109.5</v>
      </c>
      <c r="D220" s="6">
        <v>114</v>
      </c>
      <c r="E220" s="6">
        <v>223.5</v>
      </c>
      <c r="F220" s="11"/>
    </row>
    <row r="221" spans="1:6">
      <c r="A221" s="5" t="str">
        <f t="shared" si="4"/>
        <v>202302</v>
      </c>
      <c r="B221" s="5" t="str">
        <f>"23085010604"</f>
        <v>23085010604</v>
      </c>
      <c r="C221" s="6">
        <v>109.5</v>
      </c>
      <c r="D221" s="6">
        <v>113.5</v>
      </c>
      <c r="E221" s="6">
        <v>223</v>
      </c>
      <c r="F221" s="11"/>
    </row>
    <row r="222" spans="1:6">
      <c r="A222" s="5" t="str">
        <f t="shared" si="4"/>
        <v>202302</v>
      </c>
      <c r="B222" s="5" t="str">
        <f>"23085010724"</f>
        <v>23085010724</v>
      </c>
      <c r="C222" s="6">
        <v>111</v>
      </c>
      <c r="D222" s="6">
        <v>111.5</v>
      </c>
      <c r="E222" s="6">
        <v>222.5</v>
      </c>
      <c r="F222" s="11"/>
    </row>
    <row r="223" spans="1:6">
      <c r="A223" s="5" t="str">
        <f t="shared" si="4"/>
        <v>202302</v>
      </c>
      <c r="B223" s="5" t="str">
        <f>"23085011707"</f>
        <v>23085011707</v>
      </c>
      <c r="C223" s="6">
        <v>102</v>
      </c>
      <c r="D223" s="6">
        <v>120.5</v>
      </c>
      <c r="E223" s="6">
        <v>222.5</v>
      </c>
      <c r="F223" s="11"/>
    </row>
    <row r="224" spans="1:6">
      <c r="A224" s="5" t="str">
        <f t="shared" si="4"/>
        <v>202302</v>
      </c>
      <c r="B224" s="5" t="str">
        <f>"23085011823"</f>
        <v>23085011823</v>
      </c>
      <c r="C224" s="6">
        <v>108</v>
      </c>
      <c r="D224" s="6">
        <v>114.5</v>
      </c>
      <c r="E224" s="6">
        <v>222.5</v>
      </c>
      <c r="F224" s="11"/>
    </row>
    <row r="225" spans="1:6">
      <c r="A225" s="5" t="str">
        <f t="shared" si="4"/>
        <v>202302</v>
      </c>
      <c r="B225" s="5" t="str">
        <f>"23085011917"</f>
        <v>23085011917</v>
      </c>
      <c r="C225" s="6">
        <v>109.5</v>
      </c>
      <c r="D225" s="6">
        <v>113</v>
      </c>
      <c r="E225" s="6">
        <v>222.5</v>
      </c>
      <c r="F225" s="11"/>
    </row>
    <row r="226" spans="1:6">
      <c r="A226" s="5" t="str">
        <f t="shared" si="4"/>
        <v>202302</v>
      </c>
      <c r="B226" s="5" t="str">
        <f>"23085012028"</f>
        <v>23085012028</v>
      </c>
      <c r="C226" s="6">
        <v>105</v>
      </c>
      <c r="D226" s="6">
        <v>117.5</v>
      </c>
      <c r="E226" s="6">
        <v>222.5</v>
      </c>
      <c r="F226" s="11"/>
    </row>
    <row r="227" spans="1:6">
      <c r="A227" s="5" t="str">
        <f t="shared" si="4"/>
        <v>202302</v>
      </c>
      <c r="B227" s="5" t="str">
        <f>"23085011418"</f>
        <v>23085011418</v>
      </c>
      <c r="C227" s="6">
        <v>109.5</v>
      </c>
      <c r="D227" s="6">
        <v>113</v>
      </c>
      <c r="E227" s="6">
        <v>222.5</v>
      </c>
      <c r="F227" s="11"/>
    </row>
    <row r="228" spans="1:6">
      <c r="A228" s="5" t="str">
        <f t="shared" si="4"/>
        <v>202302</v>
      </c>
      <c r="B228" s="5" t="str">
        <f>"23085010911"</f>
        <v>23085010911</v>
      </c>
      <c r="C228" s="6">
        <v>114</v>
      </c>
      <c r="D228" s="6">
        <v>108</v>
      </c>
      <c r="E228" s="6">
        <v>222</v>
      </c>
      <c r="F228" s="11"/>
    </row>
    <row r="229" spans="1:6">
      <c r="A229" s="5" t="str">
        <f t="shared" si="4"/>
        <v>202302</v>
      </c>
      <c r="B229" s="5" t="str">
        <f>"23085011703"</f>
        <v>23085011703</v>
      </c>
      <c r="C229" s="6">
        <v>109.5</v>
      </c>
      <c r="D229" s="6">
        <v>112.5</v>
      </c>
      <c r="E229" s="6">
        <v>222</v>
      </c>
      <c r="F229" s="11"/>
    </row>
    <row r="230" spans="1:6">
      <c r="A230" s="5" t="str">
        <f t="shared" si="4"/>
        <v>202302</v>
      </c>
      <c r="B230" s="5" t="str">
        <f>"23085010927"</f>
        <v>23085010927</v>
      </c>
      <c r="C230" s="6">
        <v>106.5</v>
      </c>
      <c r="D230" s="6">
        <v>115</v>
      </c>
      <c r="E230" s="6">
        <v>221.5</v>
      </c>
      <c r="F230" s="11"/>
    </row>
    <row r="231" spans="1:6">
      <c r="A231" s="5" t="str">
        <f t="shared" si="4"/>
        <v>202302</v>
      </c>
      <c r="B231" s="5" t="str">
        <f>"23085011213"</f>
        <v>23085011213</v>
      </c>
      <c r="C231" s="6">
        <v>108</v>
      </c>
      <c r="D231" s="6">
        <v>113.5</v>
      </c>
      <c r="E231" s="6">
        <v>221.5</v>
      </c>
      <c r="F231" s="11"/>
    </row>
    <row r="232" spans="1:6">
      <c r="A232" s="5" t="str">
        <f t="shared" si="4"/>
        <v>202302</v>
      </c>
      <c r="B232" s="5" t="str">
        <f>"23085011513"</f>
        <v>23085011513</v>
      </c>
      <c r="C232" s="6">
        <v>111</v>
      </c>
      <c r="D232" s="6">
        <v>110.5</v>
      </c>
      <c r="E232" s="6">
        <v>221.5</v>
      </c>
      <c r="F232" s="11"/>
    </row>
    <row r="233" spans="1:6">
      <c r="A233" s="5" t="str">
        <f t="shared" si="4"/>
        <v>202302</v>
      </c>
      <c r="B233" s="5" t="str">
        <f>"23085011217"</f>
        <v>23085011217</v>
      </c>
      <c r="C233" s="6">
        <v>109.5</v>
      </c>
      <c r="D233" s="6">
        <v>111.5</v>
      </c>
      <c r="E233" s="6">
        <v>221</v>
      </c>
      <c r="F233" s="11"/>
    </row>
    <row r="234" spans="1:6">
      <c r="A234" s="5" t="str">
        <f t="shared" si="4"/>
        <v>202302</v>
      </c>
      <c r="B234" s="5" t="str">
        <f>"23085011421"</f>
        <v>23085011421</v>
      </c>
      <c r="C234" s="6">
        <v>97.5</v>
      </c>
      <c r="D234" s="6">
        <v>123</v>
      </c>
      <c r="E234" s="6">
        <v>220.5</v>
      </c>
      <c r="F234" s="11"/>
    </row>
    <row r="235" spans="1:6">
      <c r="A235" s="5" t="str">
        <f t="shared" si="4"/>
        <v>202302</v>
      </c>
      <c r="B235" s="5" t="str">
        <f>"23085011806"</f>
        <v>23085011806</v>
      </c>
      <c r="C235" s="6">
        <v>109.5</v>
      </c>
      <c r="D235" s="6">
        <v>111</v>
      </c>
      <c r="E235" s="6">
        <v>220.5</v>
      </c>
      <c r="F235" s="11"/>
    </row>
    <row r="236" spans="1:6">
      <c r="A236" s="5" t="str">
        <f t="shared" si="4"/>
        <v>202302</v>
      </c>
      <c r="B236" s="5" t="str">
        <f>"23085011327"</f>
        <v>23085011327</v>
      </c>
      <c r="C236" s="6">
        <v>106.5</v>
      </c>
      <c r="D236" s="6">
        <v>114</v>
      </c>
      <c r="E236" s="6">
        <v>220.5</v>
      </c>
      <c r="F236" s="11"/>
    </row>
    <row r="237" spans="1:6">
      <c r="A237" s="5" t="str">
        <f t="shared" si="4"/>
        <v>202302</v>
      </c>
      <c r="B237" s="5" t="str">
        <f>"23085011605"</f>
        <v>23085011605</v>
      </c>
      <c r="C237" s="6">
        <v>99</v>
      </c>
      <c r="D237" s="6">
        <v>121.5</v>
      </c>
      <c r="E237" s="6">
        <v>220.5</v>
      </c>
      <c r="F237" s="11"/>
    </row>
    <row r="238" spans="1:6">
      <c r="A238" s="5" t="str">
        <f t="shared" si="4"/>
        <v>202302</v>
      </c>
      <c r="B238" s="5" t="str">
        <f>"23085011611"</f>
        <v>23085011611</v>
      </c>
      <c r="C238" s="6">
        <v>117</v>
      </c>
      <c r="D238" s="6">
        <v>103.5</v>
      </c>
      <c r="E238" s="6">
        <v>220.5</v>
      </c>
      <c r="F238" s="11"/>
    </row>
    <row r="239" spans="1:6">
      <c r="A239" s="5" t="str">
        <f t="shared" si="4"/>
        <v>202302</v>
      </c>
      <c r="B239" s="5" t="str">
        <f>"23085010923"</f>
        <v>23085010923</v>
      </c>
      <c r="C239" s="6">
        <v>106.5</v>
      </c>
      <c r="D239" s="6">
        <v>114</v>
      </c>
      <c r="E239" s="6">
        <v>220.5</v>
      </c>
      <c r="F239" s="11"/>
    </row>
    <row r="240" spans="1:6">
      <c r="A240" s="5" t="str">
        <f t="shared" si="4"/>
        <v>202302</v>
      </c>
      <c r="B240" s="5" t="str">
        <f>"23085011810"</f>
        <v>23085011810</v>
      </c>
      <c r="C240" s="6">
        <v>105</v>
      </c>
      <c r="D240" s="6">
        <v>115.5</v>
      </c>
      <c r="E240" s="6">
        <v>220.5</v>
      </c>
      <c r="F240" s="11"/>
    </row>
    <row r="241" spans="1:6">
      <c r="A241" s="5" t="str">
        <f t="shared" si="4"/>
        <v>202302</v>
      </c>
      <c r="B241" s="5" t="str">
        <f>"23085011226"</f>
        <v>23085011226</v>
      </c>
      <c r="C241" s="6">
        <v>105</v>
      </c>
      <c r="D241" s="6">
        <v>115.5</v>
      </c>
      <c r="E241" s="6">
        <v>220.5</v>
      </c>
      <c r="F241" s="11"/>
    </row>
    <row r="242" spans="1:6">
      <c r="A242" s="5" t="str">
        <f t="shared" si="4"/>
        <v>202302</v>
      </c>
      <c r="B242" s="5" t="str">
        <f>"23085011610"</f>
        <v>23085011610</v>
      </c>
      <c r="C242" s="6">
        <v>108</v>
      </c>
      <c r="D242" s="6">
        <v>112</v>
      </c>
      <c r="E242" s="6">
        <v>220</v>
      </c>
      <c r="F242" s="11"/>
    </row>
    <row r="243" spans="1:6">
      <c r="A243" s="5" t="str">
        <f t="shared" si="4"/>
        <v>202302</v>
      </c>
      <c r="B243" s="5" t="str">
        <f>"23085011915"</f>
        <v>23085011915</v>
      </c>
      <c r="C243" s="6">
        <v>106.5</v>
      </c>
      <c r="D243" s="6">
        <v>113.5</v>
      </c>
      <c r="E243" s="6">
        <v>220</v>
      </c>
      <c r="F243" s="11"/>
    </row>
    <row r="244" spans="1:6">
      <c r="A244" s="5" t="str">
        <f t="shared" si="4"/>
        <v>202302</v>
      </c>
      <c r="B244" s="5" t="str">
        <f>"23085011706"</f>
        <v>23085011706</v>
      </c>
      <c r="C244" s="6">
        <v>105</v>
      </c>
      <c r="D244" s="6">
        <v>115</v>
      </c>
      <c r="E244" s="6">
        <v>220</v>
      </c>
      <c r="F244" s="11"/>
    </row>
    <row r="245" spans="1:6">
      <c r="A245" s="5" t="str">
        <f t="shared" si="4"/>
        <v>202302</v>
      </c>
      <c r="B245" s="5" t="str">
        <f>"23085010714"</f>
        <v>23085010714</v>
      </c>
      <c r="C245" s="6">
        <v>108</v>
      </c>
      <c r="D245" s="6">
        <v>111.5</v>
      </c>
      <c r="E245" s="6">
        <v>219.5</v>
      </c>
      <c r="F245" s="11"/>
    </row>
    <row r="246" spans="1:6">
      <c r="A246" s="5" t="str">
        <f t="shared" si="4"/>
        <v>202302</v>
      </c>
      <c r="B246" s="5" t="str">
        <f>"23085011606"</f>
        <v>23085011606</v>
      </c>
      <c r="C246" s="6">
        <v>105</v>
      </c>
      <c r="D246" s="6">
        <v>114.5</v>
      </c>
      <c r="E246" s="6">
        <v>219.5</v>
      </c>
      <c r="F246" s="11"/>
    </row>
    <row r="247" spans="1:6">
      <c r="A247" s="5" t="str">
        <f t="shared" si="4"/>
        <v>202302</v>
      </c>
      <c r="B247" s="5" t="str">
        <f>"23085011626"</f>
        <v>23085011626</v>
      </c>
      <c r="C247" s="6">
        <v>111</v>
      </c>
      <c r="D247" s="6">
        <v>108.5</v>
      </c>
      <c r="E247" s="6">
        <v>219.5</v>
      </c>
      <c r="F247" s="11"/>
    </row>
    <row r="248" spans="1:6">
      <c r="A248" s="5" t="str">
        <f t="shared" si="4"/>
        <v>202302</v>
      </c>
      <c r="B248" s="5" t="str">
        <f>"23085010609"</f>
        <v>23085010609</v>
      </c>
      <c r="C248" s="6">
        <v>109.5</v>
      </c>
      <c r="D248" s="6">
        <v>110</v>
      </c>
      <c r="E248" s="6">
        <v>219.5</v>
      </c>
      <c r="F248" s="11"/>
    </row>
    <row r="249" spans="1:6">
      <c r="A249" s="5" t="str">
        <f t="shared" si="4"/>
        <v>202302</v>
      </c>
      <c r="B249" s="5" t="str">
        <f>"23085010630"</f>
        <v>23085010630</v>
      </c>
      <c r="C249" s="6">
        <v>100.5</v>
      </c>
      <c r="D249" s="6">
        <v>119</v>
      </c>
      <c r="E249" s="6">
        <v>219.5</v>
      </c>
      <c r="F249" s="11"/>
    </row>
    <row r="250" spans="1:6">
      <c r="A250" s="5" t="str">
        <f t="shared" si="4"/>
        <v>202302</v>
      </c>
      <c r="B250" s="5" t="str">
        <f>"23085010801"</f>
        <v>23085010801</v>
      </c>
      <c r="C250" s="6">
        <v>102</v>
      </c>
      <c r="D250" s="6">
        <v>117.5</v>
      </c>
      <c r="E250" s="6">
        <v>219.5</v>
      </c>
      <c r="F250" s="11"/>
    </row>
    <row r="251" spans="1:6">
      <c r="A251" s="5" t="str">
        <f t="shared" si="4"/>
        <v>202302</v>
      </c>
      <c r="B251" s="5" t="str">
        <f>"23085011328"</f>
        <v>23085011328</v>
      </c>
      <c r="C251" s="6">
        <v>106.5</v>
      </c>
      <c r="D251" s="6">
        <v>112.5</v>
      </c>
      <c r="E251" s="6">
        <v>219</v>
      </c>
      <c r="F251" s="11"/>
    </row>
    <row r="252" spans="1:6">
      <c r="A252" s="5" t="str">
        <f t="shared" si="4"/>
        <v>202302</v>
      </c>
      <c r="B252" s="5" t="str">
        <f>"23085010909"</f>
        <v>23085010909</v>
      </c>
      <c r="C252" s="6">
        <v>102</v>
      </c>
      <c r="D252" s="6">
        <v>116.5</v>
      </c>
      <c r="E252" s="6">
        <v>218.5</v>
      </c>
      <c r="F252" s="11"/>
    </row>
    <row r="253" spans="1:6">
      <c r="A253" s="5" t="str">
        <f t="shared" si="4"/>
        <v>202302</v>
      </c>
      <c r="B253" s="5" t="str">
        <f>"23085011323"</f>
        <v>23085011323</v>
      </c>
      <c r="C253" s="6">
        <v>100.5</v>
      </c>
      <c r="D253" s="6">
        <v>118</v>
      </c>
      <c r="E253" s="6">
        <v>218.5</v>
      </c>
      <c r="F253" s="11"/>
    </row>
    <row r="254" spans="1:6">
      <c r="A254" s="5" t="str">
        <f t="shared" si="4"/>
        <v>202302</v>
      </c>
      <c r="B254" s="5" t="str">
        <f>"23085012026"</f>
        <v>23085012026</v>
      </c>
      <c r="C254" s="6">
        <v>102</v>
      </c>
      <c r="D254" s="6">
        <v>116.5</v>
      </c>
      <c r="E254" s="6">
        <v>218.5</v>
      </c>
      <c r="F254" s="11"/>
    </row>
    <row r="255" spans="1:6">
      <c r="A255" s="5" t="str">
        <f t="shared" si="4"/>
        <v>202302</v>
      </c>
      <c r="B255" s="5" t="str">
        <f>"23085011715"</f>
        <v>23085011715</v>
      </c>
      <c r="C255" s="6">
        <v>105</v>
      </c>
      <c r="D255" s="6">
        <v>113</v>
      </c>
      <c r="E255" s="6">
        <v>218</v>
      </c>
      <c r="F255" s="11"/>
    </row>
    <row r="256" spans="1:6">
      <c r="A256" s="5" t="str">
        <f t="shared" si="4"/>
        <v>202302</v>
      </c>
      <c r="B256" s="5" t="str">
        <f>"23085011514"</f>
        <v>23085011514</v>
      </c>
      <c r="C256" s="6">
        <v>109.5</v>
      </c>
      <c r="D256" s="6">
        <v>108</v>
      </c>
      <c r="E256" s="6">
        <v>217.5</v>
      </c>
      <c r="F256" s="11"/>
    </row>
    <row r="257" spans="1:6">
      <c r="A257" s="5" t="str">
        <f t="shared" si="4"/>
        <v>202302</v>
      </c>
      <c r="B257" s="5" t="str">
        <f>"23085010914"</f>
        <v>23085010914</v>
      </c>
      <c r="C257" s="6">
        <v>103.5</v>
      </c>
      <c r="D257" s="6">
        <v>114</v>
      </c>
      <c r="E257" s="6">
        <v>217.5</v>
      </c>
      <c r="F257" s="11"/>
    </row>
    <row r="258" spans="1:6">
      <c r="A258" s="5" t="str">
        <f t="shared" si="4"/>
        <v>202302</v>
      </c>
      <c r="B258" s="5" t="str">
        <f>"23085010808"</f>
        <v>23085010808</v>
      </c>
      <c r="C258" s="6">
        <v>103.5</v>
      </c>
      <c r="D258" s="6">
        <v>114</v>
      </c>
      <c r="E258" s="6">
        <v>217.5</v>
      </c>
      <c r="F258" s="11"/>
    </row>
    <row r="259" spans="1:6">
      <c r="A259" s="5" t="str">
        <f t="shared" si="4"/>
        <v>202302</v>
      </c>
      <c r="B259" s="5" t="str">
        <f>"23085012016"</f>
        <v>23085012016</v>
      </c>
      <c r="C259" s="6">
        <v>105</v>
      </c>
      <c r="D259" s="6">
        <v>112.5</v>
      </c>
      <c r="E259" s="6">
        <v>217.5</v>
      </c>
      <c r="F259" s="11"/>
    </row>
    <row r="260" spans="1:6">
      <c r="A260" s="5" t="str">
        <f t="shared" si="4"/>
        <v>202302</v>
      </c>
      <c r="B260" s="5" t="str">
        <f>"23085011325"</f>
        <v>23085011325</v>
      </c>
      <c r="C260" s="6">
        <v>108</v>
      </c>
      <c r="D260" s="6">
        <v>109</v>
      </c>
      <c r="E260" s="6">
        <v>217</v>
      </c>
      <c r="F260" s="11"/>
    </row>
    <row r="261" spans="1:6">
      <c r="A261" s="5" t="str">
        <f t="shared" si="4"/>
        <v>202302</v>
      </c>
      <c r="B261" s="5" t="str">
        <f>"23085010618"</f>
        <v>23085010618</v>
      </c>
      <c r="C261" s="6">
        <v>97.5</v>
      </c>
      <c r="D261" s="6">
        <v>119.5</v>
      </c>
      <c r="E261" s="6">
        <v>217</v>
      </c>
      <c r="F261" s="11"/>
    </row>
    <row r="262" spans="1:6">
      <c r="A262" s="5" t="str">
        <f t="shared" si="4"/>
        <v>202302</v>
      </c>
      <c r="B262" s="5" t="str">
        <f>"23085011407"</f>
        <v>23085011407</v>
      </c>
      <c r="C262" s="6">
        <v>106.5</v>
      </c>
      <c r="D262" s="6">
        <v>110.5</v>
      </c>
      <c r="E262" s="6">
        <v>217</v>
      </c>
      <c r="F262" s="11"/>
    </row>
    <row r="263" spans="1:6">
      <c r="A263" s="5" t="str">
        <f t="shared" si="4"/>
        <v>202302</v>
      </c>
      <c r="B263" s="5" t="str">
        <f>"23085011630"</f>
        <v>23085011630</v>
      </c>
      <c r="C263" s="6">
        <v>100.5</v>
      </c>
      <c r="D263" s="6">
        <v>116.5</v>
      </c>
      <c r="E263" s="6">
        <v>217</v>
      </c>
      <c r="F263" s="11"/>
    </row>
    <row r="264" spans="1:6">
      <c r="A264" s="5" t="str">
        <f t="shared" si="4"/>
        <v>202302</v>
      </c>
      <c r="B264" s="5" t="str">
        <f>"23085011916"</f>
        <v>23085011916</v>
      </c>
      <c r="C264" s="6">
        <v>106.5</v>
      </c>
      <c r="D264" s="6">
        <v>110</v>
      </c>
      <c r="E264" s="6">
        <v>216.5</v>
      </c>
      <c r="F264" s="11"/>
    </row>
    <row r="265" spans="1:6">
      <c r="A265" s="5" t="str">
        <f t="shared" si="4"/>
        <v>202302</v>
      </c>
      <c r="B265" s="5" t="str">
        <f>"23085011310"</f>
        <v>23085011310</v>
      </c>
      <c r="C265" s="6">
        <v>106.5</v>
      </c>
      <c r="D265" s="6">
        <v>110</v>
      </c>
      <c r="E265" s="6">
        <v>216.5</v>
      </c>
      <c r="F265" s="11"/>
    </row>
    <row r="266" spans="1:6">
      <c r="A266" s="5" t="str">
        <f t="shared" si="4"/>
        <v>202302</v>
      </c>
      <c r="B266" s="5" t="str">
        <f>"23085010707"</f>
        <v>23085010707</v>
      </c>
      <c r="C266" s="6">
        <v>108</v>
      </c>
      <c r="D266" s="6">
        <v>108.5</v>
      </c>
      <c r="E266" s="6">
        <v>216.5</v>
      </c>
      <c r="F266" s="11"/>
    </row>
    <row r="267" spans="1:6">
      <c r="A267" s="5" t="str">
        <f t="shared" si="4"/>
        <v>202302</v>
      </c>
      <c r="B267" s="5" t="str">
        <f>"23085011115"</f>
        <v>23085011115</v>
      </c>
      <c r="C267" s="6">
        <v>99</v>
      </c>
      <c r="D267" s="6">
        <v>117.5</v>
      </c>
      <c r="E267" s="6">
        <v>216.5</v>
      </c>
      <c r="F267" s="11"/>
    </row>
    <row r="268" spans="1:6">
      <c r="A268" s="5" t="str">
        <f t="shared" si="4"/>
        <v>202302</v>
      </c>
      <c r="B268" s="5" t="str">
        <f>"23085011507"</f>
        <v>23085011507</v>
      </c>
      <c r="C268" s="6">
        <v>105</v>
      </c>
      <c r="D268" s="6">
        <v>111.5</v>
      </c>
      <c r="E268" s="6">
        <v>216.5</v>
      </c>
      <c r="F268" s="11"/>
    </row>
    <row r="269" spans="1:6">
      <c r="A269" s="5" t="str">
        <f t="shared" si="4"/>
        <v>202302</v>
      </c>
      <c r="B269" s="5" t="str">
        <f>"23085011801"</f>
        <v>23085011801</v>
      </c>
      <c r="C269" s="6">
        <v>106.5</v>
      </c>
      <c r="D269" s="6">
        <v>110</v>
      </c>
      <c r="E269" s="6">
        <v>216.5</v>
      </c>
      <c r="F269" s="11"/>
    </row>
    <row r="270" spans="1:6">
      <c r="A270" s="5" t="str">
        <f t="shared" si="4"/>
        <v>202302</v>
      </c>
      <c r="B270" s="5" t="str">
        <f>"23085011116"</f>
        <v>23085011116</v>
      </c>
      <c r="C270" s="6">
        <v>100.5</v>
      </c>
      <c r="D270" s="6">
        <v>116</v>
      </c>
      <c r="E270" s="6">
        <v>216.5</v>
      </c>
      <c r="F270" s="11"/>
    </row>
    <row r="271" spans="1:6">
      <c r="A271" s="5" t="str">
        <f t="shared" si="4"/>
        <v>202302</v>
      </c>
      <c r="B271" s="5" t="str">
        <f>"23085010712"</f>
        <v>23085010712</v>
      </c>
      <c r="C271" s="6">
        <v>100.5</v>
      </c>
      <c r="D271" s="6">
        <v>115.5</v>
      </c>
      <c r="E271" s="6">
        <v>216</v>
      </c>
      <c r="F271" s="11"/>
    </row>
    <row r="272" spans="1:6">
      <c r="A272" s="5" t="str">
        <f t="shared" si="4"/>
        <v>202302</v>
      </c>
      <c r="B272" s="5" t="str">
        <f>"23085011826"</f>
        <v>23085011826</v>
      </c>
      <c r="C272" s="6">
        <v>103.5</v>
      </c>
      <c r="D272" s="6">
        <v>112.5</v>
      </c>
      <c r="E272" s="6">
        <v>216</v>
      </c>
      <c r="F272" s="11"/>
    </row>
    <row r="273" spans="1:6">
      <c r="A273" s="5" t="str">
        <f t="shared" si="4"/>
        <v>202302</v>
      </c>
      <c r="B273" s="5" t="str">
        <f>"23085011612"</f>
        <v>23085011612</v>
      </c>
      <c r="C273" s="6">
        <v>102</v>
      </c>
      <c r="D273" s="6">
        <v>114</v>
      </c>
      <c r="E273" s="6">
        <v>216</v>
      </c>
      <c r="F273" s="11"/>
    </row>
    <row r="274" spans="1:6">
      <c r="A274" s="5" t="str">
        <f t="shared" si="4"/>
        <v>202302</v>
      </c>
      <c r="B274" s="5" t="str">
        <f>"23085011001"</f>
        <v>23085011001</v>
      </c>
      <c r="C274" s="6">
        <v>105</v>
      </c>
      <c r="D274" s="6">
        <v>110.5</v>
      </c>
      <c r="E274" s="6">
        <v>215.5</v>
      </c>
      <c r="F274" s="11"/>
    </row>
    <row r="275" spans="1:6">
      <c r="A275" s="5" t="str">
        <f t="shared" si="4"/>
        <v>202302</v>
      </c>
      <c r="B275" s="5" t="str">
        <f>"23085010602"</f>
        <v>23085010602</v>
      </c>
      <c r="C275" s="6">
        <v>102</v>
      </c>
      <c r="D275" s="6">
        <v>113.5</v>
      </c>
      <c r="E275" s="6">
        <v>215.5</v>
      </c>
      <c r="F275" s="11"/>
    </row>
    <row r="276" spans="1:6">
      <c r="A276" s="5" t="str">
        <f t="shared" si="4"/>
        <v>202302</v>
      </c>
      <c r="B276" s="5" t="str">
        <f>"23085011126"</f>
        <v>23085011126</v>
      </c>
      <c r="C276" s="6">
        <v>102</v>
      </c>
      <c r="D276" s="6">
        <v>113.5</v>
      </c>
      <c r="E276" s="6">
        <v>215.5</v>
      </c>
      <c r="F276" s="11"/>
    </row>
    <row r="277" spans="1:6">
      <c r="A277" s="5" t="str">
        <f t="shared" si="4"/>
        <v>202302</v>
      </c>
      <c r="B277" s="5" t="str">
        <f>"23085010919"</f>
        <v>23085010919</v>
      </c>
      <c r="C277" s="6">
        <v>118.5</v>
      </c>
      <c r="D277" s="6">
        <v>97</v>
      </c>
      <c r="E277" s="6">
        <v>215.5</v>
      </c>
      <c r="F277" s="11"/>
    </row>
    <row r="278" spans="1:6">
      <c r="A278" s="5" t="str">
        <f t="shared" si="4"/>
        <v>202302</v>
      </c>
      <c r="B278" s="5" t="str">
        <f>"23085011402"</f>
        <v>23085011402</v>
      </c>
      <c r="C278" s="6">
        <v>114</v>
      </c>
      <c r="D278" s="6">
        <v>101</v>
      </c>
      <c r="E278" s="6">
        <v>215</v>
      </c>
      <c r="F278" s="11"/>
    </row>
    <row r="279" spans="1:6">
      <c r="A279" s="5" t="str">
        <f t="shared" si="4"/>
        <v>202302</v>
      </c>
      <c r="B279" s="5" t="str">
        <f>"23085011423"</f>
        <v>23085011423</v>
      </c>
      <c r="C279" s="6">
        <v>97.5</v>
      </c>
      <c r="D279" s="6">
        <v>117.5</v>
      </c>
      <c r="E279" s="6">
        <v>215</v>
      </c>
      <c r="F279" s="11"/>
    </row>
    <row r="280" spans="1:6">
      <c r="A280" s="5" t="str">
        <f t="shared" si="4"/>
        <v>202302</v>
      </c>
      <c r="B280" s="5" t="str">
        <f>"23085011523"</f>
        <v>23085011523</v>
      </c>
      <c r="C280" s="6">
        <v>100.5</v>
      </c>
      <c r="D280" s="6">
        <v>114.5</v>
      </c>
      <c r="E280" s="6">
        <v>215</v>
      </c>
      <c r="F280" s="11"/>
    </row>
    <row r="281" spans="1:6">
      <c r="A281" s="5" t="str">
        <f t="shared" ref="A281:A344" si="5">"202302"</f>
        <v>202302</v>
      </c>
      <c r="B281" s="5" t="str">
        <f>"23085011929"</f>
        <v>23085011929</v>
      </c>
      <c r="C281" s="6">
        <v>102</v>
      </c>
      <c r="D281" s="6">
        <v>113</v>
      </c>
      <c r="E281" s="6">
        <v>215</v>
      </c>
      <c r="F281" s="11"/>
    </row>
    <row r="282" spans="1:6">
      <c r="A282" s="5" t="str">
        <f t="shared" si="5"/>
        <v>202302</v>
      </c>
      <c r="B282" s="5" t="str">
        <f>"23085010916"</f>
        <v>23085010916</v>
      </c>
      <c r="C282" s="6">
        <v>94.5</v>
      </c>
      <c r="D282" s="6">
        <v>120.5</v>
      </c>
      <c r="E282" s="6">
        <v>215</v>
      </c>
      <c r="F282" s="11"/>
    </row>
    <row r="283" spans="1:6">
      <c r="A283" s="5" t="str">
        <f t="shared" si="5"/>
        <v>202302</v>
      </c>
      <c r="B283" s="5" t="str">
        <f>"23085011321"</f>
        <v>23085011321</v>
      </c>
      <c r="C283" s="6">
        <v>109.5</v>
      </c>
      <c r="D283" s="6">
        <v>105.5</v>
      </c>
      <c r="E283" s="6">
        <v>215</v>
      </c>
      <c r="F283" s="11"/>
    </row>
    <row r="284" spans="1:6">
      <c r="A284" s="5" t="str">
        <f t="shared" si="5"/>
        <v>202302</v>
      </c>
      <c r="B284" s="5" t="str">
        <f>"23085011413"</f>
        <v>23085011413</v>
      </c>
      <c r="C284" s="6">
        <v>105</v>
      </c>
      <c r="D284" s="6">
        <v>109.5</v>
      </c>
      <c r="E284" s="6">
        <v>214.5</v>
      </c>
      <c r="F284" s="11"/>
    </row>
    <row r="285" spans="1:6">
      <c r="A285" s="5" t="str">
        <f t="shared" si="5"/>
        <v>202302</v>
      </c>
      <c r="B285" s="5" t="str">
        <f>"23085011106"</f>
        <v>23085011106</v>
      </c>
      <c r="C285" s="6">
        <v>100.5</v>
      </c>
      <c r="D285" s="6">
        <v>114</v>
      </c>
      <c r="E285" s="6">
        <v>214.5</v>
      </c>
      <c r="F285" s="11"/>
    </row>
    <row r="286" spans="1:6">
      <c r="A286" s="5" t="str">
        <f t="shared" si="5"/>
        <v>202302</v>
      </c>
      <c r="B286" s="5" t="str">
        <f>"23085012019"</f>
        <v>23085012019</v>
      </c>
      <c r="C286" s="6">
        <v>97.5</v>
      </c>
      <c r="D286" s="6">
        <v>117</v>
      </c>
      <c r="E286" s="6">
        <v>214.5</v>
      </c>
      <c r="F286" s="11"/>
    </row>
    <row r="287" spans="1:6">
      <c r="A287" s="5" t="str">
        <f t="shared" si="5"/>
        <v>202302</v>
      </c>
      <c r="B287" s="5" t="str">
        <f>"23085010610"</f>
        <v>23085010610</v>
      </c>
      <c r="C287" s="6">
        <v>94.5</v>
      </c>
      <c r="D287" s="6">
        <v>119.5</v>
      </c>
      <c r="E287" s="6">
        <v>214</v>
      </c>
      <c r="F287" s="11"/>
    </row>
    <row r="288" spans="1:6">
      <c r="A288" s="5" t="str">
        <f t="shared" si="5"/>
        <v>202302</v>
      </c>
      <c r="B288" s="5" t="str">
        <f>"23085010912"</f>
        <v>23085010912</v>
      </c>
      <c r="C288" s="6">
        <v>97.5</v>
      </c>
      <c r="D288" s="6">
        <v>116.5</v>
      </c>
      <c r="E288" s="6">
        <v>214</v>
      </c>
      <c r="F288" s="11"/>
    </row>
    <row r="289" spans="1:6">
      <c r="A289" s="5" t="str">
        <f t="shared" si="5"/>
        <v>202302</v>
      </c>
      <c r="B289" s="5" t="str">
        <f>"23085011912"</f>
        <v>23085011912</v>
      </c>
      <c r="C289" s="6">
        <v>100.5</v>
      </c>
      <c r="D289" s="6">
        <v>113.5</v>
      </c>
      <c r="E289" s="6">
        <v>214</v>
      </c>
      <c r="F289" s="11"/>
    </row>
    <row r="290" spans="1:6">
      <c r="A290" s="5" t="str">
        <f t="shared" si="5"/>
        <v>202302</v>
      </c>
      <c r="B290" s="5" t="str">
        <f>"23085011110"</f>
        <v>23085011110</v>
      </c>
      <c r="C290" s="6">
        <v>100.5</v>
      </c>
      <c r="D290" s="6">
        <v>113.5</v>
      </c>
      <c r="E290" s="6">
        <v>214</v>
      </c>
      <c r="F290" s="11"/>
    </row>
    <row r="291" spans="1:6">
      <c r="A291" s="5" t="str">
        <f t="shared" si="5"/>
        <v>202302</v>
      </c>
      <c r="B291" s="5" t="str">
        <f>"23085011104"</f>
        <v>23085011104</v>
      </c>
      <c r="C291" s="6">
        <v>96</v>
      </c>
      <c r="D291" s="6">
        <v>118</v>
      </c>
      <c r="E291" s="6">
        <v>214</v>
      </c>
      <c r="F291" s="11"/>
    </row>
    <row r="292" spans="1:6">
      <c r="A292" s="5" t="str">
        <f t="shared" si="5"/>
        <v>202302</v>
      </c>
      <c r="B292" s="5" t="str">
        <f>"23085010719"</f>
        <v>23085010719</v>
      </c>
      <c r="C292" s="6">
        <v>105</v>
      </c>
      <c r="D292" s="6">
        <v>108.5</v>
      </c>
      <c r="E292" s="6">
        <v>213.5</v>
      </c>
      <c r="F292" s="11"/>
    </row>
    <row r="293" spans="1:6">
      <c r="A293" s="5" t="str">
        <f t="shared" si="5"/>
        <v>202302</v>
      </c>
      <c r="B293" s="5" t="str">
        <f>"23085010722"</f>
        <v>23085010722</v>
      </c>
      <c r="C293" s="6">
        <v>97.5</v>
      </c>
      <c r="D293" s="6">
        <v>116</v>
      </c>
      <c r="E293" s="6">
        <v>213.5</v>
      </c>
      <c r="F293" s="11"/>
    </row>
    <row r="294" spans="1:6">
      <c r="A294" s="5" t="str">
        <f t="shared" si="5"/>
        <v>202302</v>
      </c>
      <c r="B294" s="5" t="str">
        <f>"23085011008"</f>
        <v>23085011008</v>
      </c>
      <c r="C294" s="6">
        <v>105</v>
      </c>
      <c r="D294" s="6">
        <v>108</v>
      </c>
      <c r="E294" s="6">
        <v>213</v>
      </c>
      <c r="F294" s="11"/>
    </row>
    <row r="295" spans="1:6">
      <c r="A295" s="5" t="str">
        <f t="shared" si="5"/>
        <v>202302</v>
      </c>
      <c r="B295" s="5" t="str">
        <f>"23085010625"</f>
        <v>23085010625</v>
      </c>
      <c r="C295" s="6">
        <v>94.5</v>
      </c>
      <c r="D295" s="6">
        <v>118.5</v>
      </c>
      <c r="E295" s="6">
        <v>213</v>
      </c>
      <c r="F295" s="11"/>
    </row>
    <row r="296" spans="1:6">
      <c r="A296" s="5" t="str">
        <f t="shared" si="5"/>
        <v>202302</v>
      </c>
      <c r="B296" s="5" t="str">
        <f>"23085011013"</f>
        <v>23085011013</v>
      </c>
      <c r="C296" s="6">
        <v>96</v>
      </c>
      <c r="D296" s="6">
        <v>117</v>
      </c>
      <c r="E296" s="6">
        <v>213</v>
      </c>
      <c r="F296" s="11"/>
    </row>
    <row r="297" spans="1:6">
      <c r="A297" s="5" t="str">
        <f t="shared" si="5"/>
        <v>202302</v>
      </c>
      <c r="B297" s="5" t="str">
        <f>"23085011316"</f>
        <v>23085011316</v>
      </c>
      <c r="C297" s="6">
        <v>117</v>
      </c>
      <c r="D297" s="6">
        <v>96</v>
      </c>
      <c r="E297" s="6">
        <v>213</v>
      </c>
      <c r="F297" s="11"/>
    </row>
    <row r="298" spans="1:6">
      <c r="A298" s="5" t="str">
        <f t="shared" si="5"/>
        <v>202302</v>
      </c>
      <c r="B298" s="5" t="str">
        <f>"23085011102"</f>
        <v>23085011102</v>
      </c>
      <c r="C298" s="6">
        <v>99</v>
      </c>
      <c r="D298" s="6">
        <v>114</v>
      </c>
      <c r="E298" s="6">
        <v>213</v>
      </c>
      <c r="F298" s="11"/>
    </row>
    <row r="299" spans="1:6">
      <c r="A299" s="5" t="str">
        <f t="shared" si="5"/>
        <v>202302</v>
      </c>
      <c r="B299" s="5" t="str">
        <f>"23085011727"</f>
        <v>23085011727</v>
      </c>
      <c r="C299" s="6">
        <v>97.5</v>
      </c>
      <c r="D299" s="6">
        <v>115.5</v>
      </c>
      <c r="E299" s="6">
        <v>213</v>
      </c>
      <c r="F299" s="11"/>
    </row>
    <row r="300" spans="1:6">
      <c r="A300" s="5" t="str">
        <f t="shared" si="5"/>
        <v>202302</v>
      </c>
      <c r="B300" s="5" t="str">
        <f>"23085011918"</f>
        <v>23085011918</v>
      </c>
      <c r="C300" s="6">
        <v>106.5</v>
      </c>
      <c r="D300" s="6">
        <v>106</v>
      </c>
      <c r="E300" s="6">
        <v>212.5</v>
      </c>
      <c r="F300" s="11"/>
    </row>
    <row r="301" spans="1:6">
      <c r="A301" s="5" t="str">
        <f t="shared" si="5"/>
        <v>202302</v>
      </c>
      <c r="B301" s="5" t="str">
        <f>"23085011907"</f>
        <v>23085011907</v>
      </c>
      <c r="C301" s="6">
        <v>105</v>
      </c>
      <c r="D301" s="6">
        <v>107.5</v>
      </c>
      <c r="E301" s="6">
        <v>212.5</v>
      </c>
      <c r="F301" s="11"/>
    </row>
    <row r="302" spans="1:6">
      <c r="A302" s="5" t="str">
        <f t="shared" si="5"/>
        <v>202302</v>
      </c>
      <c r="B302" s="5" t="str">
        <f>"23085011603"</f>
        <v>23085011603</v>
      </c>
      <c r="C302" s="6">
        <v>93</v>
      </c>
      <c r="D302" s="6">
        <v>119.5</v>
      </c>
      <c r="E302" s="6">
        <v>212.5</v>
      </c>
      <c r="F302" s="11"/>
    </row>
    <row r="303" spans="1:6">
      <c r="A303" s="5" t="str">
        <f t="shared" si="5"/>
        <v>202302</v>
      </c>
      <c r="B303" s="5" t="str">
        <f>"23085010901"</f>
        <v>23085010901</v>
      </c>
      <c r="C303" s="6">
        <v>105</v>
      </c>
      <c r="D303" s="6">
        <v>107</v>
      </c>
      <c r="E303" s="6">
        <v>212</v>
      </c>
      <c r="F303" s="11"/>
    </row>
    <row r="304" spans="1:6">
      <c r="A304" s="5" t="str">
        <f t="shared" si="5"/>
        <v>202302</v>
      </c>
      <c r="B304" s="5" t="str">
        <f>"23085011824"</f>
        <v>23085011824</v>
      </c>
      <c r="C304" s="6">
        <v>109.5</v>
      </c>
      <c r="D304" s="6">
        <v>102.5</v>
      </c>
      <c r="E304" s="6">
        <v>212</v>
      </c>
      <c r="F304" s="11"/>
    </row>
    <row r="305" spans="1:6">
      <c r="A305" s="5" t="str">
        <f t="shared" si="5"/>
        <v>202302</v>
      </c>
      <c r="B305" s="5" t="str">
        <f>"23085011329"</f>
        <v>23085011329</v>
      </c>
      <c r="C305" s="6">
        <v>99</v>
      </c>
      <c r="D305" s="6">
        <v>113</v>
      </c>
      <c r="E305" s="6">
        <v>212</v>
      </c>
      <c r="F305" s="11"/>
    </row>
    <row r="306" spans="1:6">
      <c r="A306" s="5" t="str">
        <f t="shared" si="5"/>
        <v>202302</v>
      </c>
      <c r="B306" s="5" t="str">
        <f>"23085010627"</f>
        <v>23085010627</v>
      </c>
      <c r="C306" s="6">
        <v>102</v>
      </c>
      <c r="D306" s="6">
        <v>110</v>
      </c>
      <c r="E306" s="6">
        <v>212</v>
      </c>
      <c r="F306" s="11"/>
    </row>
    <row r="307" spans="1:6">
      <c r="A307" s="5" t="str">
        <f t="shared" si="5"/>
        <v>202302</v>
      </c>
      <c r="B307" s="5" t="str">
        <f>"23085011926"</f>
        <v>23085011926</v>
      </c>
      <c r="C307" s="6">
        <v>93</v>
      </c>
      <c r="D307" s="6">
        <v>119</v>
      </c>
      <c r="E307" s="6">
        <v>212</v>
      </c>
      <c r="F307" s="11"/>
    </row>
    <row r="308" spans="1:6">
      <c r="A308" s="5" t="str">
        <f t="shared" si="5"/>
        <v>202302</v>
      </c>
      <c r="B308" s="5" t="str">
        <f>"23085010827"</f>
        <v>23085010827</v>
      </c>
      <c r="C308" s="6">
        <v>100.5</v>
      </c>
      <c r="D308" s="6">
        <v>111.5</v>
      </c>
      <c r="E308" s="6">
        <v>212</v>
      </c>
      <c r="F308" s="11"/>
    </row>
    <row r="309" spans="1:6">
      <c r="A309" s="5" t="str">
        <f t="shared" si="5"/>
        <v>202302</v>
      </c>
      <c r="B309" s="5" t="str">
        <f>"23085010706"</f>
        <v>23085010706</v>
      </c>
      <c r="C309" s="6">
        <v>105</v>
      </c>
      <c r="D309" s="6">
        <v>106.5</v>
      </c>
      <c r="E309" s="6">
        <v>211.5</v>
      </c>
      <c r="F309" s="11"/>
    </row>
    <row r="310" spans="1:6">
      <c r="A310" s="5" t="str">
        <f t="shared" si="5"/>
        <v>202302</v>
      </c>
      <c r="B310" s="5" t="str">
        <f>"23085010823"</f>
        <v>23085010823</v>
      </c>
      <c r="C310" s="6">
        <v>102</v>
      </c>
      <c r="D310" s="6">
        <v>109.5</v>
      </c>
      <c r="E310" s="6">
        <v>211.5</v>
      </c>
      <c r="F310" s="11"/>
    </row>
    <row r="311" spans="1:6">
      <c r="A311" s="5" t="str">
        <f t="shared" si="5"/>
        <v>202302</v>
      </c>
      <c r="B311" s="5" t="str">
        <f>"23085011007"</f>
        <v>23085011007</v>
      </c>
      <c r="C311" s="6">
        <v>96</v>
      </c>
      <c r="D311" s="6">
        <v>115.5</v>
      </c>
      <c r="E311" s="6">
        <v>211.5</v>
      </c>
      <c r="F311" s="11"/>
    </row>
    <row r="312" spans="1:6">
      <c r="A312" s="5" t="str">
        <f t="shared" si="5"/>
        <v>202302</v>
      </c>
      <c r="B312" s="5" t="str">
        <f>"23085011516"</f>
        <v>23085011516</v>
      </c>
      <c r="C312" s="6">
        <v>99</v>
      </c>
      <c r="D312" s="6">
        <v>112</v>
      </c>
      <c r="E312" s="6">
        <v>211</v>
      </c>
      <c r="F312" s="11"/>
    </row>
    <row r="313" spans="1:6">
      <c r="A313" s="5" t="str">
        <f t="shared" si="5"/>
        <v>202302</v>
      </c>
      <c r="B313" s="5" t="str">
        <f>"23085011017"</f>
        <v>23085011017</v>
      </c>
      <c r="C313" s="6">
        <v>94.5</v>
      </c>
      <c r="D313" s="6">
        <v>116.5</v>
      </c>
      <c r="E313" s="6">
        <v>211</v>
      </c>
      <c r="F313" s="11"/>
    </row>
    <row r="314" spans="1:6">
      <c r="A314" s="5" t="str">
        <f t="shared" si="5"/>
        <v>202302</v>
      </c>
      <c r="B314" s="5" t="str">
        <f>"23085011308"</f>
        <v>23085011308</v>
      </c>
      <c r="C314" s="6">
        <v>96</v>
      </c>
      <c r="D314" s="6">
        <v>115</v>
      </c>
      <c r="E314" s="6">
        <v>211</v>
      </c>
      <c r="F314" s="11"/>
    </row>
    <row r="315" spans="1:6">
      <c r="A315" s="5" t="str">
        <f t="shared" si="5"/>
        <v>202302</v>
      </c>
      <c r="B315" s="5" t="str">
        <f>"23085011417"</f>
        <v>23085011417</v>
      </c>
      <c r="C315" s="6">
        <v>102</v>
      </c>
      <c r="D315" s="6">
        <v>109</v>
      </c>
      <c r="E315" s="6">
        <v>211</v>
      </c>
      <c r="F315" s="11"/>
    </row>
    <row r="316" spans="1:6">
      <c r="A316" s="5" t="str">
        <f t="shared" si="5"/>
        <v>202302</v>
      </c>
      <c r="B316" s="5" t="str">
        <f>"23085011313"</f>
        <v>23085011313</v>
      </c>
      <c r="C316" s="6">
        <v>103.5</v>
      </c>
      <c r="D316" s="6">
        <v>107</v>
      </c>
      <c r="E316" s="6">
        <v>210.5</v>
      </c>
      <c r="F316" s="11"/>
    </row>
    <row r="317" spans="1:6">
      <c r="A317" s="5" t="str">
        <f t="shared" si="5"/>
        <v>202302</v>
      </c>
      <c r="B317" s="5" t="str">
        <f>"23085011009"</f>
        <v>23085011009</v>
      </c>
      <c r="C317" s="6">
        <v>99</v>
      </c>
      <c r="D317" s="6">
        <v>110.5</v>
      </c>
      <c r="E317" s="6">
        <v>209.5</v>
      </c>
      <c r="F317" s="11"/>
    </row>
    <row r="318" spans="1:6">
      <c r="A318" s="5" t="str">
        <f t="shared" si="5"/>
        <v>202302</v>
      </c>
      <c r="B318" s="5" t="str">
        <f>"23085010611"</f>
        <v>23085010611</v>
      </c>
      <c r="C318" s="6">
        <v>97.5</v>
      </c>
      <c r="D318" s="6">
        <v>112</v>
      </c>
      <c r="E318" s="6">
        <v>209.5</v>
      </c>
      <c r="F318" s="11"/>
    </row>
    <row r="319" spans="1:6">
      <c r="A319" s="5" t="str">
        <f t="shared" si="5"/>
        <v>202302</v>
      </c>
      <c r="B319" s="5" t="str">
        <f>"23085011214"</f>
        <v>23085011214</v>
      </c>
      <c r="C319" s="6">
        <v>96</v>
      </c>
      <c r="D319" s="6">
        <v>113</v>
      </c>
      <c r="E319" s="6">
        <v>209</v>
      </c>
      <c r="F319" s="11"/>
    </row>
    <row r="320" spans="1:6">
      <c r="A320" s="5" t="str">
        <f t="shared" si="5"/>
        <v>202302</v>
      </c>
      <c r="B320" s="5" t="str">
        <f>"23085010910"</f>
        <v>23085010910</v>
      </c>
      <c r="C320" s="6">
        <v>94.5</v>
      </c>
      <c r="D320" s="6">
        <v>114.5</v>
      </c>
      <c r="E320" s="6">
        <v>209</v>
      </c>
      <c r="F320" s="11"/>
    </row>
    <row r="321" spans="1:6">
      <c r="A321" s="5" t="str">
        <f t="shared" si="5"/>
        <v>202302</v>
      </c>
      <c r="B321" s="5" t="str">
        <f>"23085011312"</f>
        <v>23085011312</v>
      </c>
      <c r="C321" s="6">
        <v>105</v>
      </c>
      <c r="D321" s="6">
        <v>103.5</v>
      </c>
      <c r="E321" s="6">
        <v>208.5</v>
      </c>
      <c r="F321" s="11"/>
    </row>
    <row r="322" spans="1:6">
      <c r="A322" s="5" t="str">
        <f t="shared" si="5"/>
        <v>202302</v>
      </c>
      <c r="B322" s="5" t="str">
        <f>"23085010617"</f>
        <v>23085010617</v>
      </c>
      <c r="C322" s="6">
        <v>88.5</v>
      </c>
      <c r="D322" s="6">
        <v>120</v>
      </c>
      <c r="E322" s="6">
        <v>208.5</v>
      </c>
      <c r="F322" s="11"/>
    </row>
    <row r="323" spans="1:6">
      <c r="A323" s="5" t="str">
        <f t="shared" si="5"/>
        <v>202302</v>
      </c>
      <c r="B323" s="5" t="str">
        <f>"23085011004"</f>
        <v>23085011004</v>
      </c>
      <c r="C323" s="6">
        <v>99</v>
      </c>
      <c r="D323" s="6">
        <v>109</v>
      </c>
      <c r="E323" s="6">
        <v>208</v>
      </c>
      <c r="F323" s="11"/>
    </row>
    <row r="324" spans="1:6">
      <c r="A324" s="5" t="str">
        <f t="shared" si="5"/>
        <v>202302</v>
      </c>
      <c r="B324" s="5" t="str">
        <f>"23085010603"</f>
        <v>23085010603</v>
      </c>
      <c r="C324" s="6">
        <v>93</v>
      </c>
      <c r="D324" s="6">
        <v>115</v>
      </c>
      <c r="E324" s="6">
        <v>208</v>
      </c>
      <c r="F324" s="11"/>
    </row>
    <row r="325" spans="1:6">
      <c r="A325" s="5" t="str">
        <f t="shared" si="5"/>
        <v>202302</v>
      </c>
      <c r="B325" s="5" t="str">
        <f>"23085011314"</f>
        <v>23085011314</v>
      </c>
      <c r="C325" s="6">
        <v>91.5</v>
      </c>
      <c r="D325" s="6">
        <v>116</v>
      </c>
      <c r="E325" s="6">
        <v>207.5</v>
      </c>
      <c r="F325" s="11"/>
    </row>
    <row r="326" spans="1:6">
      <c r="A326" s="5" t="str">
        <f t="shared" si="5"/>
        <v>202302</v>
      </c>
      <c r="B326" s="5" t="str">
        <f>"23085011026"</f>
        <v>23085011026</v>
      </c>
      <c r="C326" s="6">
        <v>97.5</v>
      </c>
      <c r="D326" s="6">
        <v>110</v>
      </c>
      <c r="E326" s="6">
        <v>207.5</v>
      </c>
      <c r="F326" s="11"/>
    </row>
    <row r="327" spans="1:6">
      <c r="A327" s="5" t="str">
        <f t="shared" si="5"/>
        <v>202302</v>
      </c>
      <c r="B327" s="5" t="str">
        <f>"23085011409"</f>
        <v>23085011409</v>
      </c>
      <c r="C327" s="6">
        <v>100.5</v>
      </c>
      <c r="D327" s="6">
        <v>107</v>
      </c>
      <c r="E327" s="6">
        <v>207.5</v>
      </c>
      <c r="F327" s="11"/>
    </row>
    <row r="328" spans="1:6">
      <c r="A328" s="5" t="str">
        <f t="shared" si="5"/>
        <v>202302</v>
      </c>
      <c r="B328" s="5" t="str">
        <f>"23085011304"</f>
        <v>23085011304</v>
      </c>
      <c r="C328" s="6">
        <v>100.5</v>
      </c>
      <c r="D328" s="6">
        <v>107</v>
      </c>
      <c r="E328" s="6">
        <v>207.5</v>
      </c>
      <c r="F328" s="11"/>
    </row>
    <row r="329" spans="1:6">
      <c r="A329" s="5" t="str">
        <f t="shared" si="5"/>
        <v>202302</v>
      </c>
      <c r="B329" s="5" t="str">
        <f>"23085012013"</f>
        <v>23085012013</v>
      </c>
      <c r="C329" s="6">
        <v>97.5</v>
      </c>
      <c r="D329" s="6">
        <v>110</v>
      </c>
      <c r="E329" s="6">
        <v>207.5</v>
      </c>
      <c r="F329" s="11"/>
    </row>
    <row r="330" spans="1:6">
      <c r="A330" s="5" t="str">
        <f t="shared" si="5"/>
        <v>202302</v>
      </c>
      <c r="B330" s="5" t="str">
        <f>"23085010620"</f>
        <v>23085010620</v>
      </c>
      <c r="C330" s="6">
        <v>88.5</v>
      </c>
      <c r="D330" s="6">
        <v>118.5</v>
      </c>
      <c r="E330" s="6">
        <v>207</v>
      </c>
      <c r="F330" s="11"/>
    </row>
    <row r="331" spans="1:6">
      <c r="A331" s="5" t="str">
        <f t="shared" si="5"/>
        <v>202302</v>
      </c>
      <c r="B331" s="5" t="str">
        <f>"23085010708"</f>
        <v>23085010708</v>
      </c>
      <c r="C331" s="6">
        <v>88.5</v>
      </c>
      <c r="D331" s="6">
        <v>118.5</v>
      </c>
      <c r="E331" s="6">
        <v>207</v>
      </c>
      <c r="F331" s="11"/>
    </row>
    <row r="332" spans="1:6">
      <c r="A332" s="5" t="str">
        <f t="shared" si="5"/>
        <v>202302</v>
      </c>
      <c r="B332" s="5" t="str">
        <f>"23085010709"</f>
        <v>23085010709</v>
      </c>
      <c r="C332" s="6">
        <v>108</v>
      </c>
      <c r="D332" s="6">
        <v>99</v>
      </c>
      <c r="E332" s="6">
        <v>207</v>
      </c>
      <c r="F332" s="11"/>
    </row>
    <row r="333" spans="1:6">
      <c r="A333" s="5" t="str">
        <f t="shared" si="5"/>
        <v>202302</v>
      </c>
      <c r="B333" s="5" t="str">
        <f>"23085010907"</f>
        <v>23085010907</v>
      </c>
      <c r="C333" s="6">
        <v>94.5</v>
      </c>
      <c r="D333" s="6">
        <v>112</v>
      </c>
      <c r="E333" s="6">
        <v>206.5</v>
      </c>
      <c r="F333" s="11"/>
    </row>
    <row r="334" spans="1:6">
      <c r="A334" s="5" t="str">
        <f t="shared" si="5"/>
        <v>202302</v>
      </c>
      <c r="B334" s="5" t="str">
        <f>"23085011427"</f>
        <v>23085011427</v>
      </c>
      <c r="C334" s="6">
        <v>96</v>
      </c>
      <c r="D334" s="6">
        <v>110.5</v>
      </c>
      <c r="E334" s="6">
        <v>206.5</v>
      </c>
      <c r="F334" s="11"/>
    </row>
    <row r="335" spans="1:6">
      <c r="A335" s="5" t="str">
        <f t="shared" si="5"/>
        <v>202302</v>
      </c>
      <c r="B335" s="5" t="str">
        <f>"23085011113"</f>
        <v>23085011113</v>
      </c>
      <c r="C335" s="6">
        <v>96</v>
      </c>
      <c r="D335" s="6">
        <v>110.5</v>
      </c>
      <c r="E335" s="6">
        <v>206.5</v>
      </c>
      <c r="F335" s="11"/>
    </row>
    <row r="336" spans="1:6">
      <c r="A336" s="5" t="str">
        <f t="shared" si="5"/>
        <v>202302</v>
      </c>
      <c r="B336" s="5" t="str">
        <f>"23085010615"</f>
        <v>23085010615</v>
      </c>
      <c r="C336" s="6">
        <v>99</v>
      </c>
      <c r="D336" s="6">
        <v>107</v>
      </c>
      <c r="E336" s="6">
        <v>206</v>
      </c>
      <c r="F336" s="11"/>
    </row>
    <row r="337" spans="1:6">
      <c r="A337" s="5" t="str">
        <f t="shared" si="5"/>
        <v>202302</v>
      </c>
      <c r="B337" s="5" t="str">
        <f>"23085011411"</f>
        <v>23085011411</v>
      </c>
      <c r="C337" s="6">
        <v>106.5</v>
      </c>
      <c r="D337" s="6">
        <v>99.5</v>
      </c>
      <c r="E337" s="6">
        <v>206</v>
      </c>
      <c r="F337" s="11"/>
    </row>
    <row r="338" spans="1:6">
      <c r="A338" s="5" t="str">
        <f t="shared" si="5"/>
        <v>202302</v>
      </c>
      <c r="B338" s="5" t="str">
        <f>"23085011711"</f>
        <v>23085011711</v>
      </c>
      <c r="C338" s="6">
        <v>87</v>
      </c>
      <c r="D338" s="6">
        <v>119</v>
      </c>
      <c r="E338" s="6">
        <v>206</v>
      </c>
      <c r="F338" s="11"/>
    </row>
    <row r="339" spans="1:6">
      <c r="A339" s="5" t="str">
        <f t="shared" si="5"/>
        <v>202302</v>
      </c>
      <c r="B339" s="5" t="str">
        <f>"23085011003"</f>
        <v>23085011003</v>
      </c>
      <c r="C339" s="6">
        <v>91.5</v>
      </c>
      <c r="D339" s="6">
        <v>114.5</v>
      </c>
      <c r="E339" s="6">
        <v>206</v>
      </c>
      <c r="F339" s="11"/>
    </row>
    <row r="340" spans="1:6">
      <c r="A340" s="5" t="str">
        <f t="shared" si="5"/>
        <v>202302</v>
      </c>
      <c r="B340" s="5" t="str">
        <f>"23085012006"</f>
        <v>23085012006</v>
      </c>
      <c r="C340" s="6">
        <v>97.5</v>
      </c>
      <c r="D340" s="6">
        <v>108.5</v>
      </c>
      <c r="E340" s="6">
        <v>206</v>
      </c>
      <c r="F340" s="11"/>
    </row>
    <row r="341" spans="1:6">
      <c r="A341" s="5" t="str">
        <f t="shared" si="5"/>
        <v>202302</v>
      </c>
      <c r="B341" s="5" t="str">
        <f>"23085011108"</f>
        <v>23085011108</v>
      </c>
      <c r="C341" s="6">
        <v>99</v>
      </c>
      <c r="D341" s="6">
        <v>107</v>
      </c>
      <c r="E341" s="6">
        <v>206</v>
      </c>
      <c r="F341" s="11"/>
    </row>
    <row r="342" spans="1:6">
      <c r="A342" s="5" t="str">
        <f t="shared" si="5"/>
        <v>202302</v>
      </c>
      <c r="B342" s="5" t="str">
        <f>"23085010704"</f>
        <v>23085010704</v>
      </c>
      <c r="C342" s="6">
        <v>96</v>
      </c>
      <c r="D342" s="6">
        <v>110</v>
      </c>
      <c r="E342" s="6">
        <v>206</v>
      </c>
      <c r="F342" s="11"/>
    </row>
    <row r="343" spans="1:6">
      <c r="A343" s="5" t="str">
        <f t="shared" si="5"/>
        <v>202302</v>
      </c>
      <c r="B343" s="5" t="str">
        <f>"23085010818"</f>
        <v>23085010818</v>
      </c>
      <c r="C343" s="6">
        <v>97.5</v>
      </c>
      <c r="D343" s="6">
        <v>108</v>
      </c>
      <c r="E343" s="6">
        <v>205.5</v>
      </c>
      <c r="F343" s="11"/>
    </row>
    <row r="344" spans="1:6">
      <c r="A344" s="5" t="str">
        <f t="shared" si="5"/>
        <v>202302</v>
      </c>
      <c r="B344" s="5" t="str">
        <f>"23085011221"</f>
        <v>23085011221</v>
      </c>
      <c r="C344" s="6">
        <v>100.5</v>
      </c>
      <c r="D344" s="6">
        <v>105</v>
      </c>
      <c r="E344" s="6">
        <v>205.5</v>
      </c>
      <c r="F344" s="11"/>
    </row>
    <row r="345" spans="1:6">
      <c r="A345" s="5" t="str">
        <f t="shared" ref="A345:A408" si="6">"202302"</f>
        <v>202302</v>
      </c>
      <c r="B345" s="5" t="str">
        <f>"23085011317"</f>
        <v>23085011317</v>
      </c>
      <c r="C345" s="6">
        <v>93</v>
      </c>
      <c r="D345" s="6">
        <v>112.5</v>
      </c>
      <c r="E345" s="6">
        <v>205.5</v>
      </c>
      <c r="F345" s="11"/>
    </row>
    <row r="346" spans="1:6">
      <c r="A346" s="5" t="str">
        <f t="shared" si="6"/>
        <v>202302</v>
      </c>
      <c r="B346" s="5" t="str">
        <f>"23085011519"</f>
        <v>23085011519</v>
      </c>
      <c r="C346" s="6">
        <v>91.5</v>
      </c>
      <c r="D346" s="6">
        <v>113.5</v>
      </c>
      <c r="E346" s="6">
        <v>205</v>
      </c>
      <c r="F346" s="11"/>
    </row>
    <row r="347" spans="1:6">
      <c r="A347" s="5" t="str">
        <f t="shared" si="6"/>
        <v>202302</v>
      </c>
      <c r="B347" s="5" t="str">
        <f>"23085011207"</f>
        <v>23085011207</v>
      </c>
      <c r="C347" s="6">
        <v>90</v>
      </c>
      <c r="D347" s="6">
        <v>115</v>
      </c>
      <c r="E347" s="6">
        <v>205</v>
      </c>
      <c r="F347" s="11"/>
    </row>
    <row r="348" spans="1:6">
      <c r="A348" s="5" t="str">
        <f t="shared" si="6"/>
        <v>202302</v>
      </c>
      <c r="B348" s="5" t="str">
        <f>"23085010720"</f>
        <v>23085010720</v>
      </c>
      <c r="C348" s="6">
        <v>103.5</v>
      </c>
      <c r="D348" s="6">
        <v>101.5</v>
      </c>
      <c r="E348" s="6">
        <v>205</v>
      </c>
      <c r="F348" s="11"/>
    </row>
    <row r="349" spans="1:6">
      <c r="A349" s="5" t="str">
        <f t="shared" si="6"/>
        <v>202302</v>
      </c>
      <c r="B349" s="5" t="str">
        <f>"23085011802"</f>
        <v>23085011802</v>
      </c>
      <c r="C349" s="6">
        <v>91.5</v>
      </c>
      <c r="D349" s="6">
        <v>113.5</v>
      </c>
      <c r="E349" s="6">
        <v>205</v>
      </c>
      <c r="F349" s="11"/>
    </row>
    <row r="350" spans="1:6">
      <c r="A350" s="5" t="str">
        <f t="shared" si="6"/>
        <v>202302</v>
      </c>
      <c r="B350" s="5" t="str">
        <f>"23085011206"</f>
        <v>23085011206</v>
      </c>
      <c r="C350" s="6">
        <v>96</v>
      </c>
      <c r="D350" s="6">
        <v>108.5</v>
      </c>
      <c r="E350" s="6">
        <v>204.5</v>
      </c>
      <c r="F350" s="11"/>
    </row>
    <row r="351" spans="1:6">
      <c r="A351" s="5" t="str">
        <f t="shared" si="6"/>
        <v>202302</v>
      </c>
      <c r="B351" s="5" t="str">
        <f>"23085012103"</f>
        <v>23085012103</v>
      </c>
      <c r="C351" s="6">
        <v>88.5</v>
      </c>
      <c r="D351" s="6">
        <v>115.5</v>
      </c>
      <c r="E351" s="6">
        <v>204</v>
      </c>
      <c r="F351" s="11"/>
    </row>
    <row r="352" spans="1:6">
      <c r="A352" s="5" t="str">
        <f t="shared" si="6"/>
        <v>202302</v>
      </c>
      <c r="B352" s="5" t="str">
        <f>"23085011018"</f>
        <v>23085011018</v>
      </c>
      <c r="C352" s="6">
        <v>97.5</v>
      </c>
      <c r="D352" s="6">
        <v>106.5</v>
      </c>
      <c r="E352" s="6">
        <v>204</v>
      </c>
      <c r="F352" s="11"/>
    </row>
    <row r="353" spans="1:6">
      <c r="A353" s="5" t="str">
        <f t="shared" si="6"/>
        <v>202302</v>
      </c>
      <c r="B353" s="5" t="str">
        <f>"23085011405"</f>
        <v>23085011405</v>
      </c>
      <c r="C353" s="6">
        <v>96</v>
      </c>
      <c r="D353" s="6">
        <v>108</v>
      </c>
      <c r="E353" s="6">
        <v>204</v>
      </c>
      <c r="F353" s="11"/>
    </row>
    <row r="354" spans="1:6">
      <c r="A354" s="5" t="str">
        <f t="shared" si="6"/>
        <v>202302</v>
      </c>
      <c r="B354" s="5" t="str">
        <f>"23085011820"</f>
        <v>23085011820</v>
      </c>
      <c r="C354" s="6">
        <v>87</v>
      </c>
      <c r="D354" s="6">
        <v>116.5</v>
      </c>
      <c r="E354" s="6">
        <v>203.5</v>
      </c>
      <c r="F354" s="11"/>
    </row>
    <row r="355" spans="1:6">
      <c r="A355" s="5" t="str">
        <f t="shared" si="6"/>
        <v>202302</v>
      </c>
      <c r="B355" s="5" t="str">
        <f>"23085011705"</f>
        <v>23085011705</v>
      </c>
      <c r="C355" s="6">
        <v>88.5</v>
      </c>
      <c r="D355" s="6">
        <v>115</v>
      </c>
      <c r="E355" s="6">
        <v>203.5</v>
      </c>
      <c r="F355" s="11"/>
    </row>
    <row r="356" spans="1:6">
      <c r="A356" s="5" t="str">
        <f t="shared" si="6"/>
        <v>202302</v>
      </c>
      <c r="B356" s="5" t="str">
        <f>"23085010815"</f>
        <v>23085010815</v>
      </c>
      <c r="C356" s="6">
        <v>91.5</v>
      </c>
      <c r="D356" s="6">
        <v>111.5</v>
      </c>
      <c r="E356" s="6">
        <v>203</v>
      </c>
      <c r="F356" s="11"/>
    </row>
    <row r="357" spans="1:6">
      <c r="A357" s="5" t="str">
        <f t="shared" si="6"/>
        <v>202302</v>
      </c>
      <c r="B357" s="5" t="str">
        <f>"23085011404"</f>
        <v>23085011404</v>
      </c>
      <c r="C357" s="6">
        <v>93</v>
      </c>
      <c r="D357" s="6">
        <v>110</v>
      </c>
      <c r="E357" s="6">
        <v>203</v>
      </c>
      <c r="F357" s="11"/>
    </row>
    <row r="358" spans="1:6">
      <c r="A358" s="5" t="str">
        <f t="shared" si="6"/>
        <v>202302</v>
      </c>
      <c r="B358" s="5" t="str">
        <f>"23085011020"</f>
        <v>23085011020</v>
      </c>
      <c r="C358" s="6">
        <v>87</v>
      </c>
      <c r="D358" s="6">
        <v>116</v>
      </c>
      <c r="E358" s="6">
        <v>203</v>
      </c>
      <c r="F358" s="11"/>
    </row>
    <row r="359" spans="1:6">
      <c r="A359" s="5" t="str">
        <f t="shared" si="6"/>
        <v>202302</v>
      </c>
      <c r="B359" s="5" t="str">
        <f>"23085011708"</f>
        <v>23085011708</v>
      </c>
      <c r="C359" s="6">
        <v>87</v>
      </c>
      <c r="D359" s="6">
        <v>115.5</v>
      </c>
      <c r="E359" s="6">
        <v>202.5</v>
      </c>
      <c r="F359" s="11"/>
    </row>
    <row r="360" spans="1:6">
      <c r="A360" s="5" t="str">
        <f t="shared" si="6"/>
        <v>202302</v>
      </c>
      <c r="B360" s="5" t="str">
        <f>"23085012015"</f>
        <v>23085012015</v>
      </c>
      <c r="C360" s="6">
        <v>96</v>
      </c>
      <c r="D360" s="6">
        <v>106.5</v>
      </c>
      <c r="E360" s="6">
        <v>202.5</v>
      </c>
      <c r="F360" s="11"/>
    </row>
    <row r="361" spans="1:6">
      <c r="A361" s="5" t="str">
        <f t="shared" si="6"/>
        <v>202302</v>
      </c>
      <c r="B361" s="5" t="str">
        <f>"23085010826"</f>
        <v>23085010826</v>
      </c>
      <c r="C361" s="6">
        <v>93</v>
      </c>
      <c r="D361" s="6">
        <v>109</v>
      </c>
      <c r="E361" s="6">
        <v>202</v>
      </c>
      <c r="F361" s="11"/>
    </row>
    <row r="362" spans="1:6">
      <c r="A362" s="5" t="str">
        <f t="shared" si="6"/>
        <v>202302</v>
      </c>
      <c r="B362" s="5" t="str">
        <f>"23085011105"</f>
        <v>23085011105</v>
      </c>
      <c r="C362" s="6">
        <v>94.5</v>
      </c>
      <c r="D362" s="6">
        <v>107.5</v>
      </c>
      <c r="E362" s="6">
        <v>202</v>
      </c>
      <c r="F362" s="11"/>
    </row>
    <row r="363" spans="1:6">
      <c r="A363" s="5" t="str">
        <f t="shared" si="6"/>
        <v>202302</v>
      </c>
      <c r="B363" s="5" t="str">
        <f>"23085011307"</f>
        <v>23085011307</v>
      </c>
      <c r="C363" s="6">
        <v>87</v>
      </c>
      <c r="D363" s="6">
        <v>115</v>
      </c>
      <c r="E363" s="6">
        <v>202</v>
      </c>
      <c r="F363" s="11"/>
    </row>
    <row r="364" spans="1:6">
      <c r="A364" s="5" t="str">
        <f t="shared" si="6"/>
        <v>202302</v>
      </c>
      <c r="B364" s="5" t="str">
        <f>"23085010810"</f>
        <v>23085010810</v>
      </c>
      <c r="C364" s="6">
        <v>90</v>
      </c>
      <c r="D364" s="6">
        <v>111.5</v>
      </c>
      <c r="E364" s="6">
        <v>201.5</v>
      </c>
      <c r="F364" s="11"/>
    </row>
    <row r="365" spans="1:6">
      <c r="A365" s="5" t="str">
        <f t="shared" si="6"/>
        <v>202302</v>
      </c>
      <c r="B365" s="5" t="str">
        <f>"23085010626"</f>
        <v>23085010626</v>
      </c>
      <c r="C365" s="6">
        <v>96</v>
      </c>
      <c r="D365" s="6">
        <v>105.5</v>
      </c>
      <c r="E365" s="6">
        <v>201.5</v>
      </c>
      <c r="F365" s="11"/>
    </row>
    <row r="366" spans="1:6">
      <c r="A366" s="5" t="str">
        <f t="shared" si="6"/>
        <v>202302</v>
      </c>
      <c r="B366" s="5" t="str">
        <f>"23085011619"</f>
        <v>23085011619</v>
      </c>
      <c r="C366" s="6">
        <v>90</v>
      </c>
      <c r="D366" s="6">
        <v>111</v>
      </c>
      <c r="E366" s="6">
        <v>201</v>
      </c>
      <c r="F366" s="11"/>
    </row>
    <row r="367" spans="1:6">
      <c r="A367" s="5" t="str">
        <f t="shared" si="6"/>
        <v>202302</v>
      </c>
      <c r="B367" s="5" t="str">
        <f>"23085011315"</f>
        <v>23085011315</v>
      </c>
      <c r="C367" s="6">
        <v>85.5</v>
      </c>
      <c r="D367" s="6">
        <v>115</v>
      </c>
      <c r="E367" s="6">
        <v>200.5</v>
      </c>
      <c r="F367" s="11"/>
    </row>
    <row r="368" spans="1:6">
      <c r="A368" s="5" t="str">
        <f t="shared" si="6"/>
        <v>202302</v>
      </c>
      <c r="B368" s="5" t="str">
        <f>"23085010822"</f>
        <v>23085010822</v>
      </c>
      <c r="C368" s="6">
        <v>109.5</v>
      </c>
      <c r="D368" s="6">
        <v>90.5</v>
      </c>
      <c r="E368" s="6">
        <v>200</v>
      </c>
      <c r="F368" s="11"/>
    </row>
    <row r="369" spans="1:6">
      <c r="A369" s="5" t="str">
        <f t="shared" si="6"/>
        <v>202302</v>
      </c>
      <c r="B369" s="5" t="str">
        <f>"23085010920"</f>
        <v>23085010920</v>
      </c>
      <c r="C369" s="6">
        <v>84</v>
      </c>
      <c r="D369" s="6">
        <v>116</v>
      </c>
      <c r="E369" s="6">
        <v>200</v>
      </c>
      <c r="F369" s="11"/>
    </row>
    <row r="370" spans="1:6">
      <c r="A370" s="5" t="str">
        <f t="shared" si="6"/>
        <v>202302</v>
      </c>
      <c r="B370" s="5" t="str">
        <f>"23085011303"</f>
        <v>23085011303</v>
      </c>
      <c r="C370" s="6">
        <v>97.5</v>
      </c>
      <c r="D370" s="6">
        <v>102.5</v>
      </c>
      <c r="E370" s="6">
        <v>200</v>
      </c>
      <c r="F370" s="11"/>
    </row>
    <row r="371" spans="1:6">
      <c r="A371" s="5" t="str">
        <f t="shared" si="6"/>
        <v>202302</v>
      </c>
      <c r="B371" s="5" t="str">
        <f>"23085011524"</f>
        <v>23085011524</v>
      </c>
      <c r="C371" s="6">
        <v>93</v>
      </c>
      <c r="D371" s="6">
        <v>107</v>
      </c>
      <c r="E371" s="6">
        <v>200</v>
      </c>
      <c r="F371" s="11"/>
    </row>
    <row r="372" spans="1:6">
      <c r="A372" s="5" t="str">
        <f t="shared" si="6"/>
        <v>202302</v>
      </c>
      <c r="B372" s="5" t="str">
        <f>"23085011807"</f>
        <v>23085011807</v>
      </c>
      <c r="C372" s="6">
        <v>84</v>
      </c>
      <c r="D372" s="6">
        <v>116</v>
      </c>
      <c r="E372" s="6">
        <v>200</v>
      </c>
      <c r="F372" s="11"/>
    </row>
    <row r="373" spans="1:6">
      <c r="A373" s="5" t="str">
        <f t="shared" si="6"/>
        <v>202302</v>
      </c>
      <c r="B373" s="5" t="str">
        <f>"23085011230"</f>
        <v>23085011230</v>
      </c>
      <c r="C373" s="6">
        <v>94.5</v>
      </c>
      <c r="D373" s="6">
        <v>105</v>
      </c>
      <c r="E373" s="6">
        <v>199.5</v>
      </c>
      <c r="F373" s="11"/>
    </row>
    <row r="374" spans="1:6">
      <c r="A374" s="5" t="str">
        <f t="shared" si="6"/>
        <v>202302</v>
      </c>
      <c r="B374" s="5" t="str">
        <f>"23085012002"</f>
        <v>23085012002</v>
      </c>
      <c r="C374" s="6">
        <v>91.5</v>
      </c>
      <c r="D374" s="6">
        <v>108</v>
      </c>
      <c r="E374" s="6">
        <v>199.5</v>
      </c>
      <c r="F374" s="11"/>
    </row>
    <row r="375" spans="1:6">
      <c r="A375" s="5" t="str">
        <f t="shared" si="6"/>
        <v>202302</v>
      </c>
      <c r="B375" s="5" t="str">
        <f>"23085011704"</f>
        <v>23085011704</v>
      </c>
      <c r="C375" s="6">
        <v>82.5</v>
      </c>
      <c r="D375" s="6">
        <v>117</v>
      </c>
      <c r="E375" s="6">
        <v>199.5</v>
      </c>
      <c r="F375" s="11"/>
    </row>
    <row r="376" spans="1:6">
      <c r="A376" s="5" t="str">
        <f t="shared" si="6"/>
        <v>202302</v>
      </c>
      <c r="B376" s="5" t="str">
        <f>"23085011812"</f>
        <v>23085011812</v>
      </c>
      <c r="C376" s="6">
        <v>96</v>
      </c>
      <c r="D376" s="6">
        <v>103.5</v>
      </c>
      <c r="E376" s="6">
        <v>199.5</v>
      </c>
      <c r="F376" s="11"/>
    </row>
    <row r="377" spans="1:6">
      <c r="A377" s="5" t="str">
        <f t="shared" si="6"/>
        <v>202302</v>
      </c>
      <c r="B377" s="5" t="str">
        <f>"23085010628"</f>
        <v>23085010628</v>
      </c>
      <c r="C377" s="6">
        <v>88.5</v>
      </c>
      <c r="D377" s="6">
        <v>110</v>
      </c>
      <c r="E377" s="6">
        <v>198.5</v>
      </c>
      <c r="F377" s="11"/>
    </row>
    <row r="378" spans="1:6">
      <c r="A378" s="5" t="str">
        <f t="shared" si="6"/>
        <v>202302</v>
      </c>
      <c r="B378" s="5" t="str">
        <f>"23085011225"</f>
        <v>23085011225</v>
      </c>
      <c r="C378" s="6">
        <v>81</v>
      </c>
      <c r="D378" s="6">
        <v>117.5</v>
      </c>
      <c r="E378" s="6">
        <v>198.5</v>
      </c>
      <c r="F378" s="11"/>
    </row>
    <row r="379" spans="1:6">
      <c r="A379" s="5" t="str">
        <f t="shared" si="6"/>
        <v>202302</v>
      </c>
      <c r="B379" s="5" t="str">
        <f>"23085011827"</f>
        <v>23085011827</v>
      </c>
      <c r="C379" s="6">
        <v>84</v>
      </c>
      <c r="D379" s="6">
        <v>114.5</v>
      </c>
      <c r="E379" s="6">
        <v>198.5</v>
      </c>
      <c r="F379" s="11"/>
    </row>
    <row r="380" spans="1:6">
      <c r="A380" s="5" t="str">
        <f t="shared" si="6"/>
        <v>202302</v>
      </c>
      <c r="B380" s="5" t="str">
        <f>"23085011623"</f>
        <v>23085011623</v>
      </c>
      <c r="C380" s="6">
        <v>90</v>
      </c>
      <c r="D380" s="6">
        <v>108</v>
      </c>
      <c r="E380" s="6">
        <v>198</v>
      </c>
      <c r="F380" s="11"/>
    </row>
    <row r="381" spans="1:6">
      <c r="A381" s="5" t="str">
        <f t="shared" si="6"/>
        <v>202302</v>
      </c>
      <c r="B381" s="5" t="str">
        <f>"23085010725"</f>
        <v>23085010725</v>
      </c>
      <c r="C381" s="6">
        <v>87</v>
      </c>
      <c r="D381" s="6">
        <v>111</v>
      </c>
      <c r="E381" s="6">
        <v>198</v>
      </c>
      <c r="F381" s="11"/>
    </row>
    <row r="382" spans="1:6">
      <c r="A382" s="5" t="str">
        <f t="shared" si="6"/>
        <v>202302</v>
      </c>
      <c r="B382" s="5" t="str">
        <f>"23085010612"</f>
        <v>23085010612</v>
      </c>
      <c r="C382" s="6">
        <v>82.5</v>
      </c>
      <c r="D382" s="6">
        <v>115</v>
      </c>
      <c r="E382" s="6">
        <v>197.5</v>
      </c>
      <c r="F382" s="11"/>
    </row>
    <row r="383" spans="1:6">
      <c r="A383" s="5" t="str">
        <f t="shared" si="6"/>
        <v>202302</v>
      </c>
      <c r="B383" s="5" t="str">
        <f>"23085010922"</f>
        <v>23085010922</v>
      </c>
      <c r="C383" s="6">
        <v>87</v>
      </c>
      <c r="D383" s="6">
        <v>110.5</v>
      </c>
      <c r="E383" s="6">
        <v>197.5</v>
      </c>
      <c r="F383" s="11"/>
    </row>
    <row r="384" spans="1:6">
      <c r="A384" s="5" t="str">
        <f t="shared" si="6"/>
        <v>202302</v>
      </c>
      <c r="B384" s="5" t="str">
        <f>"23085010830"</f>
        <v>23085010830</v>
      </c>
      <c r="C384" s="6">
        <v>97.5</v>
      </c>
      <c r="D384" s="6">
        <v>100</v>
      </c>
      <c r="E384" s="6">
        <v>197.5</v>
      </c>
      <c r="F384" s="11"/>
    </row>
    <row r="385" spans="1:6">
      <c r="A385" s="5" t="str">
        <f t="shared" si="6"/>
        <v>202302</v>
      </c>
      <c r="B385" s="5" t="str">
        <f>"23085012102"</f>
        <v>23085012102</v>
      </c>
      <c r="C385" s="6">
        <v>93</v>
      </c>
      <c r="D385" s="6">
        <v>104.5</v>
      </c>
      <c r="E385" s="6">
        <v>197.5</v>
      </c>
      <c r="F385" s="11"/>
    </row>
    <row r="386" spans="1:6">
      <c r="A386" s="5" t="str">
        <f t="shared" si="6"/>
        <v>202302</v>
      </c>
      <c r="B386" s="5" t="str">
        <f>"23085012025"</f>
        <v>23085012025</v>
      </c>
      <c r="C386" s="6">
        <v>94.5</v>
      </c>
      <c r="D386" s="6">
        <v>102</v>
      </c>
      <c r="E386" s="6">
        <v>196.5</v>
      </c>
      <c r="F386" s="11"/>
    </row>
    <row r="387" spans="1:6">
      <c r="A387" s="5" t="str">
        <f t="shared" si="6"/>
        <v>202302</v>
      </c>
      <c r="B387" s="5" t="str">
        <f>"23085011128"</f>
        <v>23085011128</v>
      </c>
      <c r="C387" s="6">
        <v>85.5</v>
      </c>
      <c r="D387" s="6">
        <v>110.5</v>
      </c>
      <c r="E387" s="6">
        <v>196</v>
      </c>
      <c r="F387" s="11"/>
    </row>
    <row r="388" spans="1:6">
      <c r="A388" s="5" t="str">
        <f t="shared" si="6"/>
        <v>202302</v>
      </c>
      <c r="B388" s="5" t="str">
        <f>"23085010723"</f>
        <v>23085010723</v>
      </c>
      <c r="C388" s="6">
        <v>85.5</v>
      </c>
      <c r="D388" s="6">
        <v>110.5</v>
      </c>
      <c r="E388" s="6">
        <v>196</v>
      </c>
      <c r="F388" s="11"/>
    </row>
    <row r="389" spans="1:6">
      <c r="A389" s="5" t="str">
        <f t="shared" si="6"/>
        <v>202302</v>
      </c>
      <c r="B389" s="5" t="str">
        <f>"23085011203"</f>
        <v>23085011203</v>
      </c>
      <c r="C389" s="6">
        <v>79.5</v>
      </c>
      <c r="D389" s="6">
        <v>116.5</v>
      </c>
      <c r="E389" s="6">
        <v>196</v>
      </c>
      <c r="F389" s="11"/>
    </row>
    <row r="390" spans="1:6">
      <c r="A390" s="5" t="str">
        <f t="shared" si="6"/>
        <v>202302</v>
      </c>
      <c r="B390" s="5" t="str">
        <f>"23085011815"</f>
        <v>23085011815</v>
      </c>
      <c r="C390" s="6">
        <v>85.5</v>
      </c>
      <c r="D390" s="6">
        <v>110</v>
      </c>
      <c r="E390" s="6">
        <v>195.5</v>
      </c>
      <c r="F390" s="11"/>
    </row>
    <row r="391" spans="1:6">
      <c r="A391" s="5" t="str">
        <f t="shared" si="6"/>
        <v>202302</v>
      </c>
      <c r="B391" s="5" t="str">
        <f>"23085010623"</f>
        <v>23085010623</v>
      </c>
      <c r="C391" s="6">
        <v>90</v>
      </c>
      <c r="D391" s="6">
        <v>105.5</v>
      </c>
      <c r="E391" s="6">
        <v>195.5</v>
      </c>
      <c r="F391" s="11"/>
    </row>
    <row r="392" spans="1:6">
      <c r="A392" s="5" t="str">
        <f t="shared" si="6"/>
        <v>202302</v>
      </c>
      <c r="B392" s="5" t="str">
        <f>"23085012027"</f>
        <v>23085012027</v>
      </c>
      <c r="C392" s="6">
        <v>79.5</v>
      </c>
      <c r="D392" s="6">
        <v>115.5</v>
      </c>
      <c r="E392" s="6">
        <v>195</v>
      </c>
      <c r="F392" s="11"/>
    </row>
    <row r="393" spans="1:6">
      <c r="A393" s="5" t="str">
        <f t="shared" si="6"/>
        <v>202302</v>
      </c>
      <c r="B393" s="5" t="str">
        <f>"23085011229"</f>
        <v>23085011229</v>
      </c>
      <c r="C393" s="6">
        <v>88.5</v>
      </c>
      <c r="D393" s="6">
        <v>105.5</v>
      </c>
      <c r="E393" s="6">
        <v>194</v>
      </c>
      <c r="F393" s="11"/>
    </row>
    <row r="394" spans="1:6">
      <c r="A394" s="5" t="str">
        <f t="shared" si="6"/>
        <v>202302</v>
      </c>
      <c r="B394" s="5" t="str">
        <f>"23085011208"</f>
        <v>23085011208</v>
      </c>
      <c r="C394" s="6">
        <v>91.5</v>
      </c>
      <c r="D394" s="6">
        <v>102.5</v>
      </c>
      <c r="E394" s="6">
        <v>194</v>
      </c>
      <c r="F394" s="11"/>
    </row>
    <row r="395" spans="1:6">
      <c r="A395" s="5" t="str">
        <f t="shared" si="6"/>
        <v>202302</v>
      </c>
      <c r="B395" s="5" t="str">
        <f>"23085011419"</f>
        <v>23085011419</v>
      </c>
      <c r="C395" s="6">
        <v>82.5</v>
      </c>
      <c r="D395" s="6">
        <v>111.5</v>
      </c>
      <c r="E395" s="6">
        <v>194</v>
      </c>
      <c r="F395" s="11"/>
    </row>
    <row r="396" spans="1:6">
      <c r="A396" s="5" t="str">
        <f t="shared" si="6"/>
        <v>202302</v>
      </c>
      <c r="B396" s="5" t="str">
        <f>"23085010608"</f>
        <v>23085010608</v>
      </c>
      <c r="C396" s="6">
        <v>84</v>
      </c>
      <c r="D396" s="6">
        <v>109.5</v>
      </c>
      <c r="E396" s="6">
        <v>193.5</v>
      </c>
      <c r="F396" s="11"/>
    </row>
    <row r="397" spans="1:6">
      <c r="A397" s="5" t="str">
        <f t="shared" si="6"/>
        <v>202302</v>
      </c>
      <c r="B397" s="5" t="str">
        <f>"23085011401"</f>
        <v>23085011401</v>
      </c>
      <c r="C397" s="6">
        <v>93</v>
      </c>
      <c r="D397" s="6">
        <v>100.5</v>
      </c>
      <c r="E397" s="6">
        <v>193.5</v>
      </c>
      <c r="F397" s="11"/>
    </row>
    <row r="398" spans="1:6">
      <c r="A398" s="5" t="str">
        <f t="shared" si="6"/>
        <v>202302</v>
      </c>
      <c r="B398" s="5" t="str">
        <f>"23085011330"</f>
        <v>23085011330</v>
      </c>
      <c r="C398" s="6">
        <v>81</v>
      </c>
      <c r="D398" s="6">
        <v>112.5</v>
      </c>
      <c r="E398" s="6">
        <v>193.5</v>
      </c>
      <c r="F398" s="11"/>
    </row>
    <row r="399" spans="1:6">
      <c r="A399" s="5" t="str">
        <f t="shared" si="6"/>
        <v>202302</v>
      </c>
      <c r="B399" s="5" t="str">
        <f>"23085011428"</f>
        <v>23085011428</v>
      </c>
      <c r="C399" s="6">
        <v>88.5</v>
      </c>
      <c r="D399" s="6">
        <v>105</v>
      </c>
      <c r="E399" s="6">
        <v>193.5</v>
      </c>
      <c r="F399" s="11"/>
    </row>
    <row r="400" spans="1:6">
      <c r="A400" s="5" t="str">
        <f t="shared" si="6"/>
        <v>202302</v>
      </c>
      <c r="B400" s="5" t="str">
        <f>"23085011530"</f>
        <v>23085011530</v>
      </c>
      <c r="C400" s="6">
        <v>78</v>
      </c>
      <c r="D400" s="6">
        <v>115.5</v>
      </c>
      <c r="E400" s="6">
        <v>193.5</v>
      </c>
      <c r="F400" s="11"/>
    </row>
    <row r="401" spans="1:6">
      <c r="A401" s="5" t="str">
        <f t="shared" si="6"/>
        <v>202302</v>
      </c>
      <c r="B401" s="5" t="str">
        <f>"23085012004"</f>
        <v>23085012004</v>
      </c>
      <c r="C401" s="6">
        <v>82.5</v>
      </c>
      <c r="D401" s="6">
        <v>110.5</v>
      </c>
      <c r="E401" s="6">
        <v>193</v>
      </c>
      <c r="F401" s="11"/>
    </row>
    <row r="402" spans="1:6">
      <c r="A402" s="5" t="str">
        <f t="shared" si="6"/>
        <v>202302</v>
      </c>
      <c r="B402" s="5" t="str">
        <f>"23085010903"</f>
        <v>23085010903</v>
      </c>
      <c r="C402" s="6">
        <v>82.5</v>
      </c>
      <c r="D402" s="6">
        <v>110.5</v>
      </c>
      <c r="E402" s="6">
        <v>193</v>
      </c>
      <c r="F402" s="11"/>
    </row>
    <row r="403" spans="1:6">
      <c r="A403" s="5" t="str">
        <f t="shared" si="6"/>
        <v>202302</v>
      </c>
      <c r="B403" s="5" t="str">
        <f>"23085011517"</f>
        <v>23085011517</v>
      </c>
      <c r="C403" s="6">
        <v>75</v>
      </c>
      <c r="D403" s="6">
        <v>117.5</v>
      </c>
      <c r="E403" s="6">
        <v>192.5</v>
      </c>
      <c r="F403" s="11"/>
    </row>
    <row r="404" spans="1:6">
      <c r="A404" s="5" t="str">
        <f t="shared" si="6"/>
        <v>202302</v>
      </c>
      <c r="B404" s="5" t="str">
        <f>"23085011526"</f>
        <v>23085011526</v>
      </c>
      <c r="C404" s="6">
        <v>93</v>
      </c>
      <c r="D404" s="6">
        <v>99.5</v>
      </c>
      <c r="E404" s="6">
        <v>192.5</v>
      </c>
      <c r="F404" s="11"/>
    </row>
    <row r="405" spans="1:6">
      <c r="A405" s="5" t="str">
        <f t="shared" si="6"/>
        <v>202302</v>
      </c>
      <c r="B405" s="5" t="str">
        <f>"23085011406"</f>
        <v>23085011406</v>
      </c>
      <c r="C405" s="6">
        <v>85.5</v>
      </c>
      <c r="D405" s="6">
        <v>106.5</v>
      </c>
      <c r="E405" s="6">
        <v>192</v>
      </c>
      <c r="F405" s="11"/>
    </row>
    <row r="406" spans="1:6">
      <c r="A406" s="5" t="str">
        <f t="shared" si="6"/>
        <v>202302</v>
      </c>
      <c r="B406" s="5" t="str">
        <f>"23085011829"</f>
        <v>23085011829</v>
      </c>
      <c r="C406" s="6">
        <v>84</v>
      </c>
      <c r="D406" s="6">
        <v>108</v>
      </c>
      <c r="E406" s="6">
        <v>192</v>
      </c>
      <c r="F406" s="11"/>
    </row>
    <row r="407" spans="1:6">
      <c r="A407" s="5" t="str">
        <f t="shared" si="6"/>
        <v>202302</v>
      </c>
      <c r="B407" s="5" t="str">
        <f>"23085011522"</f>
        <v>23085011522</v>
      </c>
      <c r="C407" s="6">
        <v>81</v>
      </c>
      <c r="D407" s="6">
        <v>110.5</v>
      </c>
      <c r="E407" s="6">
        <v>191.5</v>
      </c>
      <c r="F407" s="11"/>
    </row>
    <row r="408" spans="1:6">
      <c r="A408" s="5" t="str">
        <f t="shared" si="6"/>
        <v>202302</v>
      </c>
      <c r="B408" s="5" t="str">
        <f>"23085011025"</f>
        <v>23085011025</v>
      </c>
      <c r="C408" s="6">
        <v>78</v>
      </c>
      <c r="D408" s="6">
        <v>113.5</v>
      </c>
      <c r="E408" s="6">
        <v>191.5</v>
      </c>
      <c r="F408" s="11"/>
    </row>
    <row r="409" spans="1:6">
      <c r="A409" s="5" t="str">
        <f t="shared" ref="A409:A472" si="7">"202302"</f>
        <v>202302</v>
      </c>
      <c r="B409" s="5" t="str">
        <f>"23085011023"</f>
        <v>23085011023</v>
      </c>
      <c r="C409" s="6">
        <v>78</v>
      </c>
      <c r="D409" s="6">
        <v>113.5</v>
      </c>
      <c r="E409" s="6">
        <v>191.5</v>
      </c>
      <c r="F409" s="11"/>
    </row>
    <row r="410" spans="1:6">
      <c r="A410" s="5" t="str">
        <f t="shared" si="7"/>
        <v>202302</v>
      </c>
      <c r="B410" s="5" t="str">
        <f>"23085011211"</f>
        <v>23085011211</v>
      </c>
      <c r="C410" s="6">
        <v>73.5</v>
      </c>
      <c r="D410" s="6">
        <v>118</v>
      </c>
      <c r="E410" s="6">
        <v>191.5</v>
      </c>
      <c r="F410" s="11"/>
    </row>
    <row r="411" spans="1:6">
      <c r="A411" s="5" t="str">
        <f t="shared" si="7"/>
        <v>202302</v>
      </c>
      <c r="B411" s="5" t="str">
        <f>"23085011720"</f>
        <v>23085011720</v>
      </c>
      <c r="C411" s="6">
        <v>79.5</v>
      </c>
      <c r="D411" s="6">
        <v>111.5</v>
      </c>
      <c r="E411" s="6">
        <v>191</v>
      </c>
      <c r="F411" s="11"/>
    </row>
    <row r="412" spans="1:6">
      <c r="A412" s="5" t="str">
        <f t="shared" si="7"/>
        <v>202302</v>
      </c>
      <c r="B412" s="5" t="str">
        <f>"23085011202"</f>
        <v>23085011202</v>
      </c>
      <c r="C412" s="6">
        <v>76.5</v>
      </c>
      <c r="D412" s="6">
        <v>114.5</v>
      </c>
      <c r="E412" s="6">
        <v>191</v>
      </c>
      <c r="F412" s="11"/>
    </row>
    <row r="413" spans="1:6">
      <c r="A413" s="5" t="str">
        <f t="shared" si="7"/>
        <v>202302</v>
      </c>
      <c r="B413" s="5" t="str">
        <f>"23085011403"</f>
        <v>23085011403</v>
      </c>
      <c r="C413" s="6">
        <v>81</v>
      </c>
      <c r="D413" s="6">
        <v>110</v>
      </c>
      <c r="E413" s="6">
        <v>191</v>
      </c>
      <c r="F413" s="11"/>
    </row>
    <row r="414" spans="1:6">
      <c r="A414" s="5" t="str">
        <f t="shared" si="7"/>
        <v>202302</v>
      </c>
      <c r="B414" s="5" t="str">
        <f>"23085010814"</f>
        <v>23085010814</v>
      </c>
      <c r="C414" s="6">
        <v>94.5</v>
      </c>
      <c r="D414" s="6">
        <v>96</v>
      </c>
      <c r="E414" s="6">
        <v>190.5</v>
      </c>
      <c r="F414" s="11"/>
    </row>
    <row r="415" spans="1:6">
      <c r="A415" s="5" t="str">
        <f t="shared" si="7"/>
        <v>202302</v>
      </c>
      <c r="B415" s="5" t="str">
        <f>"23085011719"</f>
        <v>23085011719</v>
      </c>
      <c r="C415" s="6">
        <v>70.5</v>
      </c>
      <c r="D415" s="6">
        <v>120</v>
      </c>
      <c r="E415" s="6">
        <v>190.5</v>
      </c>
      <c r="F415" s="11"/>
    </row>
    <row r="416" spans="1:6">
      <c r="A416" s="5" t="str">
        <f t="shared" si="7"/>
        <v>202302</v>
      </c>
      <c r="B416" s="5" t="str">
        <f>"23085011103"</f>
        <v>23085011103</v>
      </c>
      <c r="C416" s="6">
        <v>75</v>
      </c>
      <c r="D416" s="6">
        <v>115</v>
      </c>
      <c r="E416" s="6">
        <v>190</v>
      </c>
      <c r="F416" s="11"/>
    </row>
    <row r="417" spans="1:6">
      <c r="A417" s="5" t="str">
        <f t="shared" si="7"/>
        <v>202302</v>
      </c>
      <c r="B417" s="5" t="str">
        <f>"23085011813"</f>
        <v>23085011813</v>
      </c>
      <c r="C417" s="6">
        <v>82.5</v>
      </c>
      <c r="D417" s="6">
        <v>107.5</v>
      </c>
      <c r="E417" s="6">
        <v>190</v>
      </c>
      <c r="F417" s="11"/>
    </row>
    <row r="418" spans="1:6">
      <c r="A418" s="5" t="str">
        <f t="shared" si="7"/>
        <v>202302</v>
      </c>
      <c r="B418" s="5" t="str">
        <f>"23085011716"</f>
        <v>23085011716</v>
      </c>
      <c r="C418" s="6">
        <v>82.5</v>
      </c>
      <c r="D418" s="6">
        <v>107.5</v>
      </c>
      <c r="E418" s="6">
        <v>190</v>
      </c>
      <c r="F418" s="11"/>
    </row>
    <row r="419" spans="1:6">
      <c r="A419" s="5" t="str">
        <f t="shared" si="7"/>
        <v>202302</v>
      </c>
      <c r="B419" s="5" t="str">
        <f>"23085011424"</f>
        <v>23085011424</v>
      </c>
      <c r="C419" s="6">
        <v>87</v>
      </c>
      <c r="D419" s="6">
        <v>102.5</v>
      </c>
      <c r="E419" s="6">
        <v>189.5</v>
      </c>
      <c r="F419" s="11"/>
    </row>
    <row r="420" spans="1:6">
      <c r="A420" s="5" t="str">
        <f t="shared" si="7"/>
        <v>202302</v>
      </c>
      <c r="B420" s="5" t="str">
        <f>"23085011728"</f>
        <v>23085011728</v>
      </c>
      <c r="C420" s="6">
        <v>76.5</v>
      </c>
      <c r="D420" s="6">
        <v>113</v>
      </c>
      <c r="E420" s="6">
        <v>189.5</v>
      </c>
      <c r="F420" s="11"/>
    </row>
    <row r="421" spans="1:6">
      <c r="A421" s="5" t="str">
        <f t="shared" si="7"/>
        <v>202302</v>
      </c>
      <c r="B421" s="5" t="str">
        <f>"23085011710"</f>
        <v>23085011710</v>
      </c>
      <c r="C421" s="6">
        <v>73.5</v>
      </c>
      <c r="D421" s="6">
        <v>116</v>
      </c>
      <c r="E421" s="6">
        <v>189.5</v>
      </c>
      <c r="F421" s="11"/>
    </row>
    <row r="422" spans="1:6">
      <c r="A422" s="5" t="str">
        <f t="shared" si="7"/>
        <v>202302</v>
      </c>
      <c r="B422" s="5" t="str">
        <f>"23085011725"</f>
        <v>23085011725</v>
      </c>
      <c r="C422" s="6">
        <v>87</v>
      </c>
      <c r="D422" s="6">
        <v>102</v>
      </c>
      <c r="E422" s="6">
        <v>189</v>
      </c>
      <c r="F422" s="11"/>
    </row>
    <row r="423" spans="1:6">
      <c r="A423" s="5" t="str">
        <f t="shared" si="7"/>
        <v>202302</v>
      </c>
      <c r="B423" s="5" t="str">
        <f>"23085011024"</f>
        <v>23085011024</v>
      </c>
      <c r="C423" s="6">
        <v>90</v>
      </c>
      <c r="D423" s="6">
        <v>98.5</v>
      </c>
      <c r="E423" s="6">
        <v>188.5</v>
      </c>
      <c r="F423" s="11"/>
    </row>
    <row r="424" spans="1:6">
      <c r="A424" s="5" t="str">
        <f t="shared" si="7"/>
        <v>202302</v>
      </c>
      <c r="B424" s="5" t="str">
        <f>"23085011622"</f>
        <v>23085011622</v>
      </c>
      <c r="C424" s="6">
        <v>85.5</v>
      </c>
      <c r="D424" s="6">
        <v>102.5</v>
      </c>
      <c r="E424" s="6">
        <v>188</v>
      </c>
      <c r="F424" s="11"/>
    </row>
    <row r="425" spans="1:6">
      <c r="A425" s="5" t="str">
        <f t="shared" si="7"/>
        <v>202302</v>
      </c>
      <c r="B425" s="5" t="str">
        <f>"23085011928"</f>
        <v>23085011928</v>
      </c>
      <c r="C425" s="6">
        <v>93</v>
      </c>
      <c r="D425" s="6">
        <v>95</v>
      </c>
      <c r="E425" s="6">
        <v>188</v>
      </c>
      <c r="F425" s="11"/>
    </row>
    <row r="426" spans="1:6">
      <c r="A426" s="5" t="str">
        <f t="shared" si="7"/>
        <v>202302</v>
      </c>
      <c r="B426" s="5" t="str">
        <f>"23085010614"</f>
        <v>23085010614</v>
      </c>
      <c r="C426" s="6">
        <v>72</v>
      </c>
      <c r="D426" s="6">
        <v>116</v>
      </c>
      <c r="E426" s="6">
        <v>188</v>
      </c>
      <c r="F426" s="11"/>
    </row>
    <row r="427" spans="1:6">
      <c r="A427" s="5" t="str">
        <f t="shared" si="7"/>
        <v>202302</v>
      </c>
      <c r="B427" s="5" t="str">
        <f>"23085011621"</f>
        <v>23085011621</v>
      </c>
      <c r="C427" s="6">
        <v>84</v>
      </c>
      <c r="D427" s="6">
        <v>103.5</v>
      </c>
      <c r="E427" s="6">
        <v>187.5</v>
      </c>
      <c r="F427" s="11"/>
    </row>
    <row r="428" spans="1:6">
      <c r="A428" s="5" t="str">
        <f t="shared" si="7"/>
        <v>202302</v>
      </c>
      <c r="B428" s="5" t="str">
        <f>"23085011920"</f>
        <v>23085011920</v>
      </c>
      <c r="C428" s="6">
        <v>93</v>
      </c>
      <c r="D428" s="6">
        <v>94</v>
      </c>
      <c r="E428" s="6">
        <v>187</v>
      </c>
      <c r="F428" s="11"/>
    </row>
    <row r="429" spans="1:6">
      <c r="A429" s="5" t="str">
        <f t="shared" si="7"/>
        <v>202302</v>
      </c>
      <c r="B429" s="5" t="str">
        <f>"23085011123"</f>
        <v>23085011123</v>
      </c>
      <c r="C429" s="6">
        <v>76.5</v>
      </c>
      <c r="D429" s="6">
        <v>110.5</v>
      </c>
      <c r="E429" s="6">
        <v>187</v>
      </c>
      <c r="F429" s="11"/>
    </row>
    <row r="430" spans="1:6">
      <c r="A430" s="5" t="str">
        <f t="shared" si="7"/>
        <v>202302</v>
      </c>
      <c r="B430" s="5" t="str">
        <f>"23085011107"</f>
        <v>23085011107</v>
      </c>
      <c r="C430" s="6">
        <v>72</v>
      </c>
      <c r="D430" s="6">
        <v>115</v>
      </c>
      <c r="E430" s="6">
        <v>187</v>
      </c>
      <c r="F430" s="11"/>
    </row>
    <row r="431" spans="1:6">
      <c r="A431" s="5" t="str">
        <f t="shared" si="7"/>
        <v>202302</v>
      </c>
      <c r="B431" s="5" t="str">
        <f>"23085010915"</f>
        <v>23085010915</v>
      </c>
      <c r="C431" s="6">
        <v>84</v>
      </c>
      <c r="D431" s="6">
        <v>102.5</v>
      </c>
      <c r="E431" s="6">
        <v>186.5</v>
      </c>
      <c r="F431" s="11"/>
    </row>
    <row r="432" spans="1:6">
      <c r="A432" s="5" t="str">
        <f t="shared" si="7"/>
        <v>202302</v>
      </c>
      <c r="B432" s="5" t="str">
        <f>"23085011922"</f>
        <v>23085011922</v>
      </c>
      <c r="C432" s="6">
        <v>64.5</v>
      </c>
      <c r="D432" s="6">
        <v>122</v>
      </c>
      <c r="E432" s="6">
        <v>186.5</v>
      </c>
      <c r="F432" s="11"/>
    </row>
    <row r="433" spans="1:6">
      <c r="A433" s="5" t="str">
        <f t="shared" si="7"/>
        <v>202302</v>
      </c>
      <c r="B433" s="5" t="str">
        <f>"23085012101"</f>
        <v>23085012101</v>
      </c>
      <c r="C433" s="6">
        <v>76.5</v>
      </c>
      <c r="D433" s="6">
        <v>110</v>
      </c>
      <c r="E433" s="6">
        <v>186.5</v>
      </c>
      <c r="F433" s="11"/>
    </row>
    <row r="434" spans="1:6">
      <c r="A434" s="5" t="str">
        <f t="shared" si="7"/>
        <v>202302</v>
      </c>
      <c r="B434" s="5" t="str">
        <f>"23085011819"</f>
        <v>23085011819</v>
      </c>
      <c r="C434" s="6">
        <v>93</v>
      </c>
      <c r="D434" s="6">
        <v>93.5</v>
      </c>
      <c r="E434" s="6">
        <v>186.5</v>
      </c>
      <c r="F434" s="11"/>
    </row>
    <row r="435" spans="1:6">
      <c r="A435" s="5" t="str">
        <f t="shared" si="7"/>
        <v>202302</v>
      </c>
      <c r="B435" s="5" t="str">
        <f>"23085011416"</f>
        <v>23085011416</v>
      </c>
      <c r="C435" s="6">
        <v>73.5</v>
      </c>
      <c r="D435" s="6">
        <v>112.5</v>
      </c>
      <c r="E435" s="6">
        <v>186</v>
      </c>
      <c r="F435" s="11"/>
    </row>
    <row r="436" spans="1:6">
      <c r="A436" s="5" t="str">
        <f t="shared" si="7"/>
        <v>202302</v>
      </c>
      <c r="B436" s="5" t="str">
        <f>"23085011925"</f>
        <v>23085011925</v>
      </c>
      <c r="C436" s="6">
        <v>73.5</v>
      </c>
      <c r="D436" s="6">
        <v>112.5</v>
      </c>
      <c r="E436" s="6">
        <v>186</v>
      </c>
      <c r="F436" s="11"/>
    </row>
    <row r="437" spans="1:6">
      <c r="A437" s="5" t="str">
        <f t="shared" si="7"/>
        <v>202302</v>
      </c>
      <c r="B437" s="5" t="str">
        <f>"23085010817"</f>
        <v>23085010817</v>
      </c>
      <c r="C437" s="6">
        <v>78</v>
      </c>
      <c r="D437" s="6">
        <v>107</v>
      </c>
      <c r="E437" s="6">
        <v>185</v>
      </c>
      <c r="F437" s="11"/>
    </row>
    <row r="438" spans="1:6">
      <c r="A438" s="5" t="str">
        <f t="shared" si="7"/>
        <v>202302</v>
      </c>
      <c r="B438" s="5" t="str">
        <f>"23085011502"</f>
        <v>23085011502</v>
      </c>
      <c r="C438" s="6">
        <v>72</v>
      </c>
      <c r="D438" s="6">
        <v>112.5</v>
      </c>
      <c r="E438" s="6">
        <v>184.5</v>
      </c>
      <c r="F438" s="11"/>
    </row>
    <row r="439" spans="1:6">
      <c r="A439" s="5" t="str">
        <f t="shared" si="7"/>
        <v>202302</v>
      </c>
      <c r="B439" s="5" t="str">
        <f>"23085012022"</f>
        <v>23085012022</v>
      </c>
      <c r="C439" s="6">
        <v>78</v>
      </c>
      <c r="D439" s="6">
        <v>106.5</v>
      </c>
      <c r="E439" s="6">
        <v>184.5</v>
      </c>
      <c r="F439" s="11"/>
    </row>
    <row r="440" spans="1:6">
      <c r="A440" s="5" t="str">
        <f t="shared" si="7"/>
        <v>202302</v>
      </c>
      <c r="B440" s="5" t="str">
        <f>"23085011816"</f>
        <v>23085011816</v>
      </c>
      <c r="C440" s="6">
        <v>67.5</v>
      </c>
      <c r="D440" s="6">
        <v>116.5</v>
      </c>
      <c r="E440" s="6">
        <v>184</v>
      </c>
      <c r="F440" s="11"/>
    </row>
    <row r="441" spans="1:6">
      <c r="A441" s="5" t="str">
        <f t="shared" si="7"/>
        <v>202302</v>
      </c>
      <c r="B441" s="5" t="str">
        <f>"23085011919"</f>
        <v>23085011919</v>
      </c>
      <c r="C441" s="6">
        <v>72</v>
      </c>
      <c r="D441" s="6">
        <v>112</v>
      </c>
      <c r="E441" s="6">
        <v>184</v>
      </c>
      <c r="F441" s="11"/>
    </row>
    <row r="442" spans="1:6">
      <c r="A442" s="5" t="str">
        <f t="shared" si="7"/>
        <v>202302</v>
      </c>
      <c r="B442" s="5" t="str">
        <f>"23085010718"</f>
        <v>23085010718</v>
      </c>
      <c r="C442" s="6">
        <v>70.5</v>
      </c>
      <c r="D442" s="6">
        <v>112.5</v>
      </c>
      <c r="E442" s="6">
        <v>183</v>
      </c>
      <c r="F442" s="11"/>
    </row>
    <row r="443" spans="1:6">
      <c r="A443" s="5" t="str">
        <f t="shared" si="7"/>
        <v>202302</v>
      </c>
      <c r="B443" s="5" t="str">
        <f>"23085011609"</f>
        <v>23085011609</v>
      </c>
      <c r="C443" s="6">
        <v>84</v>
      </c>
      <c r="D443" s="6">
        <v>99</v>
      </c>
      <c r="E443" s="6">
        <v>183</v>
      </c>
      <c r="F443" s="11"/>
    </row>
    <row r="444" spans="1:6">
      <c r="A444" s="5" t="str">
        <f t="shared" si="7"/>
        <v>202302</v>
      </c>
      <c r="B444" s="5" t="str">
        <f>"23085010904"</f>
        <v>23085010904</v>
      </c>
      <c r="C444" s="6">
        <v>69</v>
      </c>
      <c r="D444" s="6">
        <v>113.5</v>
      </c>
      <c r="E444" s="6">
        <v>182.5</v>
      </c>
      <c r="F444" s="11"/>
    </row>
    <row r="445" spans="1:6">
      <c r="A445" s="5" t="str">
        <f t="shared" si="7"/>
        <v>202302</v>
      </c>
      <c r="B445" s="5" t="str">
        <f>"23085012003"</f>
        <v>23085012003</v>
      </c>
      <c r="C445" s="6">
        <v>72</v>
      </c>
      <c r="D445" s="6">
        <v>110.5</v>
      </c>
      <c r="E445" s="6">
        <v>182.5</v>
      </c>
      <c r="F445" s="11"/>
    </row>
    <row r="446" spans="1:6">
      <c r="A446" s="5" t="str">
        <f t="shared" si="7"/>
        <v>202302</v>
      </c>
      <c r="B446" s="5" t="str">
        <f>"23085011215"</f>
        <v>23085011215</v>
      </c>
      <c r="C446" s="6">
        <v>73.5</v>
      </c>
      <c r="D446" s="6">
        <v>108.5</v>
      </c>
      <c r="E446" s="6">
        <v>182</v>
      </c>
      <c r="F446" s="11"/>
    </row>
    <row r="447" spans="1:6">
      <c r="A447" s="5" t="str">
        <f t="shared" si="7"/>
        <v>202302</v>
      </c>
      <c r="B447" s="5" t="str">
        <f>"23085011607"</f>
        <v>23085011607</v>
      </c>
      <c r="C447" s="6">
        <v>91.5</v>
      </c>
      <c r="D447" s="6">
        <v>90.5</v>
      </c>
      <c r="E447" s="6">
        <v>182</v>
      </c>
      <c r="F447" s="11"/>
    </row>
    <row r="448" spans="1:6">
      <c r="A448" s="5" t="str">
        <f t="shared" si="7"/>
        <v>202302</v>
      </c>
      <c r="B448" s="5" t="str">
        <f>"23085011809"</f>
        <v>23085011809</v>
      </c>
      <c r="C448" s="6">
        <v>81</v>
      </c>
      <c r="D448" s="6">
        <v>101</v>
      </c>
      <c r="E448" s="6">
        <v>182</v>
      </c>
      <c r="F448" s="11"/>
    </row>
    <row r="449" spans="1:6">
      <c r="A449" s="5" t="str">
        <f t="shared" si="7"/>
        <v>202302</v>
      </c>
      <c r="B449" s="5" t="str">
        <f>"23085012009"</f>
        <v>23085012009</v>
      </c>
      <c r="C449" s="6">
        <v>67.5</v>
      </c>
      <c r="D449" s="6">
        <v>114</v>
      </c>
      <c r="E449" s="6">
        <v>181.5</v>
      </c>
      <c r="F449" s="11"/>
    </row>
    <row r="450" spans="1:6">
      <c r="A450" s="5" t="str">
        <f t="shared" si="7"/>
        <v>202302</v>
      </c>
      <c r="B450" s="5" t="str">
        <f>"23085010905"</f>
        <v>23085010905</v>
      </c>
      <c r="C450" s="6">
        <v>88.5</v>
      </c>
      <c r="D450" s="6">
        <v>92.5</v>
      </c>
      <c r="E450" s="6">
        <v>181</v>
      </c>
      <c r="F450" s="11"/>
    </row>
    <row r="451" spans="1:6">
      <c r="A451" s="5" t="str">
        <f t="shared" si="7"/>
        <v>202302</v>
      </c>
      <c r="B451" s="5" t="str">
        <f>"23085011005"</f>
        <v>23085011005</v>
      </c>
      <c r="C451" s="6">
        <v>75</v>
      </c>
      <c r="D451" s="6">
        <v>106</v>
      </c>
      <c r="E451" s="6">
        <v>181</v>
      </c>
      <c r="F451" s="11"/>
    </row>
    <row r="452" spans="1:6">
      <c r="A452" s="5" t="str">
        <f t="shared" si="7"/>
        <v>202302</v>
      </c>
      <c r="B452" s="5" t="str">
        <f>"23085011814"</f>
        <v>23085011814</v>
      </c>
      <c r="C452" s="6">
        <v>63</v>
      </c>
      <c r="D452" s="6">
        <v>117.5</v>
      </c>
      <c r="E452" s="6">
        <v>180.5</v>
      </c>
      <c r="F452" s="11"/>
    </row>
    <row r="453" spans="1:6">
      <c r="A453" s="5" t="str">
        <f t="shared" si="7"/>
        <v>202302</v>
      </c>
      <c r="B453" s="5" t="str">
        <f>"23085011620"</f>
        <v>23085011620</v>
      </c>
      <c r="C453" s="6">
        <v>70.5</v>
      </c>
      <c r="D453" s="6">
        <v>110</v>
      </c>
      <c r="E453" s="6">
        <v>180.5</v>
      </c>
      <c r="F453" s="11"/>
    </row>
    <row r="454" spans="1:6">
      <c r="A454" s="5" t="str">
        <f t="shared" si="7"/>
        <v>202302</v>
      </c>
      <c r="B454" s="5" t="str">
        <f>"23085010804"</f>
        <v>23085010804</v>
      </c>
      <c r="C454" s="6">
        <v>64.5</v>
      </c>
      <c r="D454" s="6">
        <v>115</v>
      </c>
      <c r="E454" s="6">
        <v>179.5</v>
      </c>
      <c r="F454" s="11"/>
    </row>
    <row r="455" spans="1:6">
      <c r="A455" s="5" t="str">
        <f t="shared" si="7"/>
        <v>202302</v>
      </c>
      <c r="B455" s="5" t="str">
        <f>"23085011830"</f>
        <v>23085011830</v>
      </c>
      <c r="C455" s="6">
        <v>85.5</v>
      </c>
      <c r="D455" s="6">
        <v>94</v>
      </c>
      <c r="E455" s="6">
        <v>179.5</v>
      </c>
      <c r="F455" s="11"/>
    </row>
    <row r="456" spans="1:6">
      <c r="A456" s="5" t="str">
        <f t="shared" si="7"/>
        <v>202302</v>
      </c>
      <c r="B456" s="5" t="str">
        <f>"23085010730"</f>
        <v>23085010730</v>
      </c>
      <c r="C456" s="6">
        <v>84</v>
      </c>
      <c r="D456" s="6">
        <v>95</v>
      </c>
      <c r="E456" s="6">
        <v>179</v>
      </c>
      <c r="F456" s="11"/>
    </row>
    <row r="457" spans="1:6">
      <c r="A457" s="5" t="str">
        <f t="shared" si="7"/>
        <v>202302</v>
      </c>
      <c r="B457" s="5" t="str">
        <f>"23085011726"</f>
        <v>23085011726</v>
      </c>
      <c r="C457" s="6">
        <v>79.5</v>
      </c>
      <c r="D457" s="6">
        <v>99.5</v>
      </c>
      <c r="E457" s="6">
        <v>179</v>
      </c>
      <c r="F457" s="11"/>
    </row>
    <row r="458" spans="1:6">
      <c r="A458" s="5" t="str">
        <f t="shared" si="7"/>
        <v>202302</v>
      </c>
      <c r="B458" s="5" t="str">
        <f>"23085010924"</f>
        <v>23085010924</v>
      </c>
      <c r="C458" s="6">
        <v>78</v>
      </c>
      <c r="D458" s="6">
        <v>100.5</v>
      </c>
      <c r="E458" s="6">
        <v>178.5</v>
      </c>
      <c r="F458" s="11"/>
    </row>
    <row r="459" spans="1:6">
      <c r="A459" s="5" t="str">
        <f t="shared" si="7"/>
        <v>202302</v>
      </c>
      <c r="B459" s="5" t="str">
        <f>"23085010906"</f>
        <v>23085010906</v>
      </c>
      <c r="C459" s="6">
        <v>67.5</v>
      </c>
      <c r="D459" s="6">
        <v>111</v>
      </c>
      <c r="E459" s="6">
        <v>178.5</v>
      </c>
      <c r="F459" s="11"/>
    </row>
    <row r="460" spans="1:6">
      <c r="A460" s="5" t="str">
        <f t="shared" si="7"/>
        <v>202302</v>
      </c>
      <c r="B460" s="5" t="str">
        <f>"23085012024"</f>
        <v>23085012024</v>
      </c>
      <c r="C460" s="6">
        <v>64.5</v>
      </c>
      <c r="D460" s="6">
        <v>114</v>
      </c>
      <c r="E460" s="6">
        <v>178.5</v>
      </c>
      <c r="F460" s="11"/>
    </row>
    <row r="461" spans="1:6">
      <c r="A461" s="5" t="str">
        <f t="shared" si="7"/>
        <v>202302</v>
      </c>
      <c r="B461" s="5" t="str">
        <f>"23085011521"</f>
        <v>23085011521</v>
      </c>
      <c r="C461" s="6">
        <v>76.5</v>
      </c>
      <c r="D461" s="6">
        <v>102</v>
      </c>
      <c r="E461" s="6">
        <v>178.5</v>
      </c>
      <c r="F461" s="11"/>
    </row>
    <row r="462" spans="1:6">
      <c r="A462" s="5" t="str">
        <f t="shared" si="7"/>
        <v>202302</v>
      </c>
      <c r="B462" s="5" t="str">
        <f>"23085011122"</f>
        <v>23085011122</v>
      </c>
      <c r="C462" s="6">
        <v>69</v>
      </c>
      <c r="D462" s="6">
        <v>108.5</v>
      </c>
      <c r="E462" s="6">
        <v>177.5</v>
      </c>
      <c r="F462" s="11"/>
    </row>
    <row r="463" spans="1:6">
      <c r="A463" s="5" t="str">
        <f t="shared" si="7"/>
        <v>202302</v>
      </c>
      <c r="B463" s="5" t="str">
        <f>"23085011629"</f>
        <v>23085011629</v>
      </c>
      <c r="C463" s="6">
        <v>61.5</v>
      </c>
      <c r="D463" s="6">
        <v>116</v>
      </c>
      <c r="E463" s="6">
        <v>177.5</v>
      </c>
      <c r="F463" s="11"/>
    </row>
    <row r="464" spans="1:6">
      <c r="A464" s="5" t="str">
        <f t="shared" si="7"/>
        <v>202302</v>
      </c>
      <c r="B464" s="5" t="str">
        <f>"23085010701"</f>
        <v>23085010701</v>
      </c>
      <c r="C464" s="6">
        <v>78</v>
      </c>
      <c r="D464" s="6">
        <v>99</v>
      </c>
      <c r="E464" s="6">
        <v>177</v>
      </c>
      <c r="F464" s="11"/>
    </row>
    <row r="465" spans="1:6">
      <c r="A465" s="5" t="str">
        <f t="shared" si="7"/>
        <v>202302</v>
      </c>
      <c r="B465" s="5" t="str">
        <f>"23085011429"</f>
        <v>23085011429</v>
      </c>
      <c r="C465" s="6">
        <v>73.5</v>
      </c>
      <c r="D465" s="6">
        <v>103.5</v>
      </c>
      <c r="E465" s="6">
        <v>177</v>
      </c>
      <c r="F465" s="11"/>
    </row>
    <row r="466" spans="1:6">
      <c r="A466" s="5" t="str">
        <f t="shared" si="7"/>
        <v>202302</v>
      </c>
      <c r="B466" s="5" t="str">
        <f>"23085011011"</f>
        <v>23085011011</v>
      </c>
      <c r="C466" s="6">
        <v>72</v>
      </c>
      <c r="D466" s="6">
        <v>104</v>
      </c>
      <c r="E466" s="6">
        <v>176</v>
      </c>
      <c r="F466" s="11"/>
    </row>
    <row r="467" spans="1:6">
      <c r="A467" s="5" t="str">
        <f t="shared" si="7"/>
        <v>202302</v>
      </c>
      <c r="B467" s="5" t="str">
        <f>"23085011311"</f>
        <v>23085011311</v>
      </c>
      <c r="C467" s="6">
        <v>69</v>
      </c>
      <c r="D467" s="6">
        <v>107</v>
      </c>
      <c r="E467" s="6">
        <v>176</v>
      </c>
      <c r="F467" s="11"/>
    </row>
    <row r="468" spans="1:6">
      <c r="A468" s="5" t="str">
        <f t="shared" si="7"/>
        <v>202302</v>
      </c>
      <c r="B468" s="5" t="str">
        <f>"23085010813"</f>
        <v>23085010813</v>
      </c>
      <c r="C468" s="6">
        <v>69</v>
      </c>
      <c r="D468" s="6">
        <v>106</v>
      </c>
      <c r="E468" s="6">
        <v>175</v>
      </c>
      <c r="F468" s="11"/>
    </row>
    <row r="469" spans="1:6">
      <c r="A469" s="5" t="str">
        <f t="shared" si="7"/>
        <v>202302</v>
      </c>
      <c r="B469" s="5" t="str">
        <f>"23085011901"</f>
        <v>23085011901</v>
      </c>
      <c r="C469" s="6">
        <v>78</v>
      </c>
      <c r="D469" s="6">
        <v>96.5</v>
      </c>
      <c r="E469" s="6">
        <v>174.5</v>
      </c>
      <c r="F469" s="11"/>
    </row>
    <row r="470" spans="1:6">
      <c r="A470" s="5" t="str">
        <f t="shared" si="7"/>
        <v>202302</v>
      </c>
      <c r="B470" s="5" t="str">
        <f>"23085011120"</f>
        <v>23085011120</v>
      </c>
      <c r="C470" s="6">
        <v>72</v>
      </c>
      <c r="D470" s="6">
        <v>102.5</v>
      </c>
      <c r="E470" s="6">
        <v>174.5</v>
      </c>
      <c r="F470" s="11"/>
    </row>
    <row r="471" spans="1:6">
      <c r="A471" s="5" t="str">
        <f t="shared" si="7"/>
        <v>202302</v>
      </c>
      <c r="B471" s="5" t="str">
        <f>"23085010601"</f>
        <v>23085010601</v>
      </c>
      <c r="C471" s="6">
        <v>64.5</v>
      </c>
      <c r="D471" s="6">
        <v>108.5</v>
      </c>
      <c r="E471" s="6">
        <v>173</v>
      </c>
      <c r="F471" s="11"/>
    </row>
    <row r="472" spans="1:6">
      <c r="A472" s="5" t="str">
        <f t="shared" si="7"/>
        <v>202302</v>
      </c>
      <c r="B472" s="5" t="str">
        <f>"23085011322"</f>
        <v>23085011322</v>
      </c>
      <c r="C472" s="6">
        <v>73.5</v>
      </c>
      <c r="D472" s="6">
        <v>99</v>
      </c>
      <c r="E472" s="6">
        <v>172.5</v>
      </c>
      <c r="F472" s="11"/>
    </row>
    <row r="473" spans="1:6">
      <c r="A473" s="5" t="str">
        <f t="shared" ref="A473:A490" si="8">"202302"</f>
        <v>202302</v>
      </c>
      <c r="B473" s="5" t="str">
        <f>"23085011318"</f>
        <v>23085011318</v>
      </c>
      <c r="C473" s="6">
        <v>60</v>
      </c>
      <c r="D473" s="6">
        <v>111.5</v>
      </c>
      <c r="E473" s="6">
        <v>171.5</v>
      </c>
      <c r="F473" s="11"/>
    </row>
    <row r="474" spans="1:6">
      <c r="A474" s="5" t="str">
        <f t="shared" si="8"/>
        <v>202302</v>
      </c>
      <c r="B474" s="5" t="str">
        <f>"23085010809"</f>
        <v>23085010809</v>
      </c>
      <c r="C474" s="6">
        <v>72</v>
      </c>
      <c r="D474" s="6">
        <v>99.5</v>
      </c>
      <c r="E474" s="6">
        <v>171.5</v>
      </c>
      <c r="F474" s="11"/>
    </row>
    <row r="475" spans="1:6">
      <c r="A475" s="5" t="str">
        <f t="shared" si="8"/>
        <v>202302</v>
      </c>
      <c r="B475" s="5" t="str">
        <f>"23085011028"</f>
        <v>23085011028</v>
      </c>
      <c r="C475" s="6">
        <v>69</v>
      </c>
      <c r="D475" s="6">
        <v>102.5</v>
      </c>
      <c r="E475" s="6">
        <v>171.5</v>
      </c>
      <c r="F475" s="11"/>
    </row>
    <row r="476" spans="1:6">
      <c r="A476" s="5" t="str">
        <f t="shared" si="8"/>
        <v>202302</v>
      </c>
      <c r="B476" s="5" t="str">
        <f>"23085010812"</f>
        <v>23085010812</v>
      </c>
      <c r="C476" s="6">
        <v>61.5</v>
      </c>
      <c r="D476" s="6">
        <v>109</v>
      </c>
      <c r="E476" s="6">
        <v>170.5</v>
      </c>
      <c r="F476" s="11"/>
    </row>
    <row r="477" spans="1:6">
      <c r="A477" s="5" t="str">
        <f t="shared" si="8"/>
        <v>202302</v>
      </c>
      <c r="B477" s="5" t="str">
        <f>"23085011112"</f>
        <v>23085011112</v>
      </c>
      <c r="C477" s="6">
        <v>79.5</v>
      </c>
      <c r="D477" s="6">
        <v>90.5</v>
      </c>
      <c r="E477" s="6">
        <v>170</v>
      </c>
      <c r="F477" s="11"/>
    </row>
    <row r="478" spans="1:6">
      <c r="A478" s="5" t="str">
        <f t="shared" si="8"/>
        <v>202302</v>
      </c>
      <c r="B478" s="5" t="str">
        <f>"23085011309"</f>
        <v>23085011309</v>
      </c>
      <c r="C478" s="6">
        <v>58.5</v>
      </c>
      <c r="D478" s="6">
        <v>110</v>
      </c>
      <c r="E478" s="6">
        <v>168.5</v>
      </c>
      <c r="F478" s="11"/>
    </row>
    <row r="479" spans="1:6">
      <c r="A479" s="5" t="str">
        <f t="shared" si="8"/>
        <v>202302</v>
      </c>
      <c r="B479" s="5" t="str">
        <f>"23085010726"</f>
        <v>23085010726</v>
      </c>
      <c r="C479" s="6">
        <v>57</v>
      </c>
      <c r="D479" s="6">
        <v>110.5</v>
      </c>
      <c r="E479" s="6">
        <v>167.5</v>
      </c>
      <c r="F479" s="11"/>
    </row>
    <row r="480" spans="1:6">
      <c r="A480" s="5" t="str">
        <f t="shared" si="8"/>
        <v>202302</v>
      </c>
      <c r="B480" s="5" t="str">
        <f>"23085011718"</f>
        <v>23085011718</v>
      </c>
      <c r="C480" s="6">
        <v>61.5</v>
      </c>
      <c r="D480" s="6">
        <v>106</v>
      </c>
      <c r="E480" s="6">
        <v>167.5</v>
      </c>
      <c r="F480" s="11"/>
    </row>
    <row r="481" spans="1:6">
      <c r="A481" s="5" t="str">
        <f t="shared" si="8"/>
        <v>202302</v>
      </c>
      <c r="B481" s="5" t="str">
        <f>"23085011804"</f>
        <v>23085011804</v>
      </c>
      <c r="C481" s="6">
        <v>88.5</v>
      </c>
      <c r="D481" s="6">
        <v>78.5</v>
      </c>
      <c r="E481" s="6">
        <v>167</v>
      </c>
      <c r="F481" s="11"/>
    </row>
    <row r="482" spans="1:6">
      <c r="A482" s="5" t="str">
        <f t="shared" si="8"/>
        <v>202302</v>
      </c>
      <c r="B482" s="5" t="str">
        <f>"23085011702"</f>
        <v>23085011702</v>
      </c>
      <c r="C482" s="6">
        <v>67.5</v>
      </c>
      <c r="D482" s="6">
        <v>99.5</v>
      </c>
      <c r="E482" s="6">
        <v>167</v>
      </c>
      <c r="F482" s="11"/>
    </row>
    <row r="483" spans="1:6">
      <c r="A483" s="5" t="str">
        <f t="shared" si="8"/>
        <v>202302</v>
      </c>
      <c r="B483" s="5" t="str">
        <f>"23085010829"</f>
        <v>23085010829</v>
      </c>
      <c r="C483" s="6">
        <v>61.5</v>
      </c>
      <c r="D483" s="6">
        <v>104.5</v>
      </c>
      <c r="E483" s="6">
        <v>166</v>
      </c>
      <c r="F483" s="11"/>
    </row>
    <row r="484" spans="1:6">
      <c r="A484" s="5" t="str">
        <f t="shared" si="8"/>
        <v>202302</v>
      </c>
      <c r="B484" s="5" t="str">
        <f>"23085011709"</f>
        <v>23085011709</v>
      </c>
      <c r="C484" s="6">
        <v>73.5</v>
      </c>
      <c r="D484" s="6">
        <v>92</v>
      </c>
      <c r="E484" s="6">
        <v>165.5</v>
      </c>
      <c r="F484" s="11"/>
    </row>
    <row r="485" spans="1:6">
      <c r="A485" s="5" t="str">
        <f t="shared" si="8"/>
        <v>202302</v>
      </c>
      <c r="B485" s="5" t="str">
        <f>"23085011220"</f>
        <v>23085011220</v>
      </c>
      <c r="C485" s="6">
        <v>64.5</v>
      </c>
      <c r="D485" s="6">
        <v>98.5</v>
      </c>
      <c r="E485" s="6">
        <v>163</v>
      </c>
      <c r="F485" s="11"/>
    </row>
    <row r="486" spans="1:6">
      <c r="A486" s="5" t="str">
        <f t="shared" si="8"/>
        <v>202302</v>
      </c>
      <c r="B486" s="5" t="str">
        <f>"23085011426"</f>
        <v>23085011426</v>
      </c>
      <c r="C486" s="6">
        <v>66</v>
      </c>
      <c r="D486" s="6">
        <v>95.5</v>
      </c>
      <c r="E486" s="6">
        <v>161.5</v>
      </c>
      <c r="F486" s="11"/>
    </row>
    <row r="487" spans="1:6">
      <c r="A487" s="5" t="str">
        <f t="shared" si="8"/>
        <v>202302</v>
      </c>
      <c r="B487" s="5" t="str">
        <f>"23085011909"</f>
        <v>23085011909</v>
      </c>
      <c r="C487" s="6">
        <v>51</v>
      </c>
      <c r="D487" s="6">
        <v>110</v>
      </c>
      <c r="E487" s="6">
        <v>161</v>
      </c>
      <c r="F487" s="11"/>
    </row>
    <row r="488" spans="1:6">
      <c r="A488" s="5" t="str">
        <f t="shared" si="8"/>
        <v>202302</v>
      </c>
      <c r="B488" s="5" t="str">
        <f>"23085011425"</f>
        <v>23085011425</v>
      </c>
      <c r="C488" s="6">
        <v>91.5</v>
      </c>
      <c r="D488" s="6">
        <v>68.5</v>
      </c>
      <c r="E488" s="6">
        <v>160</v>
      </c>
      <c r="F488" s="11"/>
    </row>
    <row r="489" spans="1:6">
      <c r="A489" s="5" t="str">
        <f t="shared" si="8"/>
        <v>202302</v>
      </c>
      <c r="B489" s="5" t="str">
        <f>"23085010926"</f>
        <v>23085010926</v>
      </c>
      <c r="C489" s="6">
        <v>51</v>
      </c>
      <c r="D489" s="6">
        <v>107.5</v>
      </c>
      <c r="E489" s="6">
        <v>158.5</v>
      </c>
      <c r="F489" s="11"/>
    </row>
    <row r="490" spans="1:6">
      <c r="A490" s="5" t="str">
        <f t="shared" si="8"/>
        <v>202302</v>
      </c>
      <c r="B490" s="5" t="str">
        <f>"23085011805"</f>
        <v>23085011805</v>
      </c>
      <c r="C490" s="6">
        <v>72</v>
      </c>
      <c r="D490" s="6">
        <v>85</v>
      </c>
      <c r="E490" s="6">
        <v>157</v>
      </c>
      <c r="F490" s="11"/>
    </row>
    <row r="491" spans="1:6">
      <c r="A491" s="5" t="str">
        <f t="shared" ref="A491:A536" si="9">"202302"</f>
        <v>202302</v>
      </c>
      <c r="B491" s="5" t="str">
        <f>"23085010821"</f>
        <v>23085010821</v>
      </c>
      <c r="C491" s="6">
        <v>43.5</v>
      </c>
      <c r="D491" s="6">
        <v>109.5</v>
      </c>
      <c r="E491" s="6">
        <v>153</v>
      </c>
      <c r="F491" s="11"/>
    </row>
    <row r="492" spans="1:6">
      <c r="A492" s="5" t="str">
        <f t="shared" si="9"/>
        <v>202302</v>
      </c>
      <c r="B492" s="5" t="str">
        <f>"23085011628"</f>
        <v>23085011628</v>
      </c>
      <c r="C492" s="6">
        <v>72</v>
      </c>
      <c r="D492" s="6">
        <v>79</v>
      </c>
      <c r="E492" s="6">
        <v>151</v>
      </c>
      <c r="F492" s="11"/>
    </row>
    <row r="493" spans="1:6">
      <c r="A493" s="5" t="str">
        <f t="shared" si="9"/>
        <v>202302</v>
      </c>
      <c r="B493" s="5" t="str">
        <f>"23085011617"</f>
        <v>23085011617</v>
      </c>
      <c r="C493" s="6">
        <v>66</v>
      </c>
      <c r="D493" s="6">
        <v>84.5</v>
      </c>
      <c r="E493" s="6">
        <v>150.5</v>
      </c>
      <c r="F493" s="11"/>
    </row>
    <row r="494" spans="1:6">
      <c r="A494" s="5" t="str">
        <f t="shared" si="9"/>
        <v>202302</v>
      </c>
      <c r="B494" s="5" t="str">
        <f>"23085010705"</f>
        <v>23085010705</v>
      </c>
      <c r="C494" s="6">
        <v>111</v>
      </c>
      <c r="D494" s="6">
        <v>36</v>
      </c>
      <c r="E494" s="6">
        <v>147</v>
      </c>
      <c r="F494" s="11"/>
    </row>
    <row r="495" spans="1:6">
      <c r="A495" s="5" t="str">
        <f t="shared" si="9"/>
        <v>202302</v>
      </c>
      <c r="B495" s="5" t="str">
        <f>"23085011518"</f>
        <v>23085011518</v>
      </c>
      <c r="C495" s="6">
        <v>84</v>
      </c>
      <c r="D495" s="6">
        <v>62.5</v>
      </c>
      <c r="E495" s="6">
        <v>146.5</v>
      </c>
      <c r="F495" s="11"/>
    </row>
    <row r="496" spans="1:6">
      <c r="A496" s="5" t="str">
        <f t="shared" si="9"/>
        <v>202302</v>
      </c>
      <c r="B496" s="5" t="str">
        <f>"23085010607"</f>
        <v>23085010607</v>
      </c>
      <c r="C496" s="6">
        <v>54</v>
      </c>
      <c r="D496" s="6">
        <v>85.5</v>
      </c>
      <c r="E496" s="6">
        <v>139.5</v>
      </c>
      <c r="F496" s="11"/>
    </row>
    <row r="497" spans="1:6">
      <c r="A497" s="5" t="str">
        <f t="shared" si="9"/>
        <v>202302</v>
      </c>
      <c r="B497" s="5" t="str">
        <f>"23085010613"</f>
        <v>23085010613</v>
      </c>
      <c r="C497" s="6">
        <v>63</v>
      </c>
      <c r="D497" s="6">
        <v>76</v>
      </c>
      <c r="E497" s="6">
        <v>139</v>
      </c>
      <c r="F497" s="11"/>
    </row>
    <row r="498" spans="1:6">
      <c r="A498" s="5" t="str">
        <f t="shared" si="9"/>
        <v>202302</v>
      </c>
      <c r="B498" s="5" t="str">
        <f>"23085011627"</f>
        <v>23085011627</v>
      </c>
      <c r="C498" s="6">
        <v>64.5</v>
      </c>
      <c r="D498" s="6">
        <v>71.5</v>
      </c>
      <c r="E498" s="6">
        <v>136</v>
      </c>
      <c r="F498" s="11"/>
    </row>
    <row r="499" spans="1:6">
      <c r="A499" s="5" t="str">
        <f t="shared" si="9"/>
        <v>202302</v>
      </c>
      <c r="B499" s="5" t="str">
        <f>"23085010619"</f>
        <v>23085010619</v>
      </c>
      <c r="C499" s="6">
        <v>58.5</v>
      </c>
      <c r="D499" s="6">
        <v>76.5</v>
      </c>
      <c r="E499" s="6">
        <v>135</v>
      </c>
      <c r="F499" s="11"/>
    </row>
    <row r="500" spans="1:6">
      <c r="A500" s="5" t="str">
        <f t="shared" si="9"/>
        <v>202302</v>
      </c>
      <c r="B500" s="5" t="str">
        <f>"23085012017"</f>
        <v>23085012017</v>
      </c>
      <c r="C500" s="6">
        <v>60</v>
      </c>
      <c r="D500" s="6">
        <v>66</v>
      </c>
      <c r="E500" s="6">
        <v>126</v>
      </c>
      <c r="F500" s="11"/>
    </row>
    <row r="501" spans="1:6">
      <c r="A501" s="5" t="str">
        <f t="shared" si="9"/>
        <v>202302</v>
      </c>
      <c r="B501" s="5" t="str">
        <f>"23085011016"</f>
        <v>23085011016</v>
      </c>
      <c r="C501" s="6">
        <v>70.5</v>
      </c>
      <c r="D501" s="6">
        <v>54.5</v>
      </c>
      <c r="E501" s="6">
        <v>125</v>
      </c>
      <c r="F501" s="11"/>
    </row>
    <row r="502" spans="1:6">
      <c r="A502" s="5" t="str">
        <f t="shared" si="9"/>
        <v>202302</v>
      </c>
      <c r="B502" s="5" t="str">
        <f>"23085011604"</f>
        <v>23085011604</v>
      </c>
      <c r="C502" s="6">
        <v>12</v>
      </c>
      <c r="D502" s="6">
        <v>109.5</v>
      </c>
      <c r="E502" s="6">
        <v>121.5</v>
      </c>
      <c r="F502" s="11"/>
    </row>
    <row r="503" spans="1:6">
      <c r="A503" s="5" t="str">
        <f t="shared" si="9"/>
        <v>202302</v>
      </c>
      <c r="B503" s="5" t="str">
        <f>"23085011714"</f>
        <v>23085011714</v>
      </c>
      <c r="C503" s="6">
        <v>78</v>
      </c>
      <c r="D503" s="6">
        <v>39.5</v>
      </c>
      <c r="E503" s="6">
        <v>117.5</v>
      </c>
      <c r="F503" s="11"/>
    </row>
    <row r="504" spans="1:6">
      <c r="A504" s="5" t="str">
        <f t="shared" si="9"/>
        <v>202302</v>
      </c>
      <c r="B504" s="5" t="str">
        <f>"23085010728"</f>
        <v>23085010728</v>
      </c>
      <c r="C504" s="6">
        <v>34.5</v>
      </c>
      <c r="D504" s="6">
        <v>79.5</v>
      </c>
      <c r="E504" s="6">
        <v>114</v>
      </c>
      <c r="F504" s="11"/>
    </row>
    <row r="505" spans="1:6">
      <c r="A505" s="5" t="str">
        <f t="shared" si="9"/>
        <v>202302</v>
      </c>
      <c r="B505" s="5" t="str">
        <f>"23085011608"</f>
        <v>23085011608</v>
      </c>
      <c r="C505" s="6">
        <v>0</v>
      </c>
      <c r="D505" s="6">
        <v>0</v>
      </c>
      <c r="E505" s="6">
        <v>0</v>
      </c>
      <c r="F505" s="11" t="s">
        <v>8</v>
      </c>
    </row>
    <row r="506" spans="1:6">
      <c r="A506" s="5" t="str">
        <f t="shared" si="9"/>
        <v>202302</v>
      </c>
      <c r="B506" s="5" t="str">
        <f>"23085011927"</f>
        <v>23085011927</v>
      </c>
      <c r="C506" s="6">
        <v>0</v>
      </c>
      <c r="D506" s="6">
        <v>0</v>
      </c>
      <c r="E506" s="6">
        <v>0</v>
      </c>
      <c r="F506" s="11" t="s">
        <v>7</v>
      </c>
    </row>
    <row r="507" spans="1:6">
      <c r="A507" s="5" t="str">
        <f t="shared" si="9"/>
        <v>202302</v>
      </c>
      <c r="B507" s="5" t="str">
        <f>"23085011825"</f>
        <v>23085011825</v>
      </c>
      <c r="C507" s="6">
        <v>0</v>
      </c>
      <c r="D507" s="6">
        <v>0</v>
      </c>
      <c r="E507" s="6">
        <v>0</v>
      </c>
      <c r="F507" s="11" t="s">
        <v>7</v>
      </c>
    </row>
    <row r="508" spans="1:6">
      <c r="A508" s="5" t="str">
        <f t="shared" si="9"/>
        <v>202302</v>
      </c>
      <c r="B508" s="5" t="str">
        <f>"23085010930"</f>
        <v>23085010930</v>
      </c>
      <c r="C508" s="6">
        <v>0</v>
      </c>
      <c r="D508" s="6">
        <v>0</v>
      </c>
      <c r="E508" s="6">
        <v>0</v>
      </c>
      <c r="F508" s="11" t="s">
        <v>7</v>
      </c>
    </row>
    <row r="509" spans="1:6">
      <c r="A509" s="5" t="str">
        <f t="shared" si="9"/>
        <v>202302</v>
      </c>
      <c r="B509" s="5" t="str">
        <f>"23085011006"</f>
        <v>23085011006</v>
      </c>
      <c r="C509" s="6">
        <v>0</v>
      </c>
      <c r="D509" s="6">
        <v>0</v>
      </c>
      <c r="E509" s="6">
        <v>0</v>
      </c>
      <c r="F509" s="11" t="s">
        <v>7</v>
      </c>
    </row>
    <row r="510" spans="1:6">
      <c r="A510" s="5" t="str">
        <f t="shared" si="9"/>
        <v>202302</v>
      </c>
      <c r="B510" s="5" t="str">
        <f>"23085011124"</f>
        <v>23085011124</v>
      </c>
      <c r="C510" s="6">
        <v>0</v>
      </c>
      <c r="D510" s="6">
        <v>0</v>
      </c>
      <c r="E510" s="6">
        <v>0</v>
      </c>
      <c r="F510" s="11" t="s">
        <v>7</v>
      </c>
    </row>
    <row r="511" spans="1:6">
      <c r="A511" s="5" t="str">
        <f t="shared" si="9"/>
        <v>202302</v>
      </c>
      <c r="B511" s="5" t="str">
        <f>"23085010721"</f>
        <v>23085010721</v>
      </c>
      <c r="C511" s="6">
        <v>0</v>
      </c>
      <c r="D511" s="6">
        <v>0</v>
      </c>
      <c r="E511" s="6">
        <v>0</v>
      </c>
      <c r="F511" s="11" t="s">
        <v>7</v>
      </c>
    </row>
    <row r="512" spans="1:6">
      <c r="A512" s="5" t="str">
        <f t="shared" si="9"/>
        <v>202302</v>
      </c>
      <c r="B512" s="5" t="str">
        <f>"23085011218"</f>
        <v>23085011218</v>
      </c>
      <c r="C512" s="6">
        <v>0</v>
      </c>
      <c r="D512" s="6">
        <v>0</v>
      </c>
      <c r="E512" s="6">
        <v>0</v>
      </c>
      <c r="F512" s="11" t="s">
        <v>7</v>
      </c>
    </row>
    <row r="513" spans="1:6">
      <c r="A513" s="5" t="str">
        <f t="shared" si="9"/>
        <v>202302</v>
      </c>
      <c r="B513" s="5" t="str">
        <f>"23085011511"</f>
        <v>23085011511</v>
      </c>
      <c r="C513" s="6">
        <v>0</v>
      </c>
      <c r="D513" s="6">
        <v>0</v>
      </c>
      <c r="E513" s="6">
        <v>0</v>
      </c>
      <c r="F513" s="11" t="s">
        <v>7</v>
      </c>
    </row>
    <row r="514" spans="1:6">
      <c r="A514" s="5" t="str">
        <f t="shared" si="9"/>
        <v>202302</v>
      </c>
      <c r="B514" s="5" t="str">
        <f>"23085011030"</f>
        <v>23085011030</v>
      </c>
      <c r="C514" s="6">
        <v>0</v>
      </c>
      <c r="D514" s="6">
        <v>0</v>
      </c>
      <c r="E514" s="6">
        <v>0</v>
      </c>
      <c r="F514" s="11" t="s">
        <v>7</v>
      </c>
    </row>
    <row r="515" spans="1:6">
      <c r="A515" s="5" t="str">
        <f t="shared" si="9"/>
        <v>202302</v>
      </c>
      <c r="B515" s="5" t="str">
        <f>"23085011503"</f>
        <v>23085011503</v>
      </c>
      <c r="C515" s="6">
        <v>0</v>
      </c>
      <c r="D515" s="6">
        <v>0</v>
      </c>
      <c r="E515" s="6">
        <v>0</v>
      </c>
      <c r="F515" s="11" t="s">
        <v>7</v>
      </c>
    </row>
    <row r="516" spans="1:6">
      <c r="A516" s="5" t="str">
        <f t="shared" si="9"/>
        <v>202302</v>
      </c>
      <c r="B516" s="5" t="str">
        <f>"23085010606"</f>
        <v>23085010606</v>
      </c>
      <c r="C516" s="6">
        <v>0</v>
      </c>
      <c r="D516" s="6">
        <v>0</v>
      </c>
      <c r="E516" s="6">
        <v>0</v>
      </c>
      <c r="F516" s="11" t="s">
        <v>7</v>
      </c>
    </row>
    <row r="517" spans="1:6">
      <c r="A517" s="5" t="str">
        <f t="shared" si="9"/>
        <v>202302</v>
      </c>
      <c r="B517" s="5" t="str">
        <f>"23085011027"</f>
        <v>23085011027</v>
      </c>
      <c r="C517" s="6">
        <v>0</v>
      </c>
      <c r="D517" s="6">
        <v>0</v>
      </c>
      <c r="E517" s="6">
        <v>0</v>
      </c>
      <c r="F517" s="11" t="s">
        <v>7</v>
      </c>
    </row>
    <row r="518" spans="1:6">
      <c r="A518" s="5" t="str">
        <f t="shared" si="9"/>
        <v>202302</v>
      </c>
      <c r="B518" s="5" t="str">
        <f>"23085011408"</f>
        <v>23085011408</v>
      </c>
      <c r="C518" s="6">
        <v>0</v>
      </c>
      <c r="D518" s="6">
        <v>0</v>
      </c>
      <c r="E518" s="6">
        <v>0</v>
      </c>
      <c r="F518" s="11" t="s">
        <v>7</v>
      </c>
    </row>
    <row r="519" spans="1:6">
      <c r="A519" s="5" t="str">
        <f t="shared" si="9"/>
        <v>202302</v>
      </c>
      <c r="B519" s="5" t="str">
        <f>"23085011212"</f>
        <v>23085011212</v>
      </c>
      <c r="C519" s="6">
        <v>0</v>
      </c>
      <c r="D519" s="6">
        <v>0</v>
      </c>
      <c r="E519" s="6">
        <v>0</v>
      </c>
      <c r="F519" s="11" t="s">
        <v>7</v>
      </c>
    </row>
    <row r="520" spans="1:6">
      <c r="A520" s="5" t="str">
        <f t="shared" si="9"/>
        <v>202302</v>
      </c>
      <c r="B520" s="5" t="str">
        <f>"23085011111"</f>
        <v>23085011111</v>
      </c>
      <c r="C520" s="6">
        <v>0</v>
      </c>
      <c r="D520" s="6">
        <v>0</v>
      </c>
      <c r="E520" s="6">
        <v>0</v>
      </c>
      <c r="F520" s="11" t="s">
        <v>7</v>
      </c>
    </row>
    <row r="521" spans="1:6">
      <c r="A521" s="5" t="str">
        <f t="shared" si="9"/>
        <v>202302</v>
      </c>
      <c r="B521" s="5" t="str">
        <f>"23085011222"</f>
        <v>23085011222</v>
      </c>
      <c r="C521" s="6">
        <v>0</v>
      </c>
      <c r="D521" s="6">
        <v>0</v>
      </c>
      <c r="E521" s="6">
        <v>0</v>
      </c>
      <c r="F521" s="11" t="s">
        <v>7</v>
      </c>
    </row>
    <row r="522" spans="1:6">
      <c r="A522" s="5" t="str">
        <f t="shared" si="9"/>
        <v>202302</v>
      </c>
      <c r="B522" s="5" t="str">
        <f>"23085011204"</f>
        <v>23085011204</v>
      </c>
      <c r="C522" s="6">
        <v>0</v>
      </c>
      <c r="D522" s="6">
        <v>0</v>
      </c>
      <c r="E522" s="6">
        <v>0</v>
      </c>
      <c r="F522" s="11" t="s">
        <v>7</v>
      </c>
    </row>
    <row r="523" spans="1:6">
      <c r="A523" s="5" t="str">
        <f t="shared" si="9"/>
        <v>202302</v>
      </c>
      <c r="B523" s="5" t="str">
        <f>"23085011625"</f>
        <v>23085011625</v>
      </c>
      <c r="C523" s="6">
        <v>0</v>
      </c>
      <c r="D523" s="6">
        <v>0</v>
      </c>
      <c r="E523" s="6">
        <v>0</v>
      </c>
      <c r="F523" s="11" t="s">
        <v>7</v>
      </c>
    </row>
    <row r="524" spans="1:6">
      <c r="A524" s="5" t="str">
        <f t="shared" si="9"/>
        <v>202302</v>
      </c>
      <c r="B524" s="5" t="str">
        <f>"23085010819"</f>
        <v>23085010819</v>
      </c>
      <c r="C524" s="6">
        <v>0</v>
      </c>
      <c r="D524" s="6">
        <v>0</v>
      </c>
      <c r="E524" s="6">
        <v>0</v>
      </c>
      <c r="F524" s="11" t="s">
        <v>7</v>
      </c>
    </row>
    <row r="525" spans="1:6">
      <c r="A525" s="5" t="str">
        <f t="shared" si="9"/>
        <v>202302</v>
      </c>
      <c r="B525" s="5" t="str">
        <f>"23085011509"</f>
        <v>23085011509</v>
      </c>
      <c r="C525" s="6">
        <v>0</v>
      </c>
      <c r="D525" s="6">
        <v>0</v>
      </c>
      <c r="E525" s="6">
        <v>0</v>
      </c>
      <c r="F525" s="11" t="s">
        <v>7</v>
      </c>
    </row>
    <row r="526" spans="1:6">
      <c r="A526" s="5" t="str">
        <f t="shared" si="9"/>
        <v>202302</v>
      </c>
      <c r="B526" s="5" t="str">
        <f>"23085011729"</f>
        <v>23085011729</v>
      </c>
      <c r="C526" s="6">
        <v>0</v>
      </c>
      <c r="D526" s="6">
        <v>0</v>
      </c>
      <c r="E526" s="6">
        <v>0</v>
      </c>
      <c r="F526" s="11" t="s">
        <v>7</v>
      </c>
    </row>
    <row r="527" spans="1:6">
      <c r="A527" s="5" t="str">
        <f t="shared" si="9"/>
        <v>202302</v>
      </c>
      <c r="B527" s="5" t="str">
        <f>"23085011808"</f>
        <v>23085011808</v>
      </c>
      <c r="C527" s="6">
        <v>0</v>
      </c>
      <c r="D527" s="6">
        <v>0</v>
      </c>
      <c r="E527" s="6">
        <v>0</v>
      </c>
      <c r="F527" s="11" t="s">
        <v>7</v>
      </c>
    </row>
    <row r="528" spans="1:6">
      <c r="A528" s="5" t="str">
        <f t="shared" si="9"/>
        <v>202302</v>
      </c>
      <c r="B528" s="5" t="str">
        <f>"23085011118"</f>
        <v>23085011118</v>
      </c>
      <c r="C528" s="6">
        <v>0</v>
      </c>
      <c r="D528" s="6">
        <v>0</v>
      </c>
      <c r="E528" s="6">
        <v>0</v>
      </c>
      <c r="F528" s="11" t="s">
        <v>7</v>
      </c>
    </row>
    <row r="529" spans="1:6">
      <c r="A529" s="5" t="str">
        <f t="shared" si="9"/>
        <v>202302</v>
      </c>
      <c r="B529" s="5" t="str">
        <f>"23085012020"</f>
        <v>23085012020</v>
      </c>
      <c r="C529" s="6">
        <v>0</v>
      </c>
      <c r="D529" s="6">
        <v>0</v>
      </c>
      <c r="E529" s="6">
        <v>0</v>
      </c>
      <c r="F529" s="11" t="s">
        <v>7</v>
      </c>
    </row>
    <row r="530" spans="1:6">
      <c r="A530" s="5" t="str">
        <f t="shared" si="9"/>
        <v>202302</v>
      </c>
      <c r="B530" s="5" t="str">
        <f>"23085011908"</f>
        <v>23085011908</v>
      </c>
      <c r="C530" s="6">
        <v>0</v>
      </c>
      <c r="D530" s="6">
        <v>0</v>
      </c>
      <c r="E530" s="6">
        <v>0</v>
      </c>
      <c r="F530" s="11" t="s">
        <v>7</v>
      </c>
    </row>
    <row r="531" spans="1:6">
      <c r="A531" s="5" t="str">
        <f t="shared" si="9"/>
        <v>202302</v>
      </c>
      <c r="B531" s="5" t="str">
        <f>"23085010729"</f>
        <v>23085010729</v>
      </c>
      <c r="C531" s="6">
        <v>0</v>
      </c>
      <c r="D531" s="6">
        <v>0</v>
      </c>
      <c r="E531" s="6">
        <v>0</v>
      </c>
      <c r="F531" s="11" t="s">
        <v>7</v>
      </c>
    </row>
    <row r="532" spans="1:6">
      <c r="A532" s="5" t="str">
        <f t="shared" si="9"/>
        <v>202302</v>
      </c>
      <c r="B532" s="5" t="str">
        <f>"23085011923"</f>
        <v>23085011923</v>
      </c>
      <c r="C532" s="6">
        <v>0</v>
      </c>
      <c r="D532" s="6">
        <v>0</v>
      </c>
      <c r="E532" s="6">
        <v>0</v>
      </c>
      <c r="F532" s="11" t="s">
        <v>7</v>
      </c>
    </row>
    <row r="533" spans="1:6">
      <c r="A533" s="5" t="str">
        <f t="shared" si="9"/>
        <v>202302</v>
      </c>
      <c r="B533" s="5" t="str">
        <f>"23085011903"</f>
        <v>23085011903</v>
      </c>
      <c r="C533" s="6">
        <v>0</v>
      </c>
      <c r="D533" s="6">
        <v>0</v>
      </c>
      <c r="E533" s="6">
        <v>0</v>
      </c>
      <c r="F533" s="11" t="s">
        <v>7</v>
      </c>
    </row>
    <row r="534" spans="1:6">
      <c r="A534" s="5" t="str">
        <f t="shared" si="9"/>
        <v>202302</v>
      </c>
      <c r="B534" s="5" t="str">
        <f>"23085011021"</f>
        <v>23085011021</v>
      </c>
      <c r="C534" s="6">
        <v>0</v>
      </c>
      <c r="D534" s="6">
        <v>0</v>
      </c>
      <c r="E534" s="6">
        <v>0</v>
      </c>
      <c r="F534" s="11" t="s">
        <v>7</v>
      </c>
    </row>
    <row r="535" spans="1:6">
      <c r="A535" s="5" t="str">
        <f t="shared" si="9"/>
        <v>202302</v>
      </c>
      <c r="B535" s="5" t="str">
        <f>"23085011127"</f>
        <v>23085011127</v>
      </c>
      <c r="C535" s="6">
        <v>0</v>
      </c>
      <c r="D535" s="6">
        <v>0</v>
      </c>
      <c r="E535" s="6">
        <v>0</v>
      </c>
      <c r="F535" s="11" t="s">
        <v>7</v>
      </c>
    </row>
    <row r="536" spans="1:6">
      <c r="A536" s="5" t="str">
        <f t="shared" si="9"/>
        <v>202302</v>
      </c>
      <c r="B536" s="5" t="str">
        <f>"23085011209"</f>
        <v>23085011209</v>
      </c>
      <c r="C536" s="6">
        <v>0</v>
      </c>
      <c r="D536" s="6">
        <v>0</v>
      </c>
      <c r="E536" s="6">
        <v>0</v>
      </c>
      <c r="F536" s="11" t="s">
        <v>7</v>
      </c>
    </row>
    <row r="537" spans="1:6">
      <c r="A537" s="5" t="str">
        <f t="shared" ref="A537:A600" si="10">"202302"</f>
        <v>202302</v>
      </c>
      <c r="B537" s="5" t="str">
        <f>"23085010803"</f>
        <v>23085010803</v>
      </c>
      <c r="C537" s="6">
        <v>0</v>
      </c>
      <c r="D537" s="6">
        <v>0</v>
      </c>
      <c r="E537" s="6">
        <v>0</v>
      </c>
      <c r="F537" s="11" t="s">
        <v>7</v>
      </c>
    </row>
    <row r="538" spans="1:6">
      <c r="A538" s="5" t="str">
        <f t="shared" si="10"/>
        <v>202302</v>
      </c>
      <c r="B538" s="5" t="str">
        <f>"23085011712"</f>
        <v>23085011712</v>
      </c>
      <c r="C538" s="6">
        <v>0</v>
      </c>
      <c r="D538" s="6">
        <v>0</v>
      </c>
      <c r="E538" s="6">
        <v>0</v>
      </c>
      <c r="F538" s="11" t="s">
        <v>7</v>
      </c>
    </row>
    <row r="539" spans="1:6">
      <c r="A539" s="5" t="str">
        <f t="shared" si="10"/>
        <v>202302</v>
      </c>
      <c r="B539" s="5" t="str">
        <f>"23085011821"</f>
        <v>23085011821</v>
      </c>
      <c r="C539" s="6">
        <v>0</v>
      </c>
      <c r="D539" s="6">
        <v>0</v>
      </c>
      <c r="E539" s="6">
        <v>0</v>
      </c>
      <c r="F539" s="11" t="s">
        <v>7</v>
      </c>
    </row>
    <row r="540" spans="1:6">
      <c r="A540" s="5" t="str">
        <f t="shared" si="10"/>
        <v>202302</v>
      </c>
      <c r="B540" s="5" t="str">
        <f>"23085011508"</f>
        <v>23085011508</v>
      </c>
      <c r="C540" s="6">
        <v>0</v>
      </c>
      <c r="D540" s="6">
        <v>0</v>
      </c>
      <c r="E540" s="6">
        <v>0</v>
      </c>
      <c r="F540" s="11" t="s">
        <v>7</v>
      </c>
    </row>
    <row r="541" spans="1:6">
      <c r="A541" s="5" t="str">
        <f t="shared" si="10"/>
        <v>202302</v>
      </c>
      <c r="B541" s="5" t="str">
        <f>"23085011614"</f>
        <v>23085011614</v>
      </c>
      <c r="C541" s="6">
        <v>0</v>
      </c>
      <c r="D541" s="6">
        <v>0</v>
      </c>
      <c r="E541" s="6">
        <v>0</v>
      </c>
      <c r="F541" s="11" t="s">
        <v>7</v>
      </c>
    </row>
    <row r="542" spans="1:6">
      <c r="A542" s="5" t="str">
        <f t="shared" si="10"/>
        <v>202302</v>
      </c>
      <c r="B542" s="5" t="str">
        <f>"23085011911"</f>
        <v>23085011911</v>
      </c>
      <c r="C542" s="6">
        <v>0</v>
      </c>
      <c r="D542" s="6">
        <v>0</v>
      </c>
      <c r="E542" s="6">
        <v>0</v>
      </c>
      <c r="F542" s="11" t="s">
        <v>7</v>
      </c>
    </row>
    <row r="543" spans="1:6">
      <c r="A543" s="5" t="str">
        <f t="shared" si="10"/>
        <v>202302</v>
      </c>
      <c r="B543" s="5" t="str">
        <f>"23085011125"</f>
        <v>23085011125</v>
      </c>
      <c r="C543" s="6">
        <v>0</v>
      </c>
      <c r="D543" s="6">
        <v>0</v>
      </c>
      <c r="E543" s="6">
        <v>0</v>
      </c>
      <c r="F543" s="11" t="s">
        <v>7</v>
      </c>
    </row>
    <row r="544" spans="1:6">
      <c r="A544" s="5" t="str">
        <f t="shared" si="10"/>
        <v>202302</v>
      </c>
      <c r="B544" s="5" t="str">
        <f>"23085010913"</f>
        <v>23085010913</v>
      </c>
      <c r="C544" s="6">
        <v>0</v>
      </c>
      <c r="D544" s="6">
        <v>0</v>
      </c>
      <c r="E544" s="6">
        <v>0</v>
      </c>
      <c r="F544" s="11" t="s">
        <v>7</v>
      </c>
    </row>
    <row r="545" spans="1:6">
      <c r="A545" s="5" t="str">
        <f t="shared" si="10"/>
        <v>202302</v>
      </c>
      <c r="B545" s="5" t="str">
        <f>"23085011615"</f>
        <v>23085011615</v>
      </c>
      <c r="C545" s="6">
        <v>0</v>
      </c>
      <c r="D545" s="6">
        <v>0</v>
      </c>
      <c r="E545" s="6">
        <v>0</v>
      </c>
      <c r="F545" s="11" t="s">
        <v>7</v>
      </c>
    </row>
    <row r="546" spans="1:6">
      <c r="A546" s="5" t="str">
        <f t="shared" si="10"/>
        <v>202302</v>
      </c>
      <c r="B546" s="5" t="str">
        <f>"23085012010"</f>
        <v>23085012010</v>
      </c>
      <c r="C546" s="6">
        <v>0</v>
      </c>
      <c r="D546" s="6">
        <v>0</v>
      </c>
      <c r="E546" s="6">
        <v>0</v>
      </c>
      <c r="F546" s="11" t="s">
        <v>7</v>
      </c>
    </row>
    <row r="547" spans="1:6">
      <c r="A547" s="5" t="str">
        <f t="shared" si="10"/>
        <v>202302</v>
      </c>
      <c r="B547" s="5" t="str">
        <f>"23085011722"</f>
        <v>23085011722</v>
      </c>
      <c r="C547" s="6">
        <v>0</v>
      </c>
      <c r="D547" s="6">
        <v>0</v>
      </c>
      <c r="E547" s="6">
        <v>0</v>
      </c>
      <c r="F547" s="11" t="s">
        <v>7</v>
      </c>
    </row>
    <row r="548" spans="1:6">
      <c r="A548" s="5" t="str">
        <f t="shared" si="10"/>
        <v>202302</v>
      </c>
      <c r="B548" s="5" t="str">
        <f>"23085011002"</f>
        <v>23085011002</v>
      </c>
      <c r="C548" s="6">
        <v>0</v>
      </c>
      <c r="D548" s="6">
        <v>0</v>
      </c>
      <c r="E548" s="6">
        <v>0</v>
      </c>
      <c r="F548" s="11" t="s">
        <v>7</v>
      </c>
    </row>
    <row r="549" spans="1:6">
      <c r="A549" s="5" t="str">
        <f t="shared" si="10"/>
        <v>202302</v>
      </c>
      <c r="B549" s="5" t="str">
        <f>"23085011101"</f>
        <v>23085011101</v>
      </c>
      <c r="C549" s="6">
        <v>0</v>
      </c>
      <c r="D549" s="6">
        <v>0</v>
      </c>
      <c r="E549" s="6">
        <v>0</v>
      </c>
      <c r="F549" s="11" t="s">
        <v>7</v>
      </c>
    </row>
    <row r="550" spans="1:6">
      <c r="A550" s="5" t="str">
        <f t="shared" si="10"/>
        <v>202302</v>
      </c>
      <c r="B550" s="5" t="str">
        <f>"23085011616"</f>
        <v>23085011616</v>
      </c>
      <c r="C550" s="6">
        <v>0</v>
      </c>
      <c r="D550" s="6">
        <v>0</v>
      </c>
      <c r="E550" s="6">
        <v>0</v>
      </c>
      <c r="F550" s="11" t="s">
        <v>7</v>
      </c>
    </row>
    <row r="551" spans="1:6">
      <c r="A551" s="5" t="str">
        <f t="shared" si="10"/>
        <v>202302</v>
      </c>
      <c r="B551" s="5" t="str">
        <f>"23085011506"</f>
        <v>23085011506</v>
      </c>
      <c r="C551" s="6">
        <v>0</v>
      </c>
      <c r="D551" s="6">
        <v>0</v>
      </c>
      <c r="E551" s="6">
        <v>0</v>
      </c>
      <c r="F551" s="11" t="s">
        <v>7</v>
      </c>
    </row>
    <row r="552" spans="1:6">
      <c r="A552" s="5" t="str">
        <f t="shared" si="10"/>
        <v>202302</v>
      </c>
      <c r="B552" s="5" t="str">
        <f>"23085011921"</f>
        <v>23085011921</v>
      </c>
      <c r="C552" s="6">
        <v>0</v>
      </c>
      <c r="D552" s="6">
        <v>0</v>
      </c>
      <c r="E552" s="6">
        <v>0</v>
      </c>
      <c r="F552" s="11" t="s">
        <v>7</v>
      </c>
    </row>
    <row r="553" spans="1:6">
      <c r="A553" s="5" t="str">
        <f t="shared" si="10"/>
        <v>202302</v>
      </c>
      <c r="B553" s="5" t="str">
        <f>"23085010828"</f>
        <v>23085010828</v>
      </c>
      <c r="C553" s="6">
        <v>0</v>
      </c>
      <c r="D553" s="6">
        <v>0</v>
      </c>
      <c r="E553" s="6">
        <v>0</v>
      </c>
      <c r="F553" s="11" t="s">
        <v>7</v>
      </c>
    </row>
    <row r="554" spans="1:6">
      <c r="A554" s="5" t="str">
        <f t="shared" si="10"/>
        <v>202302</v>
      </c>
      <c r="B554" s="5" t="str">
        <f>"23085012104"</f>
        <v>23085012104</v>
      </c>
      <c r="C554" s="6">
        <v>0</v>
      </c>
      <c r="D554" s="6">
        <v>0</v>
      </c>
      <c r="E554" s="6">
        <v>0</v>
      </c>
      <c r="F554" s="11" t="s">
        <v>7</v>
      </c>
    </row>
    <row r="555" spans="1:6">
      <c r="A555" s="5" t="str">
        <f t="shared" si="10"/>
        <v>202302</v>
      </c>
      <c r="B555" s="5" t="str">
        <f>"23085011701"</f>
        <v>23085011701</v>
      </c>
      <c r="C555" s="6">
        <v>0</v>
      </c>
      <c r="D555" s="6">
        <v>0</v>
      </c>
      <c r="E555" s="6">
        <v>0</v>
      </c>
      <c r="F555" s="11" t="s">
        <v>7</v>
      </c>
    </row>
    <row r="556" spans="1:6">
      <c r="A556" s="5" t="str">
        <f t="shared" si="10"/>
        <v>202302</v>
      </c>
      <c r="B556" s="5" t="str">
        <f>"23085011114"</f>
        <v>23085011114</v>
      </c>
      <c r="C556" s="6">
        <v>0</v>
      </c>
      <c r="D556" s="6">
        <v>0</v>
      </c>
      <c r="E556" s="6">
        <v>0</v>
      </c>
      <c r="F556" s="11" t="s">
        <v>7</v>
      </c>
    </row>
    <row r="557" spans="1:6">
      <c r="A557" s="5" t="str">
        <f t="shared" si="10"/>
        <v>202302</v>
      </c>
      <c r="B557" s="5" t="str">
        <f>"23085011228"</f>
        <v>23085011228</v>
      </c>
      <c r="C557" s="6">
        <v>0</v>
      </c>
      <c r="D557" s="6">
        <v>0</v>
      </c>
      <c r="E557" s="6">
        <v>0</v>
      </c>
      <c r="F557" s="11" t="s">
        <v>7</v>
      </c>
    </row>
    <row r="558" spans="1:6">
      <c r="A558" s="5" t="str">
        <f t="shared" si="10"/>
        <v>202302</v>
      </c>
      <c r="B558" s="5" t="str">
        <f>"23085011504"</f>
        <v>23085011504</v>
      </c>
      <c r="C558" s="6">
        <v>0</v>
      </c>
      <c r="D558" s="6">
        <v>0</v>
      </c>
      <c r="E558" s="6">
        <v>0</v>
      </c>
      <c r="F558" s="11" t="s">
        <v>7</v>
      </c>
    </row>
    <row r="559" spans="1:6">
      <c r="A559" s="5" t="str">
        <f t="shared" si="10"/>
        <v>202302</v>
      </c>
      <c r="B559" s="5" t="str">
        <f>"23085010917"</f>
        <v>23085010917</v>
      </c>
      <c r="C559" s="6">
        <v>0</v>
      </c>
      <c r="D559" s="6">
        <v>0</v>
      </c>
      <c r="E559" s="6">
        <v>0</v>
      </c>
      <c r="F559" s="11" t="s">
        <v>7</v>
      </c>
    </row>
    <row r="560" spans="1:6">
      <c r="A560" s="5" t="str">
        <f t="shared" si="10"/>
        <v>202302</v>
      </c>
      <c r="B560" s="5" t="str">
        <f>"23085010727"</f>
        <v>23085010727</v>
      </c>
      <c r="C560" s="6">
        <v>0</v>
      </c>
      <c r="D560" s="6">
        <v>0</v>
      </c>
      <c r="E560" s="6">
        <v>0</v>
      </c>
      <c r="F560" s="11" t="s">
        <v>7</v>
      </c>
    </row>
    <row r="561" spans="1:6">
      <c r="A561" s="5" t="str">
        <f t="shared" si="10"/>
        <v>202302</v>
      </c>
      <c r="B561" s="5" t="str">
        <f>"23085011721"</f>
        <v>23085011721</v>
      </c>
      <c r="C561" s="6">
        <v>0</v>
      </c>
      <c r="D561" s="6">
        <v>0</v>
      </c>
      <c r="E561" s="6">
        <v>0</v>
      </c>
      <c r="F561" s="11" t="s">
        <v>7</v>
      </c>
    </row>
    <row r="562" spans="1:6">
      <c r="A562" s="5" t="str">
        <f t="shared" si="10"/>
        <v>202302</v>
      </c>
      <c r="B562" s="5" t="str">
        <f>"23085011913"</f>
        <v>23085011913</v>
      </c>
      <c r="C562" s="6">
        <v>0</v>
      </c>
      <c r="D562" s="6">
        <v>0</v>
      </c>
      <c r="E562" s="6">
        <v>0</v>
      </c>
      <c r="F562" s="11" t="s">
        <v>7</v>
      </c>
    </row>
    <row r="563" spans="1:6">
      <c r="A563" s="5" t="str">
        <f t="shared" si="10"/>
        <v>202302</v>
      </c>
      <c r="B563" s="5" t="str">
        <f>"23085011326"</f>
        <v>23085011326</v>
      </c>
      <c r="C563" s="6">
        <v>0</v>
      </c>
      <c r="D563" s="6">
        <v>0</v>
      </c>
      <c r="E563" s="6">
        <v>0</v>
      </c>
      <c r="F563" s="11" t="s">
        <v>7</v>
      </c>
    </row>
    <row r="564" spans="1:6">
      <c r="A564" s="5" t="str">
        <f t="shared" si="10"/>
        <v>202302</v>
      </c>
      <c r="B564" s="5" t="str">
        <f>"23085011019"</f>
        <v>23085011019</v>
      </c>
      <c r="C564" s="6">
        <v>0</v>
      </c>
      <c r="D564" s="6">
        <v>0</v>
      </c>
      <c r="E564" s="6">
        <v>0</v>
      </c>
      <c r="F564" s="11" t="s">
        <v>7</v>
      </c>
    </row>
    <row r="565" spans="1:6">
      <c r="A565" s="5" t="str">
        <f t="shared" si="10"/>
        <v>202302</v>
      </c>
      <c r="B565" s="5" t="str">
        <f>"23085010710"</f>
        <v>23085010710</v>
      </c>
      <c r="C565" s="6">
        <v>0</v>
      </c>
      <c r="D565" s="6">
        <v>0</v>
      </c>
      <c r="E565" s="6">
        <v>0</v>
      </c>
      <c r="F565" s="11" t="s">
        <v>7</v>
      </c>
    </row>
    <row r="566" spans="1:6">
      <c r="A566" s="5" t="str">
        <f t="shared" si="10"/>
        <v>202302</v>
      </c>
      <c r="B566" s="5" t="str">
        <f>"23085011010"</f>
        <v>23085011010</v>
      </c>
      <c r="C566" s="6">
        <v>0</v>
      </c>
      <c r="D566" s="6">
        <v>0</v>
      </c>
      <c r="E566" s="6">
        <v>0</v>
      </c>
      <c r="F566" s="11" t="s">
        <v>7</v>
      </c>
    </row>
    <row r="567" spans="1:6">
      <c r="A567" s="5" t="str">
        <f t="shared" si="10"/>
        <v>202302</v>
      </c>
      <c r="B567" s="5" t="str">
        <f>"23085010616"</f>
        <v>23085010616</v>
      </c>
      <c r="C567" s="6">
        <v>0</v>
      </c>
      <c r="D567" s="6">
        <v>0</v>
      </c>
      <c r="E567" s="6">
        <v>0</v>
      </c>
      <c r="F567" s="11" t="s">
        <v>7</v>
      </c>
    </row>
    <row r="568" spans="1:6">
      <c r="A568" s="5" t="str">
        <f t="shared" si="10"/>
        <v>202302</v>
      </c>
      <c r="B568" s="5" t="str">
        <f>"23085011803"</f>
        <v>23085011803</v>
      </c>
      <c r="C568" s="6">
        <v>0</v>
      </c>
      <c r="D568" s="6">
        <v>0</v>
      </c>
      <c r="E568" s="6">
        <v>0</v>
      </c>
      <c r="F568" s="11" t="s">
        <v>7</v>
      </c>
    </row>
    <row r="569" spans="1:6">
      <c r="A569" s="5" t="str">
        <f t="shared" si="10"/>
        <v>202302</v>
      </c>
      <c r="B569" s="5" t="str">
        <f>"23085010928"</f>
        <v>23085010928</v>
      </c>
      <c r="C569" s="6">
        <v>0</v>
      </c>
      <c r="D569" s="6">
        <v>0</v>
      </c>
      <c r="E569" s="6">
        <v>0</v>
      </c>
      <c r="F569" s="11" t="s">
        <v>7</v>
      </c>
    </row>
    <row r="570" spans="1:6">
      <c r="A570" s="5" t="str">
        <f t="shared" si="10"/>
        <v>202302</v>
      </c>
      <c r="B570" s="5" t="str">
        <f>"23085010811"</f>
        <v>23085010811</v>
      </c>
      <c r="C570" s="6">
        <v>0</v>
      </c>
      <c r="D570" s="6">
        <v>0</v>
      </c>
      <c r="E570" s="6">
        <v>0</v>
      </c>
      <c r="F570" s="11" t="s">
        <v>7</v>
      </c>
    </row>
    <row r="571" spans="1:6">
      <c r="A571" s="5" t="str">
        <f t="shared" si="10"/>
        <v>202302</v>
      </c>
      <c r="B571" s="5" t="str">
        <f>"23085011613"</f>
        <v>23085011613</v>
      </c>
      <c r="C571" s="6">
        <v>0</v>
      </c>
      <c r="D571" s="6">
        <v>0</v>
      </c>
      <c r="E571" s="6">
        <v>0</v>
      </c>
      <c r="F571" s="11" t="s">
        <v>7</v>
      </c>
    </row>
    <row r="572" spans="1:6">
      <c r="A572" s="5" t="str">
        <f t="shared" si="10"/>
        <v>202302</v>
      </c>
      <c r="B572" s="5" t="str">
        <f>"23085012007"</f>
        <v>23085012007</v>
      </c>
      <c r="C572" s="6">
        <v>0</v>
      </c>
      <c r="D572" s="6">
        <v>0</v>
      </c>
      <c r="E572" s="6">
        <v>0</v>
      </c>
      <c r="F572" s="11" t="s">
        <v>7</v>
      </c>
    </row>
    <row r="573" spans="1:6">
      <c r="A573" s="5" t="str">
        <f t="shared" si="10"/>
        <v>202302</v>
      </c>
      <c r="B573" s="5" t="str">
        <f>"23085011811"</f>
        <v>23085011811</v>
      </c>
      <c r="C573" s="6">
        <v>0</v>
      </c>
      <c r="D573" s="6">
        <v>0</v>
      </c>
      <c r="E573" s="6">
        <v>0</v>
      </c>
      <c r="F573" s="11" t="s">
        <v>7</v>
      </c>
    </row>
    <row r="574" spans="1:6">
      <c r="A574" s="5" t="str">
        <f t="shared" si="10"/>
        <v>202302</v>
      </c>
      <c r="B574" s="5" t="str">
        <f>"23085011430"</f>
        <v>23085011430</v>
      </c>
      <c r="C574" s="6">
        <v>0</v>
      </c>
      <c r="D574" s="6">
        <v>0</v>
      </c>
      <c r="E574" s="6">
        <v>0</v>
      </c>
      <c r="F574" s="11" t="s">
        <v>7</v>
      </c>
    </row>
    <row r="575" spans="1:6">
      <c r="A575" s="5" t="str">
        <f t="shared" si="10"/>
        <v>202302</v>
      </c>
      <c r="B575" s="5" t="str">
        <f>"23085011515"</f>
        <v>23085011515</v>
      </c>
      <c r="C575" s="6">
        <v>0</v>
      </c>
      <c r="D575" s="6">
        <v>0</v>
      </c>
      <c r="E575" s="6">
        <v>0</v>
      </c>
      <c r="F575" s="11" t="s">
        <v>7</v>
      </c>
    </row>
    <row r="576" spans="1:6">
      <c r="A576" s="5" t="str">
        <f t="shared" si="10"/>
        <v>202302</v>
      </c>
      <c r="B576" s="5" t="str">
        <f>"23085011910"</f>
        <v>23085011910</v>
      </c>
      <c r="C576" s="6">
        <v>0</v>
      </c>
      <c r="D576" s="6">
        <v>0</v>
      </c>
      <c r="E576" s="6">
        <v>0</v>
      </c>
      <c r="F576" s="11" t="s">
        <v>7</v>
      </c>
    </row>
    <row r="577" spans="1:6">
      <c r="A577" s="5" t="str">
        <f t="shared" si="10"/>
        <v>202302</v>
      </c>
      <c r="B577" s="5" t="str">
        <f>"23085011029"</f>
        <v>23085011029</v>
      </c>
      <c r="C577" s="6">
        <v>0</v>
      </c>
      <c r="D577" s="6">
        <v>0</v>
      </c>
      <c r="E577" s="6">
        <v>0</v>
      </c>
      <c r="F577" s="11" t="s">
        <v>7</v>
      </c>
    </row>
    <row r="578" spans="1:6">
      <c r="A578" s="5" t="str">
        <f t="shared" si="10"/>
        <v>202302</v>
      </c>
      <c r="B578" s="5" t="str">
        <f>"23085010621"</f>
        <v>23085010621</v>
      </c>
      <c r="C578" s="6">
        <v>0</v>
      </c>
      <c r="D578" s="6">
        <v>0</v>
      </c>
      <c r="E578" s="6">
        <v>0</v>
      </c>
      <c r="F578" s="11" t="s">
        <v>7</v>
      </c>
    </row>
    <row r="579" spans="1:6">
      <c r="A579" s="5" t="str">
        <f t="shared" si="10"/>
        <v>202302</v>
      </c>
      <c r="B579" s="5" t="str">
        <f>"23085011022"</f>
        <v>23085011022</v>
      </c>
      <c r="C579" s="6">
        <v>0</v>
      </c>
      <c r="D579" s="6">
        <v>0</v>
      </c>
      <c r="E579" s="6">
        <v>0</v>
      </c>
      <c r="F579" s="11" t="s">
        <v>7</v>
      </c>
    </row>
    <row r="580" spans="1:6">
      <c r="A580" s="5" t="str">
        <f t="shared" si="10"/>
        <v>202302</v>
      </c>
      <c r="B580" s="5" t="str">
        <f>"23085011306"</f>
        <v>23085011306</v>
      </c>
      <c r="C580" s="6">
        <v>0</v>
      </c>
      <c r="D580" s="6">
        <v>0</v>
      </c>
      <c r="E580" s="6">
        <v>0</v>
      </c>
      <c r="F580" s="11" t="s">
        <v>7</v>
      </c>
    </row>
    <row r="581" spans="1:6">
      <c r="A581" s="5" t="str">
        <f t="shared" si="10"/>
        <v>202302</v>
      </c>
      <c r="B581" s="5" t="str">
        <f>"23085010921"</f>
        <v>23085010921</v>
      </c>
      <c r="C581" s="6">
        <v>0</v>
      </c>
      <c r="D581" s="6">
        <v>0</v>
      </c>
      <c r="E581" s="6">
        <v>0</v>
      </c>
      <c r="F581" s="11" t="s">
        <v>7</v>
      </c>
    </row>
    <row r="582" spans="1:6">
      <c r="A582" s="5" t="str">
        <f t="shared" si="10"/>
        <v>202302</v>
      </c>
      <c r="B582" s="5" t="str">
        <f>"23085011527"</f>
        <v>23085011527</v>
      </c>
      <c r="C582" s="6">
        <v>0</v>
      </c>
      <c r="D582" s="6">
        <v>0</v>
      </c>
      <c r="E582" s="6">
        <v>0</v>
      </c>
      <c r="F582" s="11" t="s">
        <v>7</v>
      </c>
    </row>
    <row r="583" spans="1:6">
      <c r="A583" s="5" t="str">
        <f t="shared" si="10"/>
        <v>202302</v>
      </c>
      <c r="B583" s="5" t="str">
        <f>"23085011130"</f>
        <v>23085011130</v>
      </c>
      <c r="C583" s="6">
        <v>0</v>
      </c>
      <c r="D583" s="6">
        <v>0</v>
      </c>
      <c r="E583" s="6">
        <v>0</v>
      </c>
      <c r="F583" s="11" t="s">
        <v>7</v>
      </c>
    </row>
    <row r="584" spans="1:6">
      <c r="A584" s="5" t="str">
        <f t="shared" si="10"/>
        <v>202302</v>
      </c>
      <c r="B584" s="5" t="str">
        <f>"23085010717"</f>
        <v>23085010717</v>
      </c>
      <c r="C584" s="6">
        <v>0</v>
      </c>
      <c r="D584" s="6">
        <v>0</v>
      </c>
      <c r="E584" s="6">
        <v>0</v>
      </c>
      <c r="F584" s="11" t="s">
        <v>7</v>
      </c>
    </row>
    <row r="585" spans="1:6">
      <c r="A585" s="5" t="str">
        <f t="shared" si="10"/>
        <v>202302</v>
      </c>
      <c r="B585" s="5" t="str">
        <f>"23085011930"</f>
        <v>23085011930</v>
      </c>
      <c r="C585" s="6">
        <v>0</v>
      </c>
      <c r="D585" s="6">
        <v>0</v>
      </c>
      <c r="E585" s="6">
        <v>0</v>
      </c>
      <c r="F585" s="11" t="s">
        <v>7</v>
      </c>
    </row>
    <row r="586" spans="1:6">
      <c r="A586" s="5" t="str">
        <f t="shared" si="10"/>
        <v>202302</v>
      </c>
      <c r="B586" s="5" t="str">
        <f>"23085011723"</f>
        <v>23085011723</v>
      </c>
      <c r="C586" s="6">
        <v>0</v>
      </c>
      <c r="D586" s="6">
        <v>0</v>
      </c>
      <c r="E586" s="6">
        <v>0</v>
      </c>
      <c r="F586" s="11" t="s">
        <v>7</v>
      </c>
    </row>
    <row r="587" spans="1:6">
      <c r="A587" s="5" t="str">
        <f t="shared" si="10"/>
        <v>202302</v>
      </c>
      <c r="B587" s="5" t="str">
        <f>"23085010908"</f>
        <v>23085010908</v>
      </c>
      <c r="C587" s="6">
        <v>0</v>
      </c>
      <c r="D587" s="6">
        <v>0</v>
      </c>
      <c r="E587" s="6">
        <v>0</v>
      </c>
      <c r="F587" s="11" t="s">
        <v>7</v>
      </c>
    </row>
    <row r="588" spans="1:6">
      <c r="A588" s="5" t="str">
        <f t="shared" si="10"/>
        <v>202302</v>
      </c>
      <c r="B588" s="5" t="str">
        <f>"23085010825"</f>
        <v>23085010825</v>
      </c>
      <c r="C588" s="6">
        <v>0</v>
      </c>
      <c r="D588" s="6">
        <v>0</v>
      </c>
      <c r="E588" s="6">
        <v>0</v>
      </c>
      <c r="F588" s="11" t="s">
        <v>7</v>
      </c>
    </row>
    <row r="589" spans="1:6">
      <c r="A589" s="5" t="str">
        <f t="shared" si="10"/>
        <v>202302</v>
      </c>
      <c r="B589" s="5" t="str">
        <f>"23085012005"</f>
        <v>23085012005</v>
      </c>
      <c r="C589" s="6">
        <v>0</v>
      </c>
      <c r="D589" s="6">
        <v>0</v>
      </c>
      <c r="E589" s="6">
        <v>0</v>
      </c>
      <c r="F589" s="11" t="s">
        <v>7</v>
      </c>
    </row>
    <row r="590" spans="1:6">
      <c r="A590" s="5" t="str">
        <f t="shared" si="10"/>
        <v>202302</v>
      </c>
      <c r="B590" s="5" t="str">
        <f>"23085011730"</f>
        <v>23085011730</v>
      </c>
      <c r="C590" s="6">
        <v>0</v>
      </c>
      <c r="D590" s="6">
        <v>0</v>
      </c>
      <c r="E590" s="6">
        <v>0</v>
      </c>
      <c r="F590" s="11" t="s">
        <v>7</v>
      </c>
    </row>
    <row r="591" spans="1:6">
      <c r="A591" s="5" t="str">
        <f t="shared" si="10"/>
        <v>202302</v>
      </c>
      <c r="B591" s="5" t="str">
        <f>"23085011302"</f>
        <v>23085011302</v>
      </c>
      <c r="C591" s="6">
        <v>0</v>
      </c>
      <c r="D591" s="6">
        <v>0</v>
      </c>
      <c r="E591" s="6">
        <v>0</v>
      </c>
      <c r="F591" s="11" t="s">
        <v>7</v>
      </c>
    </row>
    <row r="592" spans="1:6">
      <c r="A592" s="5" t="str">
        <f t="shared" si="10"/>
        <v>202302</v>
      </c>
      <c r="B592" s="5" t="str">
        <f>"23085010824"</f>
        <v>23085010824</v>
      </c>
      <c r="C592" s="6">
        <v>0</v>
      </c>
      <c r="D592" s="6">
        <v>0</v>
      </c>
      <c r="E592" s="6">
        <v>0</v>
      </c>
      <c r="F592" s="11" t="s">
        <v>7</v>
      </c>
    </row>
    <row r="593" spans="1:6">
      <c r="A593" s="5" t="str">
        <f t="shared" si="10"/>
        <v>202302</v>
      </c>
      <c r="B593" s="5" t="str">
        <f>"23085011420"</f>
        <v>23085011420</v>
      </c>
      <c r="C593" s="6">
        <v>0</v>
      </c>
      <c r="D593" s="6">
        <v>0</v>
      </c>
      <c r="E593" s="6">
        <v>0</v>
      </c>
      <c r="F593" s="11" t="s">
        <v>7</v>
      </c>
    </row>
    <row r="594" spans="1:6">
      <c r="A594" s="5" t="str">
        <f t="shared" si="10"/>
        <v>202302</v>
      </c>
      <c r="B594" s="5" t="str">
        <f>"23085010820"</f>
        <v>23085010820</v>
      </c>
      <c r="C594" s="6">
        <v>0</v>
      </c>
      <c r="D594" s="6">
        <v>0</v>
      </c>
      <c r="E594" s="6">
        <v>0</v>
      </c>
      <c r="F594" s="11" t="s">
        <v>7</v>
      </c>
    </row>
    <row r="595" spans="1:6">
      <c r="A595" s="5" t="str">
        <f t="shared" si="10"/>
        <v>202302</v>
      </c>
      <c r="B595" s="5" t="str">
        <f>"23085011510"</f>
        <v>23085011510</v>
      </c>
      <c r="C595" s="6">
        <v>0</v>
      </c>
      <c r="D595" s="6">
        <v>0</v>
      </c>
      <c r="E595" s="6">
        <v>0</v>
      </c>
      <c r="F595" s="11" t="s">
        <v>7</v>
      </c>
    </row>
    <row r="596" spans="1:6">
      <c r="A596" s="5" t="str">
        <f t="shared" si="10"/>
        <v>202302</v>
      </c>
      <c r="B596" s="5" t="str">
        <f>"23085011520"</f>
        <v>23085011520</v>
      </c>
      <c r="C596" s="6">
        <v>0</v>
      </c>
      <c r="D596" s="6">
        <v>0</v>
      </c>
      <c r="E596" s="6">
        <v>0</v>
      </c>
      <c r="F596" s="11" t="s">
        <v>7</v>
      </c>
    </row>
    <row r="597" spans="1:6">
      <c r="A597" s="5" t="str">
        <f t="shared" si="10"/>
        <v>202302</v>
      </c>
      <c r="B597" s="5" t="str">
        <f>"23085011324"</f>
        <v>23085011324</v>
      </c>
      <c r="C597" s="6">
        <v>0</v>
      </c>
      <c r="D597" s="6">
        <v>0</v>
      </c>
      <c r="E597" s="6">
        <v>0</v>
      </c>
      <c r="F597" s="11" t="s">
        <v>7</v>
      </c>
    </row>
    <row r="598" spans="1:6">
      <c r="A598" s="5" t="str">
        <f t="shared" si="10"/>
        <v>202302</v>
      </c>
      <c r="B598" s="5" t="str">
        <f>"23085011015"</f>
        <v>23085011015</v>
      </c>
      <c r="C598" s="6">
        <v>0</v>
      </c>
      <c r="D598" s="6">
        <v>0</v>
      </c>
      <c r="E598" s="6">
        <v>0</v>
      </c>
      <c r="F598" s="11" t="s">
        <v>7</v>
      </c>
    </row>
    <row r="599" spans="1:6">
      <c r="A599" s="5" t="str">
        <f t="shared" si="10"/>
        <v>202302</v>
      </c>
      <c r="B599" s="5" t="str">
        <f>"23085011205"</f>
        <v>23085011205</v>
      </c>
      <c r="C599" s="6">
        <v>0</v>
      </c>
      <c r="D599" s="6">
        <v>0</v>
      </c>
      <c r="E599" s="6">
        <v>0</v>
      </c>
      <c r="F599" s="11" t="s">
        <v>7</v>
      </c>
    </row>
    <row r="600" spans="1:6">
      <c r="A600" s="5" t="str">
        <f t="shared" si="10"/>
        <v>202302</v>
      </c>
      <c r="B600" s="5" t="str">
        <f>"23085010805"</f>
        <v>23085010805</v>
      </c>
      <c r="C600" s="6">
        <v>0</v>
      </c>
      <c r="D600" s="6">
        <v>0</v>
      </c>
      <c r="E600" s="6">
        <v>0</v>
      </c>
      <c r="F600" s="11" t="s">
        <v>7</v>
      </c>
    </row>
    <row r="601" spans="1:6">
      <c r="A601" s="5" t="str">
        <f t="shared" ref="A601:A606" si="11">"202302"</f>
        <v>202302</v>
      </c>
      <c r="B601" s="5" t="str">
        <f>"23085011201"</f>
        <v>23085011201</v>
      </c>
      <c r="C601" s="6">
        <v>0</v>
      </c>
      <c r="D601" s="6">
        <v>0</v>
      </c>
      <c r="E601" s="6">
        <v>0</v>
      </c>
      <c r="F601" s="11" t="s">
        <v>7</v>
      </c>
    </row>
    <row r="602" spans="1:6">
      <c r="A602" s="5" t="str">
        <f t="shared" si="11"/>
        <v>202302</v>
      </c>
      <c r="B602" s="5" t="str">
        <f>"23085010806"</f>
        <v>23085010806</v>
      </c>
      <c r="C602" s="6">
        <v>0</v>
      </c>
      <c r="D602" s="6">
        <v>0</v>
      </c>
      <c r="E602" s="6">
        <v>0</v>
      </c>
      <c r="F602" s="11" t="s">
        <v>7</v>
      </c>
    </row>
    <row r="603" spans="1:6">
      <c r="A603" s="5" t="str">
        <f t="shared" si="11"/>
        <v>202302</v>
      </c>
      <c r="B603" s="5" t="str">
        <f>"23085011529"</f>
        <v>23085011529</v>
      </c>
      <c r="C603" s="6">
        <v>0</v>
      </c>
      <c r="D603" s="6">
        <v>0</v>
      </c>
      <c r="E603" s="6">
        <v>0</v>
      </c>
      <c r="F603" s="11" t="s">
        <v>7</v>
      </c>
    </row>
    <row r="604" spans="1:6">
      <c r="A604" s="5" t="str">
        <f t="shared" si="11"/>
        <v>202302</v>
      </c>
      <c r="B604" s="5" t="str">
        <f>"23085011906"</f>
        <v>23085011906</v>
      </c>
      <c r="C604" s="6">
        <v>0</v>
      </c>
      <c r="D604" s="6">
        <v>0</v>
      </c>
      <c r="E604" s="6">
        <v>0</v>
      </c>
      <c r="F604" s="11" t="s">
        <v>7</v>
      </c>
    </row>
    <row r="605" spans="1:6">
      <c r="A605" s="5" t="str">
        <f t="shared" si="11"/>
        <v>202302</v>
      </c>
      <c r="B605" s="5" t="str">
        <f>"23085011624"</f>
        <v>23085011624</v>
      </c>
      <c r="C605" s="6">
        <v>0</v>
      </c>
      <c r="D605" s="6">
        <v>0</v>
      </c>
      <c r="E605" s="6">
        <v>0</v>
      </c>
      <c r="F605" s="11" t="s">
        <v>7</v>
      </c>
    </row>
    <row r="606" spans="1:6">
      <c r="A606" s="5" t="str">
        <f t="shared" si="11"/>
        <v>202302</v>
      </c>
      <c r="B606" s="5" t="str">
        <f>"23085012029"</f>
        <v>23085012029</v>
      </c>
      <c r="C606" s="6">
        <v>0</v>
      </c>
      <c r="D606" s="6">
        <v>0</v>
      </c>
      <c r="E606" s="6">
        <v>0</v>
      </c>
      <c r="F606" s="11" t="s">
        <v>7</v>
      </c>
    </row>
    <row r="607" spans="1:6">
      <c r="A607" s="5" t="str">
        <f t="shared" ref="A607:A670" si="12">"202303"</f>
        <v>202303</v>
      </c>
      <c r="B607" s="5" t="str">
        <f>"23085013320"</f>
        <v>23085013320</v>
      </c>
      <c r="C607" s="6">
        <v>124.5</v>
      </c>
      <c r="D607" s="6">
        <v>119.5</v>
      </c>
      <c r="E607" s="6">
        <v>244</v>
      </c>
      <c r="F607" s="11"/>
    </row>
    <row r="608" spans="1:6">
      <c r="A608" s="5" t="str">
        <f t="shared" si="12"/>
        <v>202303</v>
      </c>
      <c r="B608" s="5" t="str">
        <f>"23085012230"</f>
        <v>23085012230</v>
      </c>
      <c r="C608" s="6">
        <v>123</v>
      </c>
      <c r="D608" s="6">
        <v>120</v>
      </c>
      <c r="E608" s="6">
        <v>243</v>
      </c>
      <c r="F608" s="11"/>
    </row>
    <row r="609" spans="1:6">
      <c r="A609" s="5" t="str">
        <f t="shared" si="12"/>
        <v>202303</v>
      </c>
      <c r="B609" s="5" t="str">
        <f>"23085012605"</f>
        <v>23085012605</v>
      </c>
      <c r="C609" s="6">
        <v>121.5</v>
      </c>
      <c r="D609" s="6">
        <v>119</v>
      </c>
      <c r="E609" s="6">
        <v>240.5</v>
      </c>
      <c r="F609" s="11"/>
    </row>
    <row r="610" spans="1:6">
      <c r="A610" s="5" t="str">
        <f t="shared" si="12"/>
        <v>202303</v>
      </c>
      <c r="B610" s="5" t="str">
        <f>"23085013215"</f>
        <v>23085013215</v>
      </c>
      <c r="C610" s="6">
        <v>126</v>
      </c>
      <c r="D610" s="6">
        <v>110.5</v>
      </c>
      <c r="E610" s="6">
        <v>236.5</v>
      </c>
      <c r="F610" s="11"/>
    </row>
    <row r="611" spans="1:6">
      <c r="A611" s="5" t="str">
        <f t="shared" si="12"/>
        <v>202303</v>
      </c>
      <c r="B611" s="5" t="str">
        <f>"23085012323"</f>
        <v>23085012323</v>
      </c>
      <c r="C611" s="6">
        <v>115.5</v>
      </c>
      <c r="D611" s="6">
        <v>119.5</v>
      </c>
      <c r="E611" s="6">
        <v>235</v>
      </c>
      <c r="F611" s="11"/>
    </row>
    <row r="612" spans="1:6">
      <c r="A612" s="5" t="str">
        <f t="shared" si="12"/>
        <v>202303</v>
      </c>
      <c r="B612" s="5" t="str">
        <f>"23085012328"</f>
        <v>23085012328</v>
      </c>
      <c r="C612" s="6">
        <v>118.5</v>
      </c>
      <c r="D612" s="6">
        <v>116</v>
      </c>
      <c r="E612" s="6">
        <v>234.5</v>
      </c>
      <c r="F612" s="11"/>
    </row>
    <row r="613" spans="1:6">
      <c r="A613" s="5" t="str">
        <f t="shared" si="12"/>
        <v>202303</v>
      </c>
      <c r="B613" s="5" t="str">
        <f>"23085013413"</f>
        <v>23085013413</v>
      </c>
      <c r="C613" s="6">
        <v>114</v>
      </c>
      <c r="D613" s="6">
        <v>120.5</v>
      </c>
      <c r="E613" s="6">
        <v>234.5</v>
      </c>
      <c r="F613" s="11"/>
    </row>
    <row r="614" spans="1:6">
      <c r="A614" s="5" t="str">
        <f t="shared" si="12"/>
        <v>202303</v>
      </c>
      <c r="B614" s="5" t="str">
        <f>"23085012203"</f>
        <v>23085012203</v>
      </c>
      <c r="C614" s="6">
        <v>111</v>
      </c>
      <c r="D614" s="6">
        <v>123</v>
      </c>
      <c r="E614" s="6">
        <v>234</v>
      </c>
      <c r="F614" s="11"/>
    </row>
    <row r="615" spans="1:6">
      <c r="A615" s="5" t="str">
        <f t="shared" si="12"/>
        <v>202303</v>
      </c>
      <c r="B615" s="5" t="str">
        <f>"23085013509"</f>
        <v>23085013509</v>
      </c>
      <c r="C615" s="6">
        <v>118.5</v>
      </c>
      <c r="D615" s="6">
        <v>115.5</v>
      </c>
      <c r="E615" s="6">
        <v>234</v>
      </c>
      <c r="F615" s="11"/>
    </row>
    <row r="616" spans="1:6">
      <c r="A616" s="5" t="str">
        <f t="shared" si="12"/>
        <v>202303</v>
      </c>
      <c r="B616" s="5" t="str">
        <f>"23085012827"</f>
        <v>23085012827</v>
      </c>
      <c r="C616" s="6">
        <v>124.5</v>
      </c>
      <c r="D616" s="6">
        <v>109.5</v>
      </c>
      <c r="E616" s="6">
        <v>234</v>
      </c>
      <c r="F616" s="11"/>
    </row>
    <row r="617" spans="1:6">
      <c r="A617" s="5" t="str">
        <f t="shared" si="12"/>
        <v>202303</v>
      </c>
      <c r="B617" s="5" t="str">
        <f>"23085013510"</f>
        <v>23085013510</v>
      </c>
      <c r="C617" s="6">
        <v>117</v>
      </c>
      <c r="D617" s="6">
        <v>116.5</v>
      </c>
      <c r="E617" s="6">
        <v>233.5</v>
      </c>
      <c r="F617" s="11"/>
    </row>
    <row r="618" spans="1:6">
      <c r="A618" s="5" t="str">
        <f t="shared" si="12"/>
        <v>202303</v>
      </c>
      <c r="B618" s="5" t="str">
        <f>"23085012912"</f>
        <v>23085012912</v>
      </c>
      <c r="C618" s="6">
        <v>117</v>
      </c>
      <c r="D618" s="6">
        <v>116.5</v>
      </c>
      <c r="E618" s="6">
        <v>233.5</v>
      </c>
      <c r="F618" s="11"/>
    </row>
    <row r="619" spans="1:6">
      <c r="A619" s="5" t="str">
        <f t="shared" si="12"/>
        <v>202303</v>
      </c>
      <c r="B619" s="5" t="str">
        <f>"23085013026"</f>
        <v>23085013026</v>
      </c>
      <c r="C619" s="6">
        <v>109.5</v>
      </c>
      <c r="D619" s="6">
        <v>123</v>
      </c>
      <c r="E619" s="6">
        <v>232.5</v>
      </c>
      <c r="F619" s="11"/>
    </row>
    <row r="620" spans="1:6">
      <c r="A620" s="5" t="str">
        <f t="shared" si="12"/>
        <v>202303</v>
      </c>
      <c r="B620" s="5" t="str">
        <f>"23085013107"</f>
        <v>23085013107</v>
      </c>
      <c r="C620" s="6">
        <v>114</v>
      </c>
      <c r="D620" s="6">
        <v>118.5</v>
      </c>
      <c r="E620" s="6">
        <v>232.5</v>
      </c>
      <c r="F620" s="11"/>
    </row>
    <row r="621" spans="1:6">
      <c r="A621" s="5" t="str">
        <f t="shared" si="12"/>
        <v>202303</v>
      </c>
      <c r="B621" s="5" t="str">
        <f>"23085013108"</f>
        <v>23085013108</v>
      </c>
      <c r="C621" s="6">
        <v>114</v>
      </c>
      <c r="D621" s="6">
        <v>117.5</v>
      </c>
      <c r="E621" s="6">
        <v>231.5</v>
      </c>
      <c r="F621" s="11"/>
    </row>
    <row r="622" spans="1:6">
      <c r="A622" s="5" t="str">
        <f t="shared" si="12"/>
        <v>202303</v>
      </c>
      <c r="B622" s="5" t="str">
        <f>"23085012320"</f>
        <v>23085012320</v>
      </c>
      <c r="C622" s="6">
        <v>109.5</v>
      </c>
      <c r="D622" s="6">
        <v>122</v>
      </c>
      <c r="E622" s="6">
        <v>231.5</v>
      </c>
      <c r="F622" s="11"/>
    </row>
    <row r="623" spans="1:6">
      <c r="A623" s="5" t="str">
        <f t="shared" si="12"/>
        <v>202303</v>
      </c>
      <c r="B623" s="5" t="str">
        <f>"23085012308"</f>
        <v>23085012308</v>
      </c>
      <c r="C623" s="6">
        <v>118.5</v>
      </c>
      <c r="D623" s="6">
        <v>112</v>
      </c>
      <c r="E623" s="6">
        <v>230.5</v>
      </c>
      <c r="F623" s="11"/>
    </row>
    <row r="624" spans="1:6">
      <c r="A624" s="5" t="str">
        <f t="shared" si="12"/>
        <v>202303</v>
      </c>
      <c r="B624" s="5" t="str">
        <f>"23085013005"</f>
        <v>23085013005</v>
      </c>
      <c r="C624" s="6">
        <v>115.5</v>
      </c>
      <c r="D624" s="6">
        <v>115</v>
      </c>
      <c r="E624" s="6">
        <v>230.5</v>
      </c>
      <c r="F624" s="11"/>
    </row>
    <row r="625" spans="1:6">
      <c r="A625" s="5" t="str">
        <f t="shared" si="12"/>
        <v>202303</v>
      </c>
      <c r="B625" s="5" t="str">
        <f>"23085012813"</f>
        <v>23085012813</v>
      </c>
      <c r="C625" s="6">
        <v>103.5</v>
      </c>
      <c r="D625" s="6">
        <v>126.5</v>
      </c>
      <c r="E625" s="6">
        <v>230</v>
      </c>
      <c r="F625" s="11"/>
    </row>
    <row r="626" spans="1:6">
      <c r="A626" s="5" t="str">
        <f t="shared" si="12"/>
        <v>202303</v>
      </c>
      <c r="B626" s="5" t="str">
        <f>"23085012509"</f>
        <v>23085012509</v>
      </c>
      <c r="C626" s="6">
        <v>124.5</v>
      </c>
      <c r="D626" s="6">
        <v>105.5</v>
      </c>
      <c r="E626" s="6">
        <v>230</v>
      </c>
      <c r="F626" s="11"/>
    </row>
    <row r="627" spans="1:6">
      <c r="A627" s="5" t="str">
        <f t="shared" si="12"/>
        <v>202303</v>
      </c>
      <c r="B627" s="5" t="str">
        <f>"23085013305"</f>
        <v>23085013305</v>
      </c>
      <c r="C627" s="6">
        <v>114</v>
      </c>
      <c r="D627" s="6">
        <v>116</v>
      </c>
      <c r="E627" s="6">
        <v>230</v>
      </c>
      <c r="F627" s="11"/>
    </row>
    <row r="628" spans="1:6">
      <c r="A628" s="5" t="str">
        <f t="shared" si="12"/>
        <v>202303</v>
      </c>
      <c r="B628" s="5" t="str">
        <f>"23085012609"</f>
        <v>23085012609</v>
      </c>
      <c r="C628" s="6">
        <v>118.5</v>
      </c>
      <c r="D628" s="6">
        <v>111.5</v>
      </c>
      <c r="E628" s="6">
        <v>230</v>
      </c>
      <c r="F628" s="11"/>
    </row>
    <row r="629" spans="1:6">
      <c r="A629" s="5" t="str">
        <f t="shared" si="12"/>
        <v>202303</v>
      </c>
      <c r="B629" s="5" t="str">
        <f>"23085012214"</f>
        <v>23085012214</v>
      </c>
      <c r="C629" s="6">
        <v>114</v>
      </c>
      <c r="D629" s="6">
        <v>115.5</v>
      </c>
      <c r="E629" s="6">
        <v>229.5</v>
      </c>
      <c r="F629" s="11"/>
    </row>
    <row r="630" spans="1:6">
      <c r="A630" s="5" t="str">
        <f t="shared" si="12"/>
        <v>202303</v>
      </c>
      <c r="B630" s="5" t="str">
        <f>"23085012805"</f>
        <v>23085012805</v>
      </c>
      <c r="C630" s="6">
        <v>117</v>
      </c>
      <c r="D630" s="6">
        <v>112.5</v>
      </c>
      <c r="E630" s="6">
        <v>229.5</v>
      </c>
      <c r="F630" s="11"/>
    </row>
    <row r="631" spans="1:6">
      <c r="A631" s="5" t="str">
        <f t="shared" si="12"/>
        <v>202303</v>
      </c>
      <c r="B631" s="5" t="str">
        <f>"23085012511"</f>
        <v>23085012511</v>
      </c>
      <c r="C631" s="6">
        <v>106.5</v>
      </c>
      <c r="D631" s="6">
        <v>122.5</v>
      </c>
      <c r="E631" s="6">
        <v>229</v>
      </c>
      <c r="F631" s="11"/>
    </row>
    <row r="632" spans="1:6">
      <c r="A632" s="5" t="str">
        <f t="shared" si="12"/>
        <v>202303</v>
      </c>
      <c r="B632" s="5" t="str">
        <f>"23085012402"</f>
        <v>23085012402</v>
      </c>
      <c r="C632" s="6">
        <v>115.5</v>
      </c>
      <c r="D632" s="6">
        <v>113.5</v>
      </c>
      <c r="E632" s="6">
        <v>229</v>
      </c>
      <c r="F632" s="11"/>
    </row>
    <row r="633" spans="1:6">
      <c r="A633" s="5" t="str">
        <f t="shared" si="12"/>
        <v>202303</v>
      </c>
      <c r="B633" s="5" t="str">
        <f>"23085012618"</f>
        <v>23085012618</v>
      </c>
      <c r="C633" s="6">
        <v>118.5</v>
      </c>
      <c r="D633" s="6">
        <v>110.5</v>
      </c>
      <c r="E633" s="6">
        <v>229</v>
      </c>
      <c r="F633" s="11"/>
    </row>
    <row r="634" spans="1:6">
      <c r="A634" s="5" t="str">
        <f t="shared" si="12"/>
        <v>202303</v>
      </c>
      <c r="B634" s="5" t="str">
        <f>"23085012902"</f>
        <v>23085012902</v>
      </c>
      <c r="C634" s="6">
        <v>115.5</v>
      </c>
      <c r="D634" s="6">
        <v>113.5</v>
      </c>
      <c r="E634" s="6">
        <v>229</v>
      </c>
      <c r="F634" s="11"/>
    </row>
    <row r="635" spans="1:6">
      <c r="A635" s="5" t="str">
        <f t="shared" si="12"/>
        <v>202303</v>
      </c>
      <c r="B635" s="5" t="str">
        <f>"23085012515"</f>
        <v>23085012515</v>
      </c>
      <c r="C635" s="6">
        <v>108</v>
      </c>
      <c r="D635" s="6">
        <v>120.5</v>
      </c>
      <c r="E635" s="6">
        <v>228.5</v>
      </c>
      <c r="F635" s="11"/>
    </row>
    <row r="636" spans="1:6">
      <c r="A636" s="5" t="str">
        <f t="shared" si="12"/>
        <v>202303</v>
      </c>
      <c r="B636" s="5" t="str">
        <f>"23085013318"</f>
        <v>23085013318</v>
      </c>
      <c r="C636" s="6">
        <v>114</v>
      </c>
      <c r="D636" s="6">
        <v>114.5</v>
      </c>
      <c r="E636" s="6">
        <v>228.5</v>
      </c>
      <c r="F636" s="11"/>
    </row>
    <row r="637" spans="1:6">
      <c r="A637" s="5" t="str">
        <f t="shared" si="12"/>
        <v>202303</v>
      </c>
      <c r="B637" s="5" t="str">
        <f>"23085012715"</f>
        <v>23085012715</v>
      </c>
      <c r="C637" s="6">
        <v>112.5</v>
      </c>
      <c r="D637" s="6">
        <v>115.5</v>
      </c>
      <c r="E637" s="6">
        <v>228</v>
      </c>
      <c r="F637" s="11"/>
    </row>
    <row r="638" spans="1:6">
      <c r="A638" s="5" t="str">
        <f t="shared" si="12"/>
        <v>202303</v>
      </c>
      <c r="B638" s="5" t="str">
        <f>"23085013316"</f>
        <v>23085013316</v>
      </c>
      <c r="C638" s="6">
        <v>120</v>
      </c>
      <c r="D638" s="6">
        <v>108</v>
      </c>
      <c r="E638" s="6">
        <v>228</v>
      </c>
      <c r="F638" s="11"/>
    </row>
    <row r="639" spans="1:6">
      <c r="A639" s="5" t="str">
        <f t="shared" si="12"/>
        <v>202303</v>
      </c>
      <c r="B639" s="5" t="str">
        <f>"23085012702"</f>
        <v>23085012702</v>
      </c>
      <c r="C639" s="6">
        <v>117</v>
      </c>
      <c r="D639" s="6">
        <v>111</v>
      </c>
      <c r="E639" s="6">
        <v>228</v>
      </c>
      <c r="F639" s="11"/>
    </row>
    <row r="640" spans="1:6">
      <c r="A640" s="5" t="str">
        <f t="shared" si="12"/>
        <v>202303</v>
      </c>
      <c r="B640" s="5" t="str">
        <f>"23085012722"</f>
        <v>23085012722</v>
      </c>
      <c r="C640" s="6">
        <v>111</v>
      </c>
      <c r="D640" s="6">
        <v>117</v>
      </c>
      <c r="E640" s="6">
        <v>228</v>
      </c>
      <c r="F640" s="11"/>
    </row>
    <row r="641" spans="1:6">
      <c r="A641" s="5" t="str">
        <f t="shared" si="12"/>
        <v>202303</v>
      </c>
      <c r="B641" s="5" t="str">
        <f>"23085012914"</f>
        <v>23085012914</v>
      </c>
      <c r="C641" s="6">
        <v>105</v>
      </c>
      <c r="D641" s="6">
        <v>123</v>
      </c>
      <c r="E641" s="6">
        <v>228</v>
      </c>
      <c r="F641" s="11"/>
    </row>
    <row r="642" spans="1:6">
      <c r="A642" s="5" t="str">
        <f t="shared" si="12"/>
        <v>202303</v>
      </c>
      <c r="B642" s="5" t="str">
        <f>"23085012423"</f>
        <v>23085012423</v>
      </c>
      <c r="C642" s="6">
        <v>118.5</v>
      </c>
      <c r="D642" s="6">
        <v>109</v>
      </c>
      <c r="E642" s="6">
        <v>227.5</v>
      </c>
      <c r="F642" s="11"/>
    </row>
    <row r="643" spans="1:6">
      <c r="A643" s="5" t="str">
        <f t="shared" si="12"/>
        <v>202303</v>
      </c>
      <c r="B643" s="5" t="str">
        <f>"23085012909"</f>
        <v>23085012909</v>
      </c>
      <c r="C643" s="6">
        <v>108</v>
      </c>
      <c r="D643" s="6">
        <v>119.5</v>
      </c>
      <c r="E643" s="6">
        <v>227.5</v>
      </c>
      <c r="F643" s="11"/>
    </row>
    <row r="644" spans="1:6">
      <c r="A644" s="5" t="str">
        <f t="shared" si="12"/>
        <v>202303</v>
      </c>
      <c r="B644" s="5" t="str">
        <f>"23085013405"</f>
        <v>23085013405</v>
      </c>
      <c r="C644" s="6">
        <v>103.5</v>
      </c>
      <c r="D644" s="6">
        <v>124</v>
      </c>
      <c r="E644" s="6">
        <v>227.5</v>
      </c>
      <c r="F644" s="11"/>
    </row>
    <row r="645" spans="1:6">
      <c r="A645" s="5" t="str">
        <f t="shared" si="12"/>
        <v>202303</v>
      </c>
      <c r="B645" s="5" t="str">
        <f>"23085012724"</f>
        <v>23085012724</v>
      </c>
      <c r="C645" s="6">
        <v>112.5</v>
      </c>
      <c r="D645" s="6">
        <v>114.5</v>
      </c>
      <c r="E645" s="6">
        <v>227</v>
      </c>
      <c r="F645" s="11"/>
    </row>
    <row r="646" spans="1:6">
      <c r="A646" s="5" t="str">
        <f t="shared" si="12"/>
        <v>202303</v>
      </c>
      <c r="B646" s="5" t="str">
        <f>"23085012218"</f>
        <v>23085012218</v>
      </c>
      <c r="C646" s="6">
        <v>106.5</v>
      </c>
      <c r="D646" s="6">
        <v>120.5</v>
      </c>
      <c r="E646" s="6">
        <v>227</v>
      </c>
      <c r="F646" s="11"/>
    </row>
    <row r="647" spans="1:6">
      <c r="A647" s="5" t="str">
        <f t="shared" si="12"/>
        <v>202303</v>
      </c>
      <c r="B647" s="5" t="str">
        <f>"23085013401"</f>
        <v>23085013401</v>
      </c>
      <c r="C647" s="6">
        <v>111</v>
      </c>
      <c r="D647" s="6">
        <v>116</v>
      </c>
      <c r="E647" s="6">
        <v>227</v>
      </c>
      <c r="F647" s="11"/>
    </row>
    <row r="648" spans="1:6">
      <c r="A648" s="5" t="str">
        <f t="shared" si="12"/>
        <v>202303</v>
      </c>
      <c r="B648" s="5" t="str">
        <f>"23085013216"</f>
        <v>23085013216</v>
      </c>
      <c r="C648" s="6">
        <v>108</v>
      </c>
      <c r="D648" s="6">
        <v>118</v>
      </c>
      <c r="E648" s="6">
        <v>226</v>
      </c>
      <c r="F648" s="11"/>
    </row>
    <row r="649" spans="1:6">
      <c r="A649" s="5" t="str">
        <f t="shared" si="12"/>
        <v>202303</v>
      </c>
      <c r="B649" s="5" t="str">
        <f>"23085013514"</f>
        <v>23085013514</v>
      </c>
      <c r="C649" s="6">
        <v>106.5</v>
      </c>
      <c r="D649" s="6">
        <v>119.5</v>
      </c>
      <c r="E649" s="6">
        <v>226</v>
      </c>
      <c r="F649" s="11"/>
    </row>
    <row r="650" spans="1:6">
      <c r="A650" s="5" t="str">
        <f t="shared" si="12"/>
        <v>202303</v>
      </c>
      <c r="B650" s="5" t="str">
        <f>"23085012216"</f>
        <v>23085012216</v>
      </c>
      <c r="C650" s="6">
        <v>103.5</v>
      </c>
      <c r="D650" s="6">
        <v>122.5</v>
      </c>
      <c r="E650" s="6">
        <v>226</v>
      </c>
      <c r="F650" s="11"/>
    </row>
    <row r="651" spans="1:6">
      <c r="A651" s="5" t="str">
        <f t="shared" si="12"/>
        <v>202303</v>
      </c>
      <c r="B651" s="5" t="str">
        <f>"23085012418"</f>
        <v>23085012418</v>
      </c>
      <c r="C651" s="6">
        <v>117</v>
      </c>
      <c r="D651" s="6">
        <v>109</v>
      </c>
      <c r="E651" s="6">
        <v>226</v>
      </c>
      <c r="F651" s="11"/>
    </row>
    <row r="652" spans="1:6">
      <c r="A652" s="5" t="str">
        <f t="shared" si="12"/>
        <v>202303</v>
      </c>
      <c r="B652" s="5" t="str">
        <f>"23085012403"</f>
        <v>23085012403</v>
      </c>
      <c r="C652" s="6">
        <v>111</v>
      </c>
      <c r="D652" s="6">
        <v>114.5</v>
      </c>
      <c r="E652" s="6">
        <v>225.5</v>
      </c>
      <c r="F652" s="11"/>
    </row>
    <row r="653" spans="1:6">
      <c r="A653" s="5" t="str">
        <f t="shared" si="12"/>
        <v>202303</v>
      </c>
      <c r="B653" s="5" t="str">
        <f>"23085013302"</f>
        <v>23085013302</v>
      </c>
      <c r="C653" s="6">
        <v>103.5</v>
      </c>
      <c r="D653" s="6">
        <v>121.5</v>
      </c>
      <c r="E653" s="6">
        <v>225</v>
      </c>
      <c r="F653" s="11"/>
    </row>
    <row r="654" spans="1:6">
      <c r="A654" s="5" t="str">
        <f t="shared" si="12"/>
        <v>202303</v>
      </c>
      <c r="B654" s="5" t="str">
        <f>"23085012209"</f>
        <v>23085012209</v>
      </c>
      <c r="C654" s="6">
        <v>112.5</v>
      </c>
      <c r="D654" s="6">
        <v>112.5</v>
      </c>
      <c r="E654" s="6">
        <v>225</v>
      </c>
      <c r="F654" s="11"/>
    </row>
    <row r="655" spans="1:6">
      <c r="A655" s="5" t="str">
        <f t="shared" si="12"/>
        <v>202303</v>
      </c>
      <c r="B655" s="5" t="str">
        <f>"23085012313"</f>
        <v>23085012313</v>
      </c>
      <c r="C655" s="6">
        <v>103.5</v>
      </c>
      <c r="D655" s="6">
        <v>121.5</v>
      </c>
      <c r="E655" s="6">
        <v>225</v>
      </c>
      <c r="F655" s="11"/>
    </row>
    <row r="656" spans="1:6">
      <c r="A656" s="5" t="str">
        <f t="shared" si="12"/>
        <v>202303</v>
      </c>
      <c r="B656" s="5" t="str">
        <f>"23085012915"</f>
        <v>23085012915</v>
      </c>
      <c r="C656" s="6">
        <v>105</v>
      </c>
      <c r="D656" s="6">
        <v>120</v>
      </c>
      <c r="E656" s="6">
        <v>225</v>
      </c>
      <c r="F656" s="11"/>
    </row>
    <row r="657" spans="1:6">
      <c r="A657" s="5" t="str">
        <f t="shared" si="12"/>
        <v>202303</v>
      </c>
      <c r="B657" s="5" t="str">
        <f>"23085013001"</f>
        <v>23085013001</v>
      </c>
      <c r="C657" s="6">
        <v>111</v>
      </c>
      <c r="D657" s="6">
        <v>114</v>
      </c>
      <c r="E657" s="6">
        <v>225</v>
      </c>
      <c r="F657" s="11"/>
    </row>
    <row r="658" spans="1:6">
      <c r="A658" s="5" t="str">
        <f t="shared" si="12"/>
        <v>202303</v>
      </c>
      <c r="B658" s="5" t="str">
        <f>"23085012717"</f>
        <v>23085012717</v>
      </c>
      <c r="C658" s="6">
        <v>115.5</v>
      </c>
      <c r="D658" s="6">
        <v>109.5</v>
      </c>
      <c r="E658" s="6">
        <v>225</v>
      </c>
      <c r="F658" s="11"/>
    </row>
    <row r="659" spans="1:6">
      <c r="A659" s="5" t="str">
        <f t="shared" si="12"/>
        <v>202303</v>
      </c>
      <c r="B659" s="5" t="str">
        <f>"23085012918"</f>
        <v>23085012918</v>
      </c>
      <c r="C659" s="6">
        <v>105</v>
      </c>
      <c r="D659" s="6">
        <v>120</v>
      </c>
      <c r="E659" s="6">
        <v>225</v>
      </c>
      <c r="F659" s="11"/>
    </row>
    <row r="660" spans="1:6">
      <c r="A660" s="5" t="str">
        <f t="shared" si="12"/>
        <v>202303</v>
      </c>
      <c r="B660" s="5" t="str">
        <f>"23085013326"</f>
        <v>23085013326</v>
      </c>
      <c r="C660" s="6">
        <v>112.5</v>
      </c>
      <c r="D660" s="6">
        <v>112</v>
      </c>
      <c r="E660" s="6">
        <v>224.5</v>
      </c>
      <c r="F660" s="11"/>
    </row>
    <row r="661" spans="1:6">
      <c r="A661" s="5" t="str">
        <f t="shared" si="12"/>
        <v>202303</v>
      </c>
      <c r="B661" s="5" t="str">
        <f>"23085013227"</f>
        <v>23085013227</v>
      </c>
      <c r="C661" s="6">
        <v>109.5</v>
      </c>
      <c r="D661" s="6">
        <v>115</v>
      </c>
      <c r="E661" s="6">
        <v>224.5</v>
      </c>
      <c r="F661" s="11"/>
    </row>
    <row r="662" spans="1:6">
      <c r="A662" s="5" t="str">
        <f t="shared" si="12"/>
        <v>202303</v>
      </c>
      <c r="B662" s="5" t="str">
        <f>"23085013007"</f>
        <v>23085013007</v>
      </c>
      <c r="C662" s="6">
        <v>106.5</v>
      </c>
      <c r="D662" s="6">
        <v>117.5</v>
      </c>
      <c r="E662" s="6">
        <v>224</v>
      </c>
      <c r="F662" s="11"/>
    </row>
    <row r="663" spans="1:6">
      <c r="A663" s="5" t="str">
        <f t="shared" si="12"/>
        <v>202303</v>
      </c>
      <c r="B663" s="5" t="str">
        <f>"23085012105"</f>
        <v>23085012105</v>
      </c>
      <c r="C663" s="6">
        <v>102</v>
      </c>
      <c r="D663" s="6">
        <v>122</v>
      </c>
      <c r="E663" s="6">
        <v>224</v>
      </c>
      <c r="F663" s="11"/>
    </row>
    <row r="664" spans="1:6">
      <c r="A664" s="5" t="str">
        <f t="shared" si="12"/>
        <v>202303</v>
      </c>
      <c r="B664" s="5" t="str">
        <f>"23085012815"</f>
        <v>23085012815</v>
      </c>
      <c r="C664" s="6">
        <v>106.5</v>
      </c>
      <c r="D664" s="6">
        <v>117.5</v>
      </c>
      <c r="E664" s="6">
        <v>224</v>
      </c>
      <c r="F664" s="11"/>
    </row>
    <row r="665" spans="1:6">
      <c r="A665" s="5" t="str">
        <f t="shared" si="12"/>
        <v>202303</v>
      </c>
      <c r="B665" s="5" t="str">
        <f>"23085012521"</f>
        <v>23085012521</v>
      </c>
      <c r="C665" s="6">
        <v>105</v>
      </c>
      <c r="D665" s="6">
        <v>119</v>
      </c>
      <c r="E665" s="6">
        <v>224</v>
      </c>
      <c r="F665" s="11"/>
    </row>
    <row r="666" spans="1:6">
      <c r="A666" s="5" t="str">
        <f t="shared" si="12"/>
        <v>202303</v>
      </c>
      <c r="B666" s="5" t="str">
        <f>"23085013027"</f>
        <v>23085013027</v>
      </c>
      <c r="C666" s="6">
        <v>112.5</v>
      </c>
      <c r="D666" s="6">
        <v>111.5</v>
      </c>
      <c r="E666" s="6">
        <v>224</v>
      </c>
      <c r="F666" s="11"/>
    </row>
    <row r="667" spans="1:6">
      <c r="A667" s="5" t="str">
        <f t="shared" si="12"/>
        <v>202303</v>
      </c>
      <c r="B667" s="5" t="str">
        <f>"23085012113"</f>
        <v>23085012113</v>
      </c>
      <c r="C667" s="6">
        <v>111</v>
      </c>
      <c r="D667" s="6">
        <v>112.5</v>
      </c>
      <c r="E667" s="6">
        <v>223.5</v>
      </c>
      <c r="F667" s="11"/>
    </row>
    <row r="668" spans="1:6">
      <c r="A668" s="5" t="str">
        <f t="shared" si="12"/>
        <v>202303</v>
      </c>
      <c r="B668" s="5" t="str">
        <f>"23085012610"</f>
        <v>23085012610</v>
      </c>
      <c r="C668" s="6">
        <v>103.5</v>
      </c>
      <c r="D668" s="6">
        <v>120</v>
      </c>
      <c r="E668" s="6">
        <v>223.5</v>
      </c>
      <c r="F668" s="11"/>
    </row>
    <row r="669" spans="1:6">
      <c r="A669" s="5" t="str">
        <f t="shared" si="12"/>
        <v>202303</v>
      </c>
      <c r="B669" s="5" t="str">
        <f>"23085013411"</f>
        <v>23085013411</v>
      </c>
      <c r="C669" s="6">
        <v>105</v>
      </c>
      <c r="D669" s="6">
        <v>118</v>
      </c>
      <c r="E669" s="6">
        <v>223</v>
      </c>
      <c r="F669" s="11"/>
    </row>
    <row r="670" spans="1:6">
      <c r="A670" s="5" t="str">
        <f t="shared" si="12"/>
        <v>202303</v>
      </c>
      <c r="B670" s="5" t="str">
        <f>"23085012614"</f>
        <v>23085012614</v>
      </c>
      <c r="C670" s="6">
        <v>111</v>
      </c>
      <c r="D670" s="6">
        <v>112</v>
      </c>
      <c r="E670" s="6">
        <v>223</v>
      </c>
      <c r="F670" s="11"/>
    </row>
    <row r="671" spans="1:6">
      <c r="A671" s="5" t="str">
        <f t="shared" ref="A671:A734" si="13">"202303"</f>
        <v>202303</v>
      </c>
      <c r="B671" s="5" t="str">
        <f>"23085012508"</f>
        <v>23085012508</v>
      </c>
      <c r="C671" s="6">
        <v>105</v>
      </c>
      <c r="D671" s="6">
        <v>118</v>
      </c>
      <c r="E671" s="6">
        <v>223</v>
      </c>
      <c r="F671" s="11"/>
    </row>
    <row r="672" spans="1:6">
      <c r="A672" s="5" t="str">
        <f t="shared" si="13"/>
        <v>202303</v>
      </c>
      <c r="B672" s="5" t="str">
        <f>"23085012718"</f>
        <v>23085012718</v>
      </c>
      <c r="C672" s="6">
        <v>109.5</v>
      </c>
      <c r="D672" s="6">
        <v>113.5</v>
      </c>
      <c r="E672" s="6">
        <v>223</v>
      </c>
      <c r="F672" s="11"/>
    </row>
    <row r="673" spans="1:6">
      <c r="A673" s="5" t="str">
        <f t="shared" si="13"/>
        <v>202303</v>
      </c>
      <c r="B673" s="5" t="str">
        <f>"23085013508"</f>
        <v>23085013508</v>
      </c>
      <c r="C673" s="6">
        <v>109.5</v>
      </c>
      <c r="D673" s="6">
        <v>113</v>
      </c>
      <c r="E673" s="6">
        <v>222.5</v>
      </c>
      <c r="F673" s="11"/>
    </row>
    <row r="674" spans="1:6">
      <c r="A674" s="5" t="str">
        <f t="shared" si="13"/>
        <v>202303</v>
      </c>
      <c r="B674" s="5" t="str">
        <f>"23085013003"</f>
        <v>23085013003</v>
      </c>
      <c r="C674" s="6">
        <v>102</v>
      </c>
      <c r="D674" s="6">
        <v>120.5</v>
      </c>
      <c r="E674" s="6">
        <v>222.5</v>
      </c>
      <c r="F674" s="11"/>
    </row>
    <row r="675" spans="1:6">
      <c r="A675" s="5" t="str">
        <f t="shared" si="13"/>
        <v>202303</v>
      </c>
      <c r="B675" s="5" t="str">
        <f>"23085012116"</f>
        <v>23085012116</v>
      </c>
      <c r="C675" s="6">
        <v>102</v>
      </c>
      <c r="D675" s="6">
        <v>119.5</v>
      </c>
      <c r="E675" s="6">
        <v>221.5</v>
      </c>
      <c r="F675" s="11"/>
    </row>
    <row r="676" spans="1:6">
      <c r="A676" s="5" t="str">
        <f t="shared" si="13"/>
        <v>202303</v>
      </c>
      <c r="B676" s="5" t="str">
        <f>"23085012301"</f>
        <v>23085012301</v>
      </c>
      <c r="C676" s="6">
        <v>106.5</v>
      </c>
      <c r="D676" s="6">
        <v>115</v>
      </c>
      <c r="E676" s="6">
        <v>221.5</v>
      </c>
      <c r="F676" s="11"/>
    </row>
    <row r="677" spans="1:6">
      <c r="A677" s="5" t="str">
        <f t="shared" si="13"/>
        <v>202303</v>
      </c>
      <c r="B677" s="5" t="str">
        <f>"23085012122"</f>
        <v>23085012122</v>
      </c>
      <c r="C677" s="6">
        <v>103.5</v>
      </c>
      <c r="D677" s="6">
        <v>117.5</v>
      </c>
      <c r="E677" s="6">
        <v>221</v>
      </c>
      <c r="F677" s="11"/>
    </row>
    <row r="678" spans="1:6">
      <c r="A678" s="5" t="str">
        <f t="shared" si="13"/>
        <v>202303</v>
      </c>
      <c r="B678" s="5" t="str">
        <f>"23085012621"</f>
        <v>23085012621</v>
      </c>
      <c r="C678" s="6">
        <v>106.5</v>
      </c>
      <c r="D678" s="6">
        <v>114.5</v>
      </c>
      <c r="E678" s="6">
        <v>221</v>
      </c>
      <c r="F678" s="11"/>
    </row>
    <row r="679" spans="1:6">
      <c r="A679" s="5" t="str">
        <f t="shared" si="13"/>
        <v>202303</v>
      </c>
      <c r="B679" s="5" t="str">
        <f>"23085012503"</f>
        <v>23085012503</v>
      </c>
      <c r="C679" s="6">
        <v>105</v>
      </c>
      <c r="D679" s="6">
        <v>116</v>
      </c>
      <c r="E679" s="6">
        <v>221</v>
      </c>
      <c r="F679" s="11"/>
    </row>
    <row r="680" spans="1:6">
      <c r="A680" s="5" t="str">
        <f t="shared" si="13"/>
        <v>202303</v>
      </c>
      <c r="B680" s="5" t="str">
        <f>"23085012716"</f>
        <v>23085012716</v>
      </c>
      <c r="C680" s="6">
        <v>105</v>
      </c>
      <c r="D680" s="6">
        <v>116</v>
      </c>
      <c r="E680" s="6">
        <v>221</v>
      </c>
      <c r="F680" s="11"/>
    </row>
    <row r="681" spans="1:6">
      <c r="A681" s="5" t="str">
        <f t="shared" si="13"/>
        <v>202303</v>
      </c>
      <c r="B681" s="5" t="str">
        <f>"23085012129"</f>
        <v>23085012129</v>
      </c>
      <c r="C681" s="6">
        <v>105</v>
      </c>
      <c r="D681" s="6">
        <v>115.5</v>
      </c>
      <c r="E681" s="6">
        <v>220.5</v>
      </c>
      <c r="F681" s="11"/>
    </row>
    <row r="682" spans="1:6">
      <c r="A682" s="5" t="str">
        <f t="shared" si="13"/>
        <v>202303</v>
      </c>
      <c r="B682" s="5" t="str">
        <f>"23085013201"</f>
        <v>23085013201</v>
      </c>
      <c r="C682" s="6">
        <v>106.5</v>
      </c>
      <c r="D682" s="6">
        <v>114</v>
      </c>
      <c r="E682" s="6">
        <v>220.5</v>
      </c>
      <c r="F682" s="11"/>
    </row>
    <row r="683" spans="1:6">
      <c r="A683" s="5" t="str">
        <f t="shared" si="13"/>
        <v>202303</v>
      </c>
      <c r="B683" s="5" t="str">
        <f>"23085013504"</f>
        <v>23085013504</v>
      </c>
      <c r="C683" s="6">
        <v>108</v>
      </c>
      <c r="D683" s="6">
        <v>112</v>
      </c>
      <c r="E683" s="6">
        <v>220</v>
      </c>
      <c r="F683" s="11"/>
    </row>
    <row r="684" spans="1:6">
      <c r="A684" s="5" t="str">
        <f t="shared" si="13"/>
        <v>202303</v>
      </c>
      <c r="B684" s="5" t="str">
        <f>"23085013408"</f>
        <v>23085013408</v>
      </c>
      <c r="C684" s="6">
        <v>103.5</v>
      </c>
      <c r="D684" s="6">
        <v>116.5</v>
      </c>
      <c r="E684" s="6">
        <v>220</v>
      </c>
      <c r="F684" s="11"/>
    </row>
    <row r="685" spans="1:6">
      <c r="A685" s="5" t="str">
        <f t="shared" si="13"/>
        <v>202303</v>
      </c>
      <c r="B685" s="5" t="str">
        <f>"23085012424"</f>
        <v>23085012424</v>
      </c>
      <c r="C685" s="6">
        <v>106.5</v>
      </c>
      <c r="D685" s="6">
        <v>113</v>
      </c>
      <c r="E685" s="6">
        <v>219.5</v>
      </c>
      <c r="F685" s="11"/>
    </row>
    <row r="686" spans="1:6">
      <c r="A686" s="5" t="str">
        <f t="shared" si="13"/>
        <v>202303</v>
      </c>
      <c r="B686" s="5" t="str">
        <f>"23085012422"</f>
        <v>23085012422</v>
      </c>
      <c r="C686" s="6">
        <v>112.5</v>
      </c>
      <c r="D686" s="6">
        <v>107</v>
      </c>
      <c r="E686" s="6">
        <v>219.5</v>
      </c>
      <c r="F686" s="11"/>
    </row>
    <row r="687" spans="1:6">
      <c r="A687" s="5" t="str">
        <f t="shared" si="13"/>
        <v>202303</v>
      </c>
      <c r="B687" s="5" t="str">
        <f>"23085012112"</f>
        <v>23085012112</v>
      </c>
      <c r="C687" s="6">
        <v>105</v>
      </c>
      <c r="D687" s="6">
        <v>114.5</v>
      </c>
      <c r="E687" s="6">
        <v>219.5</v>
      </c>
      <c r="F687" s="11"/>
    </row>
    <row r="688" spans="1:6">
      <c r="A688" s="5" t="str">
        <f t="shared" si="13"/>
        <v>202303</v>
      </c>
      <c r="B688" s="5" t="str">
        <f>"23085012128"</f>
        <v>23085012128</v>
      </c>
      <c r="C688" s="6">
        <v>103.5</v>
      </c>
      <c r="D688" s="6">
        <v>115.5</v>
      </c>
      <c r="E688" s="6">
        <v>219</v>
      </c>
      <c r="F688" s="11"/>
    </row>
    <row r="689" spans="1:6">
      <c r="A689" s="5" t="str">
        <f t="shared" si="13"/>
        <v>202303</v>
      </c>
      <c r="B689" s="5" t="str">
        <f>"23085013312"</f>
        <v>23085013312</v>
      </c>
      <c r="C689" s="6">
        <v>103.5</v>
      </c>
      <c r="D689" s="6">
        <v>115.5</v>
      </c>
      <c r="E689" s="6">
        <v>219</v>
      </c>
      <c r="F689" s="11"/>
    </row>
    <row r="690" spans="1:6">
      <c r="A690" s="5" t="str">
        <f t="shared" si="13"/>
        <v>202303</v>
      </c>
      <c r="B690" s="5" t="str">
        <f>"23085012204"</f>
        <v>23085012204</v>
      </c>
      <c r="C690" s="6">
        <v>102</v>
      </c>
      <c r="D690" s="6">
        <v>116.5</v>
      </c>
      <c r="E690" s="6">
        <v>218.5</v>
      </c>
      <c r="F690" s="11"/>
    </row>
    <row r="691" spans="1:6">
      <c r="A691" s="5" t="str">
        <f t="shared" si="13"/>
        <v>202303</v>
      </c>
      <c r="B691" s="5" t="str">
        <f>"23085013522"</f>
        <v>23085013522</v>
      </c>
      <c r="C691" s="6">
        <v>99</v>
      </c>
      <c r="D691" s="6">
        <v>119.5</v>
      </c>
      <c r="E691" s="6">
        <v>218.5</v>
      </c>
      <c r="F691" s="11"/>
    </row>
    <row r="692" spans="1:6">
      <c r="A692" s="5" t="str">
        <f t="shared" si="13"/>
        <v>202303</v>
      </c>
      <c r="B692" s="5" t="str">
        <f>"23085013214"</f>
        <v>23085013214</v>
      </c>
      <c r="C692" s="6">
        <v>96</v>
      </c>
      <c r="D692" s="6">
        <v>122.5</v>
      </c>
      <c r="E692" s="6">
        <v>218.5</v>
      </c>
      <c r="F692" s="11"/>
    </row>
    <row r="693" spans="1:6">
      <c r="A693" s="5" t="str">
        <f t="shared" si="13"/>
        <v>202303</v>
      </c>
      <c r="B693" s="5" t="str">
        <f>"23085012617"</f>
        <v>23085012617</v>
      </c>
      <c r="C693" s="6">
        <v>109.5</v>
      </c>
      <c r="D693" s="6">
        <v>108.5</v>
      </c>
      <c r="E693" s="6">
        <v>218</v>
      </c>
      <c r="F693" s="11"/>
    </row>
    <row r="694" spans="1:6">
      <c r="A694" s="5" t="str">
        <f t="shared" si="13"/>
        <v>202303</v>
      </c>
      <c r="B694" s="5" t="str">
        <f>"23085012115"</f>
        <v>23085012115</v>
      </c>
      <c r="C694" s="6">
        <v>106.5</v>
      </c>
      <c r="D694" s="6">
        <v>111.5</v>
      </c>
      <c r="E694" s="6">
        <v>218</v>
      </c>
      <c r="F694" s="11"/>
    </row>
    <row r="695" spans="1:6">
      <c r="A695" s="5" t="str">
        <f t="shared" si="13"/>
        <v>202303</v>
      </c>
      <c r="B695" s="5" t="str">
        <f>"23085013011"</f>
        <v>23085013011</v>
      </c>
      <c r="C695" s="6">
        <v>106.5</v>
      </c>
      <c r="D695" s="6">
        <v>111.5</v>
      </c>
      <c r="E695" s="6">
        <v>218</v>
      </c>
      <c r="F695" s="11"/>
    </row>
    <row r="696" spans="1:6">
      <c r="A696" s="5" t="str">
        <f t="shared" si="13"/>
        <v>202303</v>
      </c>
      <c r="B696" s="5" t="str">
        <f>"23085012315"</f>
        <v>23085012315</v>
      </c>
      <c r="C696" s="6">
        <v>102</v>
      </c>
      <c r="D696" s="6">
        <v>116</v>
      </c>
      <c r="E696" s="6">
        <v>218</v>
      </c>
      <c r="F696" s="11"/>
    </row>
    <row r="697" spans="1:6">
      <c r="A697" s="5" t="str">
        <f t="shared" si="13"/>
        <v>202303</v>
      </c>
      <c r="B697" s="5" t="str">
        <f>"23085013421"</f>
        <v>23085013421</v>
      </c>
      <c r="C697" s="6">
        <v>100.5</v>
      </c>
      <c r="D697" s="6">
        <v>117.5</v>
      </c>
      <c r="E697" s="6">
        <v>218</v>
      </c>
      <c r="F697" s="11"/>
    </row>
    <row r="698" spans="1:6">
      <c r="A698" s="5" t="str">
        <f t="shared" si="13"/>
        <v>202303</v>
      </c>
      <c r="B698" s="5" t="str">
        <f>"23085013021"</f>
        <v>23085013021</v>
      </c>
      <c r="C698" s="6">
        <v>103.5</v>
      </c>
      <c r="D698" s="6">
        <v>114.5</v>
      </c>
      <c r="E698" s="6">
        <v>218</v>
      </c>
      <c r="F698" s="11"/>
    </row>
    <row r="699" spans="1:6">
      <c r="A699" s="5" t="str">
        <f t="shared" si="13"/>
        <v>202303</v>
      </c>
      <c r="B699" s="5" t="str">
        <f>"23085013410"</f>
        <v>23085013410</v>
      </c>
      <c r="C699" s="6">
        <v>100.5</v>
      </c>
      <c r="D699" s="6">
        <v>117</v>
      </c>
      <c r="E699" s="6">
        <v>217.5</v>
      </c>
      <c r="F699" s="11"/>
    </row>
    <row r="700" spans="1:6">
      <c r="A700" s="5" t="str">
        <f t="shared" si="13"/>
        <v>202303</v>
      </c>
      <c r="B700" s="5" t="str">
        <f>"23085012505"</f>
        <v>23085012505</v>
      </c>
      <c r="C700" s="6">
        <v>103.5</v>
      </c>
      <c r="D700" s="6">
        <v>114</v>
      </c>
      <c r="E700" s="6">
        <v>217.5</v>
      </c>
      <c r="F700" s="11"/>
    </row>
    <row r="701" spans="1:6">
      <c r="A701" s="5" t="str">
        <f t="shared" si="13"/>
        <v>202303</v>
      </c>
      <c r="B701" s="5" t="str">
        <f>"23085012412"</f>
        <v>23085012412</v>
      </c>
      <c r="C701" s="6">
        <v>99</v>
      </c>
      <c r="D701" s="6">
        <v>118.5</v>
      </c>
      <c r="E701" s="6">
        <v>217.5</v>
      </c>
      <c r="F701" s="11"/>
    </row>
    <row r="702" spans="1:6">
      <c r="A702" s="5" t="str">
        <f t="shared" si="13"/>
        <v>202303</v>
      </c>
      <c r="B702" s="5" t="str">
        <f>"23085012919"</f>
        <v>23085012919</v>
      </c>
      <c r="C702" s="6">
        <v>115.5</v>
      </c>
      <c r="D702" s="6">
        <v>102</v>
      </c>
      <c r="E702" s="6">
        <v>217.5</v>
      </c>
      <c r="F702" s="11"/>
    </row>
    <row r="703" spans="1:6">
      <c r="A703" s="5" t="str">
        <f t="shared" si="13"/>
        <v>202303</v>
      </c>
      <c r="B703" s="5" t="str">
        <f>"23085013418"</f>
        <v>23085013418</v>
      </c>
      <c r="C703" s="6">
        <v>96</v>
      </c>
      <c r="D703" s="6">
        <v>121</v>
      </c>
      <c r="E703" s="6">
        <v>217</v>
      </c>
      <c r="F703" s="11"/>
    </row>
    <row r="704" spans="1:6">
      <c r="A704" s="5" t="str">
        <f t="shared" si="13"/>
        <v>202303</v>
      </c>
      <c r="B704" s="5" t="str">
        <f>"23085013503"</f>
        <v>23085013503</v>
      </c>
      <c r="C704" s="6">
        <v>94.5</v>
      </c>
      <c r="D704" s="6">
        <v>122.5</v>
      </c>
      <c r="E704" s="6">
        <v>217</v>
      </c>
      <c r="F704" s="11"/>
    </row>
    <row r="705" spans="1:6">
      <c r="A705" s="5" t="str">
        <f t="shared" si="13"/>
        <v>202303</v>
      </c>
      <c r="B705" s="5" t="str">
        <f>"23085012318"</f>
        <v>23085012318</v>
      </c>
      <c r="C705" s="6">
        <v>105</v>
      </c>
      <c r="D705" s="6">
        <v>112</v>
      </c>
      <c r="E705" s="6">
        <v>217</v>
      </c>
      <c r="F705" s="11"/>
    </row>
    <row r="706" spans="1:6">
      <c r="A706" s="5" t="str">
        <f t="shared" si="13"/>
        <v>202303</v>
      </c>
      <c r="B706" s="5" t="str">
        <f>"23085012928"</f>
        <v>23085012928</v>
      </c>
      <c r="C706" s="6">
        <v>111</v>
      </c>
      <c r="D706" s="6">
        <v>105.5</v>
      </c>
      <c r="E706" s="6">
        <v>216.5</v>
      </c>
      <c r="F706" s="11"/>
    </row>
    <row r="707" spans="1:6">
      <c r="A707" s="5" t="str">
        <f t="shared" si="13"/>
        <v>202303</v>
      </c>
      <c r="B707" s="5" t="str">
        <f>"23085013324"</f>
        <v>23085013324</v>
      </c>
      <c r="C707" s="6">
        <v>106.5</v>
      </c>
      <c r="D707" s="6">
        <v>110</v>
      </c>
      <c r="E707" s="6">
        <v>216.5</v>
      </c>
      <c r="F707" s="11"/>
    </row>
    <row r="708" spans="1:6">
      <c r="A708" s="5" t="str">
        <f t="shared" si="13"/>
        <v>202303</v>
      </c>
      <c r="B708" s="5" t="str">
        <f>"23085012602"</f>
        <v>23085012602</v>
      </c>
      <c r="C708" s="6">
        <v>103.5</v>
      </c>
      <c r="D708" s="6">
        <v>112.5</v>
      </c>
      <c r="E708" s="6">
        <v>216</v>
      </c>
      <c r="F708" s="11"/>
    </row>
    <row r="709" spans="1:6">
      <c r="A709" s="5" t="str">
        <f t="shared" si="13"/>
        <v>202303</v>
      </c>
      <c r="B709" s="5" t="str">
        <f>"23085012126"</f>
        <v>23085012126</v>
      </c>
      <c r="C709" s="6">
        <v>97.5</v>
      </c>
      <c r="D709" s="6">
        <v>118.5</v>
      </c>
      <c r="E709" s="6">
        <v>216</v>
      </c>
      <c r="F709" s="11"/>
    </row>
    <row r="710" spans="1:6">
      <c r="A710" s="5" t="str">
        <f t="shared" si="13"/>
        <v>202303</v>
      </c>
      <c r="B710" s="5" t="str">
        <f>"23085013223"</f>
        <v>23085013223</v>
      </c>
      <c r="C710" s="6">
        <v>100.5</v>
      </c>
      <c r="D710" s="6">
        <v>115.5</v>
      </c>
      <c r="E710" s="6">
        <v>216</v>
      </c>
      <c r="F710" s="11"/>
    </row>
    <row r="711" spans="1:6">
      <c r="A711" s="5" t="str">
        <f t="shared" si="13"/>
        <v>202303</v>
      </c>
      <c r="B711" s="5" t="str">
        <f>"23085012510"</f>
        <v>23085012510</v>
      </c>
      <c r="C711" s="6">
        <v>100.5</v>
      </c>
      <c r="D711" s="6">
        <v>115.5</v>
      </c>
      <c r="E711" s="6">
        <v>216</v>
      </c>
      <c r="F711" s="11"/>
    </row>
    <row r="712" spans="1:6">
      <c r="A712" s="5" t="str">
        <f t="shared" si="13"/>
        <v>202303</v>
      </c>
      <c r="B712" s="5" t="str">
        <f>"23085013512"</f>
        <v>23085013512</v>
      </c>
      <c r="C712" s="6">
        <v>99</v>
      </c>
      <c r="D712" s="6">
        <v>117</v>
      </c>
      <c r="E712" s="6">
        <v>216</v>
      </c>
      <c r="F712" s="11"/>
    </row>
    <row r="713" spans="1:6">
      <c r="A713" s="5" t="str">
        <f t="shared" si="13"/>
        <v>202303</v>
      </c>
      <c r="B713" s="5" t="str">
        <f>"23085012930"</f>
        <v>23085012930</v>
      </c>
      <c r="C713" s="6">
        <v>100.5</v>
      </c>
      <c r="D713" s="6">
        <v>115</v>
      </c>
      <c r="E713" s="6">
        <v>215.5</v>
      </c>
      <c r="F713" s="11"/>
    </row>
    <row r="714" spans="1:6">
      <c r="A714" s="5" t="str">
        <f t="shared" si="13"/>
        <v>202303</v>
      </c>
      <c r="B714" s="5" t="str">
        <f>"23085012709"</f>
        <v>23085012709</v>
      </c>
      <c r="C714" s="6">
        <v>102</v>
      </c>
      <c r="D714" s="6">
        <v>113.5</v>
      </c>
      <c r="E714" s="6">
        <v>215.5</v>
      </c>
      <c r="F714" s="11"/>
    </row>
    <row r="715" spans="1:6">
      <c r="A715" s="5" t="str">
        <f t="shared" si="13"/>
        <v>202303</v>
      </c>
      <c r="B715" s="5" t="str">
        <f>"23085013022"</f>
        <v>23085013022</v>
      </c>
      <c r="C715" s="6">
        <v>97.5</v>
      </c>
      <c r="D715" s="6">
        <v>117.5</v>
      </c>
      <c r="E715" s="6">
        <v>215</v>
      </c>
      <c r="F715" s="11"/>
    </row>
    <row r="716" spans="1:6">
      <c r="A716" s="5" t="str">
        <f t="shared" si="13"/>
        <v>202303</v>
      </c>
      <c r="B716" s="5" t="str">
        <f>"23085012427"</f>
        <v>23085012427</v>
      </c>
      <c r="C716" s="6">
        <v>97.5</v>
      </c>
      <c r="D716" s="6">
        <v>117.5</v>
      </c>
      <c r="E716" s="6">
        <v>215</v>
      </c>
      <c r="F716" s="11"/>
    </row>
    <row r="717" spans="1:6">
      <c r="A717" s="5" t="str">
        <f t="shared" si="13"/>
        <v>202303</v>
      </c>
      <c r="B717" s="5" t="str">
        <f>"23085012622"</f>
        <v>23085012622</v>
      </c>
      <c r="C717" s="6">
        <v>97.5</v>
      </c>
      <c r="D717" s="6">
        <v>117.5</v>
      </c>
      <c r="E717" s="6">
        <v>215</v>
      </c>
      <c r="F717" s="11"/>
    </row>
    <row r="718" spans="1:6">
      <c r="A718" s="5" t="str">
        <f t="shared" si="13"/>
        <v>202303</v>
      </c>
      <c r="B718" s="5" t="str">
        <f>"23085013230"</f>
        <v>23085013230</v>
      </c>
      <c r="C718" s="6">
        <v>100.5</v>
      </c>
      <c r="D718" s="6">
        <v>114</v>
      </c>
      <c r="E718" s="6">
        <v>214.5</v>
      </c>
      <c r="F718" s="11"/>
    </row>
    <row r="719" spans="1:6">
      <c r="A719" s="5" t="str">
        <f t="shared" si="13"/>
        <v>202303</v>
      </c>
      <c r="B719" s="5" t="str">
        <f>"23085012330"</f>
        <v>23085012330</v>
      </c>
      <c r="C719" s="6">
        <v>96</v>
      </c>
      <c r="D719" s="6">
        <v>118.5</v>
      </c>
      <c r="E719" s="6">
        <v>214.5</v>
      </c>
      <c r="F719" s="11"/>
    </row>
    <row r="720" spans="1:6">
      <c r="A720" s="5" t="str">
        <f t="shared" si="13"/>
        <v>202303</v>
      </c>
      <c r="B720" s="5" t="str">
        <f>"23085013222"</f>
        <v>23085013222</v>
      </c>
      <c r="C720" s="6">
        <v>99</v>
      </c>
      <c r="D720" s="6">
        <v>115.5</v>
      </c>
      <c r="E720" s="6">
        <v>214.5</v>
      </c>
      <c r="F720" s="11"/>
    </row>
    <row r="721" spans="1:6">
      <c r="A721" s="5" t="str">
        <f t="shared" si="13"/>
        <v>202303</v>
      </c>
      <c r="B721" s="5" t="str">
        <f>"23085013307"</f>
        <v>23085013307</v>
      </c>
      <c r="C721" s="6">
        <v>100.5</v>
      </c>
      <c r="D721" s="6">
        <v>114</v>
      </c>
      <c r="E721" s="6">
        <v>214.5</v>
      </c>
      <c r="F721" s="11"/>
    </row>
    <row r="722" spans="1:6">
      <c r="A722" s="5" t="str">
        <f t="shared" si="13"/>
        <v>202303</v>
      </c>
      <c r="B722" s="5" t="str">
        <f>"23085013226"</f>
        <v>23085013226</v>
      </c>
      <c r="C722" s="6">
        <v>102</v>
      </c>
      <c r="D722" s="6">
        <v>112</v>
      </c>
      <c r="E722" s="6">
        <v>214</v>
      </c>
      <c r="F722" s="11"/>
    </row>
    <row r="723" spans="1:6">
      <c r="A723" s="5" t="str">
        <f t="shared" si="13"/>
        <v>202303</v>
      </c>
      <c r="B723" s="5" t="str">
        <f>"23085013328"</f>
        <v>23085013328</v>
      </c>
      <c r="C723" s="6">
        <v>103.5</v>
      </c>
      <c r="D723" s="6">
        <v>110.5</v>
      </c>
      <c r="E723" s="6">
        <v>214</v>
      </c>
      <c r="F723" s="11"/>
    </row>
    <row r="724" spans="1:6">
      <c r="A724" s="5" t="str">
        <f t="shared" si="13"/>
        <v>202303</v>
      </c>
      <c r="B724" s="5" t="str">
        <f>"23085012624"</f>
        <v>23085012624</v>
      </c>
      <c r="C724" s="6">
        <v>103.5</v>
      </c>
      <c r="D724" s="6">
        <v>110.5</v>
      </c>
      <c r="E724" s="6">
        <v>214</v>
      </c>
      <c r="F724" s="11"/>
    </row>
    <row r="725" spans="1:6">
      <c r="A725" s="5" t="str">
        <f t="shared" si="13"/>
        <v>202303</v>
      </c>
      <c r="B725" s="5" t="str">
        <f>"23085012920"</f>
        <v>23085012920</v>
      </c>
      <c r="C725" s="6">
        <v>97.5</v>
      </c>
      <c r="D725" s="6">
        <v>116.5</v>
      </c>
      <c r="E725" s="6">
        <v>214</v>
      </c>
      <c r="F725" s="11"/>
    </row>
    <row r="726" spans="1:6">
      <c r="A726" s="5" t="str">
        <f t="shared" si="13"/>
        <v>202303</v>
      </c>
      <c r="B726" s="5" t="str">
        <f>"23085012705"</f>
        <v>23085012705</v>
      </c>
      <c r="C726" s="6">
        <v>97.5</v>
      </c>
      <c r="D726" s="6">
        <v>116</v>
      </c>
      <c r="E726" s="6">
        <v>213.5</v>
      </c>
      <c r="F726" s="11"/>
    </row>
    <row r="727" spans="1:6">
      <c r="A727" s="5" t="str">
        <f t="shared" si="13"/>
        <v>202303</v>
      </c>
      <c r="B727" s="5" t="str">
        <f>"23085012228"</f>
        <v>23085012228</v>
      </c>
      <c r="C727" s="6">
        <v>102</v>
      </c>
      <c r="D727" s="6">
        <v>111.5</v>
      </c>
      <c r="E727" s="6">
        <v>213.5</v>
      </c>
      <c r="F727" s="11"/>
    </row>
    <row r="728" spans="1:6">
      <c r="A728" s="5" t="str">
        <f t="shared" si="13"/>
        <v>202303</v>
      </c>
      <c r="B728" s="5" t="str">
        <f>"23085012119"</f>
        <v>23085012119</v>
      </c>
      <c r="C728" s="6">
        <v>109.5</v>
      </c>
      <c r="D728" s="6">
        <v>104</v>
      </c>
      <c r="E728" s="6">
        <v>213.5</v>
      </c>
      <c r="F728" s="11"/>
    </row>
    <row r="729" spans="1:6">
      <c r="A729" s="5" t="str">
        <f t="shared" si="13"/>
        <v>202303</v>
      </c>
      <c r="B729" s="5" t="str">
        <f>"23085012310"</f>
        <v>23085012310</v>
      </c>
      <c r="C729" s="6">
        <v>97.5</v>
      </c>
      <c r="D729" s="6">
        <v>116</v>
      </c>
      <c r="E729" s="6">
        <v>213.5</v>
      </c>
      <c r="F729" s="11"/>
    </row>
    <row r="730" spans="1:6">
      <c r="A730" s="5" t="str">
        <f t="shared" si="13"/>
        <v>202303</v>
      </c>
      <c r="B730" s="5" t="str">
        <f>"23085013511"</f>
        <v>23085013511</v>
      </c>
      <c r="C730" s="6">
        <v>102</v>
      </c>
      <c r="D730" s="6">
        <v>111</v>
      </c>
      <c r="E730" s="6">
        <v>213</v>
      </c>
      <c r="F730" s="11"/>
    </row>
    <row r="731" spans="1:6">
      <c r="A731" s="5" t="str">
        <f t="shared" si="13"/>
        <v>202303</v>
      </c>
      <c r="B731" s="5" t="str">
        <f>"23085012811"</f>
        <v>23085012811</v>
      </c>
      <c r="C731" s="6">
        <v>105</v>
      </c>
      <c r="D731" s="6">
        <v>108</v>
      </c>
      <c r="E731" s="6">
        <v>213</v>
      </c>
      <c r="F731" s="11"/>
    </row>
    <row r="732" spans="1:6">
      <c r="A732" s="5" t="str">
        <f t="shared" si="13"/>
        <v>202303</v>
      </c>
      <c r="B732" s="5" t="str">
        <f>"23085013120"</f>
        <v>23085013120</v>
      </c>
      <c r="C732" s="6">
        <v>103.5</v>
      </c>
      <c r="D732" s="6">
        <v>109</v>
      </c>
      <c r="E732" s="6">
        <v>212.5</v>
      </c>
      <c r="F732" s="11"/>
    </row>
    <row r="733" spans="1:6">
      <c r="A733" s="5" t="str">
        <f t="shared" si="13"/>
        <v>202303</v>
      </c>
      <c r="B733" s="5" t="str">
        <f>"23085012615"</f>
        <v>23085012615</v>
      </c>
      <c r="C733" s="6">
        <v>105</v>
      </c>
      <c r="D733" s="6">
        <v>107.5</v>
      </c>
      <c r="E733" s="6">
        <v>212.5</v>
      </c>
      <c r="F733" s="11"/>
    </row>
    <row r="734" spans="1:6">
      <c r="A734" s="5" t="str">
        <f t="shared" si="13"/>
        <v>202303</v>
      </c>
      <c r="B734" s="5" t="str">
        <f>"23085013111"</f>
        <v>23085013111</v>
      </c>
      <c r="C734" s="6">
        <v>94.5</v>
      </c>
      <c r="D734" s="6">
        <v>118</v>
      </c>
      <c r="E734" s="6">
        <v>212.5</v>
      </c>
      <c r="F734" s="11"/>
    </row>
    <row r="735" spans="1:6">
      <c r="A735" s="5" t="str">
        <f t="shared" ref="A735:A798" si="14">"202303"</f>
        <v>202303</v>
      </c>
      <c r="B735" s="5" t="str">
        <f>"23085013025"</f>
        <v>23085013025</v>
      </c>
      <c r="C735" s="6">
        <v>102</v>
      </c>
      <c r="D735" s="6">
        <v>110.5</v>
      </c>
      <c r="E735" s="6">
        <v>212.5</v>
      </c>
      <c r="F735" s="11"/>
    </row>
    <row r="736" spans="1:6">
      <c r="A736" s="5" t="str">
        <f t="shared" si="14"/>
        <v>202303</v>
      </c>
      <c r="B736" s="5" t="str">
        <f>"23085012710"</f>
        <v>23085012710</v>
      </c>
      <c r="C736" s="6">
        <v>103.5</v>
      </c>
      <c r="D736" s="6">
        <v>108.5</v>
      </c>
      <c r="E736" s="6">
        <v>212</v>
      </c>
      <c r="F736" s="11"/>
    </row>
    <row r="737" spans="1:6">
      <c r="A737" s="5" t="str">
        <f t="shared" si="14"/>
        <v>202303</v>
      </c>
      <c r="B737" s="5" t="str">
        <f>"23085012708"</f>
        <v>23085012708</v>
      </c>
      <c r="C737" s="6">
        <v>90</v>
      </c>
      <c r="D737" s="6">
        <v>122</v>
      </c>
      <c r="E737" s="6">
        <v>212</v>
      </c>
      <c r="F737" s="11"/>
    </row>
    <row r="738" spans="1:6">
      <c r="A738" s="5" t="str">
        <f t="shared" si="14"/>
        <v>202303</v>
      </c>
      <c r="B738" s="5" t="str">
        <f>"23085013427"</f>
        <v>23085013427</v>
      </c>
      <c r="C738" s="6">
        <v>91.5</v>
      </c>
      <c r="D738" s="6">
        <v>120.5</v>
      </c>
      <c r="E738" s="6">
        <v>212</v>
      </c>
      <c r="F738" s="11"/>
    </row>
    <row r="739" spans="1:6">
      <c r="A739" s="5" t="str">
        <f t="shared" si="14"/>
        <v>202303</v>
      </c>
      <c r="B739" s="5" t="str">
        <f>"23085012625"</f>
        <v>23085012625</v>
      </c>
      <c r="C739" s="6">
        <v>97.5</v>
      </c>
      <c r="D739" s="6">
        <v>114</v>
      </c>
      <c r="E739" s="6">
        <v>211.5</v>
      </c>
      <c r="F739" s="11"/>
    </row>
    <row r="740" spans="1:6">
      <c r="A740" s="5" t="str">
        <f t="shared" si="14"/>
        <v>202303</v>
      </c>
      <c r="B740" s="5" t="str">
        <f>"23085013516"</f>
        <v>23085013516</v>
      </c>
      <c r="C740" s="6">
        <v>99</v>
      </c>
      <c r="D740" s="6">
        <v>112.5</v>
      </c>
      <c r="E740" s="6">
        <v>211.5</v>
      </c>
      <c r="F740" s="11"/>
    </row>
    <row r="741" spans="1:6">
      <c r="A741" s="5" t="str">
        <f t="shared" si="14"/>
        <v>202303</v>
      </c>
      <c r="B741" s="5" t="str">
        <f>"23085012828"</f>
        <v>23085012828</v>
      </c>
      <c r="C741" s="6">
        <v>97.5</v>
      </c>
      <c r="D741" s="6">
        <v>114</v>
      </c>
      <c r="E741" s="6">
        <v>211.5</v>
      </c>
      <c r="F741" s="11"/>
    </row>
    <row r="742" spans="1:6">
      <c r="A742" s="5" t="str">
        <f t="shared" si="14"/>
        <v>202303</v>
      </c>
      <c r="B742" s="5" t="str">
        <f>"23085012601"</f>
        <v>23085012601</v>
      </c>
      <c r="C742" s="6">
        <v>100.5</v>
      </c>
      <c r="D742" s="6">
        <v>111</v>
      </c>
      <c r="E742" s="6">
        <v>211.5</v>
      </c>
      <c r="F742" s="11"/>
    </row>
    <row r="743" spans="1:6">
      <c r="A743" s="5" t="str">
        <f t="shared" si="14"/>
        <v>202303</v>
      </c>
      <c r="B743" s="5" t="str">
        <f>"23085012528"</f>
        <v>23085012528</v>
      </c>
      <c r="C743" s="6">
        <v>97.5</v>
      </c>
      <c r="D743" s="6">
        <v>114</v>
      </c>
      <c r="E743" s="6">
        <v>211.5</v>
      </c>
      <c r="F743" s="11"/>
    </row>
    <row r="744" spans="1:6">
      <c r="A744" s="5" t="str">
        <f t="shared" si="14"/>
        <v>202303</v>
      </c>
      <c r="B744" s="5" t="str">
        <f>"23085013024"</f>
        <v>23085013024</v>
      </c>
      <c r="C744" s="6">
        <v>105</v>
      </c>
      <c r="D744" s="6">
        <v>106.5</v>
      </c>
      <c r="E744" s="6">
        <v>211.5</v>
      </c>
      <c r="F744" s="11"/>
    </row>
    <row r="745" spans="1:6">
      <c r="A745" s="5" t="str">
        <f t="shared" si="14"/>
        <v>202303</v>
      </c>
      <c r="B745" s="5" t="str">
        <f>"23085012903"</f>
        <v>23085012903</v>
      </c>
      <c r="C745" s="6">
        <v>96</v>
      </c>
      <c r="D745" s="6">
        <v>115.5</v>
      </c>
      <c r="E745" s="6">
        <v>211.5</v>
      </c>
      <c r="F745" s="11"/>
    </row>
    <row r="746" spans="1:6">
      <c r="A746" s="5" t="str">
        <f t="shared" si="14"/>
        <v>202303</v>
      </c>
      <c r="B746" s="5" t="str">
        <f>"23085013520"</f>
        <v>23085013520</v>
      </c>
      <c r="C746" s="6">
        <v>91.5</v>
      </c>
      <c r="D746" s="6">
        <v>120</v>
      </c>
      <c r="E746" s="6">
        <v>211.5</v>
      </c>
      <c r="F746" s="11"/>
    </row>
    <row r="747" spans="1:6">
      <c r="A747" s="5" t="str">
        <f t="shared" si="14"/>
        <v>202303</v>
      </c>
      <c r="B747" s="5" t="str">
        <f>"23085013204"</f>
        <v>23085013204</v>
      </c>
      <c r="C747" s="6">
        <v>97.5</v>
      </c>
      <c r="D747" s="6">
        <v>114</v>
      </c>
      <c r="E747" s="6">
        <v>211.5</v>
      </c>
      <c r="F747" s="11"/>
    </row>
    <row r="748" spans="1:6">
      <c r="A748" s="5" t="str">
        <f t="shared" si="14"/>
        <v>202303</v>
      </c>
      <c r="B748" s="5" t="str">
        <f>"23085012923"</f>
        <v>23085012923</v>
      </c>
      <c r="C748" s="6">
        <v>99</v>
      </c>
      <c r="D748" s="6">
        <v>112.5</v>
      </c>
      <c r="E748" s="6">
        <v>211.5</v>
      </c>
      <c r="F748" s="11"/>
    </row>
    <row r="749" spans="1:6">
      <c r="A749" s="5" t="str">
        <f t="shared" si="14"/>
        <v>202303</v>
      </c>
      <c r="B749" s="5" t="str">
        <f>"23085012520"</f>
        <v>23085012520</v>
      </c>
      <c r="C749" s="6">
        <v>111</v>
      </c>
      <c r="D749" s="6">
        <v>100.5</v>
      </c>
      <c r="E749" s="6">
        <v>211.5</v>
      </c>
      <c r="F749" s="11"/>
    </row>
    <row r="750" spans="1:6">
      <c r="A750" s="5" t="str">
        <f t="shared" si="14"/>
        <v>202303</v>
      </c>
      <c r="B750" s="5" t="str">
        <f>"23085012229"</f>
        <v>23085012229</v>
      </c>
      <c r="C750" s="6">
        <v>103.5</v>
      </c>
      <c r="D750" s="6">
        <v>107</v>
      </c>
      <c r="E750" s="6">
        <v>210.5</v>
      </c>
      <c r="F750" s="11"/>
    </row>
    <row r="751" spans="1:6">
      <c r="A751" s="5" t="str">
        <f t="shared" si="14"/>
        <v>202303</v>
      </c>
      <c r="B751" s="5" t="str">
        <f>"23085013412"</f>
        <v>23085013412</v>
      </c>
      <c r="C751" s="6">
        <v>99</v>
      </c>
      <c r="D751" s="6">
        <v>111.5</v>
      </c>
      <c r="E751" s="6">
        <v>210.5</v>
      </c>
      <c r="F751" s="11"/>
    </row>
    <row r="752" spans="1:6">
      <c r="A752" s="5" t="str">
        <f t="shared" si="14"/>
        <v>202303</v>
      </c>
      <c r="B752" s="5" t="str">
        <f>"23085012517"</f>
        <v>23085012517</v>
      </c>
      <c r="C752" s="6">
        <v>100.5</v>
      </c>
      <c r="D752" s="6">
        <v>110</v>
      </c>
      <c r="E752" s="6">
        <v>210.5</v>
      </c>
      <c r="F752" s="11"/>
    </row>
    <row r="753" spans="1:6">
      <c r="A753" s="5" t="str">
        <f t="shared" si="14"/>
        <v>202303</v>
      </c>
      <c r="B753" s="5" t="str">
        <f>"23085013123"</f>
        <v>23085013123</v>
      </c>
      <c r="C753" s="6">
        <v>93</v>
      </c>
      <c r="D753" s="6">
        <v>117.5</v>
      </c>
      <c r="E753" s="6">
        <v>210.5</v>
      </c>
      <c r="F753" s="11"/>
    </row>
    <row r="754" spans="1:6">
      <c r="A754" s="5" t="str">
        <f t="shared" si="14"/>
        <v>202303</v>
      </c>
      <c r="B754" s="5" t="str">
        <f>"23085012727"</f>
        <v>23085012727</v>
      </c>
      <c r="C754" s="6">
        <v>106.5</v>
      </c>
      <c r="D754" s="6">
        <v>104</v>
      </c>
      <c r="E754" s="6">
        <v>210.5</v>
      </c>
      <c r="F754" s="11"/>
    </row>
    <row r="755" spans="1:6">
      <c r="A755" s="5" t="str">
        <f t="shared" si="14"/>
        <v>202303</v>
      </c>
      <c r="B755" s="5" t="str">
        <f>"23085013309"</f>
        <v>23085013309</v>
      </c>
      <c r="C755" s="6">
        <v>100.5</v>
      </c>
      <c r="D755" s="6">
        <v>110</v>
      </c>
      <c r="E755" s="6">
        <v>210.5</v>
      </c>
      <c r="F755" s="11"/>
    </row>
    <row r="756" spans="1:6">
      <c r="A756" s="5" t="str">
        <f t="shared" si="14"/>
        <v>202303</v>
      </c>
      <c r="B756" s="5" t="str">
        <f>"23085012213"</f>
        <v>23085012213</v>
      </c>
      <c r="C756" s="6">
        <v>94.5</v>
      </c>
      <c r="D756" s="6">
        <v>115.5</v>
      </c>
      <c r="E756" s="6">
        <v>210</v>
      </c>
      <c r="F756" s="11"/>
    </row>
    <row r="757" spans="1:6">
      <c r="A757" s="5" t="str">
        <f t="shared" si="14"/>
        <v>202303</v>
      </c>
      <c r="B757" s="5" t="str">
        <f>"23085013313"</f>
        <v>23085013313</v>
      </c>
      <c r="C757" s="6">
        <v>96</v>
      </c>
      <c r="D757" s="6">
        <v>114</v>
      </c>
      <c r="E757" s="6">
        <v>210</v>
      </c>
      <c r="F757" s="11"/>
    </row>
    <row r="758" spans="1:6">
      <c r="A758" s="5" t="str">
        <f t="shared" si="14"/>
        <v>202303</v>
      </c>
      <c r="B758" s="5" t="str">
        <f>"23085012810"</f>
        <v>23085012810</v>
      </c>
      <c r="C758" s="6">
        <v>93</v>
      </c>
      <c r="D758" s="6">
        <v>117</v>
      </c>
      <c r="E758" s="6">
        <v>210</v>
      </c>
      <c r="F758" s="11"/>
    </row>
    <row r="759" spans="1:6">
      <c r="A759" s="5" t="str">
        <f t="shared" si="14"/>
        <v>202303</v>
      </c>
      <c r="B759" s="5" t="str">
        <f>"23085012703"</f>
        <v>23085012703</v>
      </c>
      <c r="C759" s="6">
        <v>115.5</v>
      </c>
      <c r="D759" s="6">
        <v>94.5</v>
      </c>
      <c r="E759" s="6">
        <v>210</v>
      </c>
      <c r="F759" s="11"/>
    </row>
    <row r="760" spans="1:6">
      <c r="A760" s="5" t="str">
        <f t="shared" si="14"/>
        <v>202303</v>
      </c>
      <c r="B760" s="5" t="str">
        <f>"23085013113"</f>
        <v>23085013113</v>
      </c>
      <c r="C760" s="6">
        <v>91.5</v>
      </c>
      <c r="D760" s="6">
        <v>118</v>
      </c>
      <c r="E760" s="6">
        <v>209.5</v>
      </c>
      <c r="F760" s="11"/>
    </row>
    <row r="761" spans="1:6">
      <c r="A761" s="5" t="str">
        <f t="shared" si="14"/>
        <v>202303</v>
      </c>
      <c r="B761" s="5" t="str">
        <f>"23085012317"</f>
        <v>23085012317</v>
      </c>
      <c r="C761" s="6">
        <v>96</v>
      </c>
      <c r="D761" s="6">
        <v>113.5</v>
      </c>
      <c r="E761" s="6">
        <v>209.5</v>
      </c>
      <c r="F761" s="11"/>
    </row>
    <row r="762" spans="1:6">
      <c r="A762" s="5" t="str">
        <f t="shared" si="14"/>
        <v>202303</v>
      </c>
      <c r="B762" s="5" t="str">
        <f>"23085012414"</f>
        <v>23085012414</v>
      </c>
      <c r="C762" s="6">
        <v>88.5</v>
      </c>
      <c r="D762" s="6">
        <v>121</v>
      </c>
      <c r="E762" s="6">
        <v>209.5</v>
      </c>
      <c r="F762" s="11"/>
    </row>
    <row r="763" spans="1:6">
      <c r="A763" s="5" t="str">
        <f t="shared" si="14"/>
        <v>202303</v>
      </c>
      <c r="B763" s="5" t="str">
        <f>"23085012413"</f>
        <v>23085012413</v>
      </c>
      <c r="C763" s="6">
        <v>93</v>
      </c>
      <c r="D763" s="6">
        <v>116.5</v>
      </c>
      <c r="E763" s="6">
        <v>209.5</v>
      </c>
      <c r="F763" s="11"/>
    </row>
    <row r="764" spans="1:6">
      <c r="A764" s="5" t="str">
        <f t="shared" si="14"/>
        <v>202303</v>
      </c>
      <c r="B764" s="5" t="str">
        <f>"23085013414"</f>
        <v>23085013414</v>
      </c>
      <c r="C764" s="6">
        <v>91.5</v>
      </c>
      <c r="D764" s="6">
        <v>118</v>
      </c>
      <c r="E764" s="6">
        <v>209.5</v>
      </c>
      <c r="F764" s="11"/>
    </row>
    <row r="765" spans="1:6">
      <c r="A765" s="5" t="str">
        <f t="shared" si="14"/>
        <v>202303</v>
      </c>
      <c r="B765" s="5" t="str">
        <f>"23085012525"</f>
        <v>23085012525</v>
      </c>
      <c r="C765" s="6">
        <v>97.5</v>
      </c>
      <c r="D765" s="6">
        <v>112</v>
      </c>
      <c r="E765" s="6">
        <v>209.5</v>
      </c>
      <c r="F765" s="11"/>
    </row>
    <row r="766" spans="1:6">
      <c r="A766" s="5" t="str">
        <f t="shared" si="14"/>
        <v>202303</v>
      </c>
      <c r="B766" s="5" t="str">
        <f>"23085012911"</f>
        <v>23085012911</v>
      </c>
      <c r="C766" s="6">
        <v>100.5</v>
      </c>
      <c r="D766" s="6">
        <v>108.5</v>
      </c>
      <c r="E766" s="6">
        <v>209</v>
      </c>
      <c r="F766" s="11"/>
    </row>
    <row r="767" spans="1:6">
      <c r="A767" s="5" t="str">
        <f t="shared" si="14"/>
        <v>202303</v>
      </c>
      <c r="B767" s="5" t="str">
        <f>"23085012222"</f>
        <v>23085012222</v>
      </c>
      <c r="C767" s="6">
        <v>93</v>
      </c>
      <c r="D767" s="6">
        <v>116</v>
      </c>
      <c r="E767" s="6">
        <v>209</v>
      </c>
      <c r="F767" s="11"/>
    </row>
    <row r="768" spans="1:6">
      <c r="A768" s="5" t="str">
        <f t="shared" si="14"/>
        <v>202303</v>
      </c>
      <c r="B768" s="5" t="str">
        <f>"23085012623"</f>
        <v>23085012623</v>
      </c>
      <c r="C768" s="6">
        <v>105</v>
      </c>
      <c r="D768" s="6">
        <v>104</v>
      </c>
      <c r="E768" s="6">
        <v>209</v>
      </c>
      <c r="F768" s="11"/>
    </row>
    <row r="769" spans="1:6">
      <c r="A769" s="5" t="str">
        <f t="shared" si="14"/>
        <v>202303</v>
      </c>
      <c r="B769" s="5" t="str">
        <f>"23085013030"</f>
        <v>23085013030</v>
      </c>
      <c r="C769" s="6">
        <v>84</v>
      </c>
      <c r="D769" s="6">
        <v>125</v>
      </c>
      <c r="E769" s="6">
        <v>209</v>
      </c>
      <c r="F769" s="11"/>
    </row>
    <row r="770" spans="1:6">
      <c r="A770" s="5" t="str">
        <f t="shared" si="14"/>
        <v>202303</v>
      </c>
      <c r="B770" s="5" t="str">
        <f>"23085013315"</f>
        <v>23085013315</v>
      </c>
      <c r="C770" s="6">
        <v>99</v>
      </c>
      <c r="D770" s="6">
        <v>110</v>
      </c>
      <c r="E770" s="6">
        <v>209</v>
      </c>
      <c r="F770" s="11"/>
    </row>
    <row r="771" spans="1:6">
      <c r="A771" s="5" t="str">
        <f t="shared" si="14"/>
        <v>202303</v>
      </c>
      <c r="B771" s="5" t="str">
        <f>"23085013527"</f>
        <v>23085013527</v>
      </c>
      <c r="C771" s="6">
        <v>90</v>
      </c>
      <c r="D771" s="6">
        <v>118.5</v>
      </c>
      <c r="E771" s="6">
        <v>208.5</v>
      </c>
      <c r="F771" s="11"/>
    </row>
    <row r="772" spans="1:6">
      <c r="A772" s="5" t="str">
        <f t="shared" si="14"/>
        <v>202303</v>
      </c>
      <c r="B772" s="5" t="str">
        <f>"23085012812"</f>
        <v>23085012812</v>
      </c>
      <c r="C772" s="6">
        <v>90</v>
      </c>
      <c r="D772" s="6">
        <v>118.5</v>
      </c>
      <c r="E772" s="6">
        <v>208.5</v>
      </c>
      <c r="F772" s="11"/>
    </row>
    <row r="773" spans="1:6">
      <c r="A773" s="5" t="str">
        <f t="shared" si="14"/>
        <v>202303</v>
      </c>
      <c r="B773" s="5" t="str">
        <f>"23085012121"</f>
        <v>23085012121</v>
      </c>
      <c r="C773" s="6">
        <v>108</v>
      </c>
      <c r="D773" s="6">
        <v>100.5</v>
      </c>
      <c r="E773" s="6">
        <v>208.5</v>
      </c>
      <c r="F773" s="11"/>
    </row>
    <row r="774" spans="1:6">
      <c r="A774" s="5" t="str">
        <f t="shared" si="14"/>
        <v>202303</v>
      </c>
      <c r="B774" s="5" t="str">
        <f>"23085013128"</f>
        <v>23085013128</v>
      </c>
      <c r="C774" s="6">
        <v>90</v>
      </c>
      <c r="D774" s="6">
        <v>118.5</v>
      </c>
      <c r="E774" s="6">
        <v>208.5</v>
      </c>
      <c r="F774" s="11"/>
    </row>
    <row r="775" spans="1:6">
      <c r="A775" s="5" t="str">
        <f t="shared" si="14"/>
        <v>202303</v>
      </c>
      <c r="B775" s="5" t="str">
        <f>"23085013303"</f>
        <v>23085013303</v>
      </c>
      <c r="C775" s="6">
        <v>88.5</v>
      </c>
      <c r="D775" s="6">
        <v>119.5</v>
      </c>
      <c r="E775" s="6">
        <v>208</v>
      </c>
      <c r="F775" s="11"/>
    </row>
    <row r="776" spans="1:6">
      <c r="A776" s="5" t="str">
        <f t="shared" si="14"/>
        <v>202303</v>
      </c>
      <c r="B776" s="5" t="str">
        <f>"23085012420"</f>
        <v>23085012420</v>
      </c>
      <c r="C776" s="6">
        <v>91.5</v>
      </c>
      <c r="D776" s="6">
        <v>116.5</v>
      </c>
      <c r="E776" s="6">
        <v>208</v>
      </c>
      <c r="F776" s="11"/>
    </row>
    <row r="777" spans="1:6">
      <c r="A777" s="5" t="str">
        <f t="shared" si="14"/>
        <v>202303</v>
      </c>
      <c r="B777" s="5" t="str">
        <f>"23085012714"</f>
        <v>23085012714</v>
      </c>
      <c r="C777" s="6">
        <v>99</v>
      </c>
      <c r="D777" s="6">
        <v>108.5</v>
      </c>
      <c r="E777" s="6">
        <v>207.5</v>
      </c>
      <c r="F777" s="11"/>
    </row>
    <row r="778" spans="1:6">
      <c r="A778" s="5" t="str">
        <f t="shared" si="14"/>
        <v>202303</v>
      </c>
      <c r="B778" s="5" t="str">
        <f>"23085012324"</f>
        <v>23085012324</v>
      </c>
      <c r="C778" s="6">
        <v>88.5</v>
      </c>
      <c r="D778" s="6">
        <v>119</v>
      </c>
      <c r="E778" s="6">
        <v>207.5</v>
      </c>
      <c r="F778" s="11"/>
    </row>
    <row r="779" spans="1:6">
      <c r="A779" s="5" t="str">
        <f t="shared" si="14"/>
        <v>202303</v>
      </c>
      <c r="B779" s="5" t="str">
        <f>"23085013210"</f>
        <v>23085013210</v>
      </c>
      <c r="C779" s="6">
        <v>94.5</v>
      </c>
      <c r="D779" s="6">
        <v>113</v>
      </c>
      <c r="E779" s="6">
        <v>207.5</v>
      </c>
      <c r="F779" s="11"/>
    </row>
    <row r="780" spans="1:6">
      <c r="A780" s="5" t="str">
        <f t="shared" si="14"/>
        <v>202303</v>
      </c>
      <c r="B780" s="5" t="str">
        <f>"23085012208"</f>
        <v>23085012208</v>
      </c>
      <c r="C780" s="6">
        <v>90</v>
      </c>
      <c r="D780" s="6">
        <v>117.5</v>
      </c>
      <c r="E780" s="6">
        <v>207.5</v>
      </c>
      <c r="F780" s="11"/>
    </row>
    <row r="781" spans="1:6">
      <c r="A781" s="5" t="str">
        <f t="shared" si="14"/>
        <v>202303</v>
      </c>
      <c r="B781" s="5" t="str">
        <f>"23085012205"</f>
        <v>23085012205</v>
      </c>
      <c r="C781" s="6">
        <v>94.5</v>
      </c>
      <c r="D781" s="6">
        <v>113</v>
      </c>
      <c r="E781" s="6">
        <v>207.5</v>
      </c>
      <c r="F781" s="11"/>
    </row>
    <row r="782" spans="1:6">
      <c r="A782" s="5" t="str">
        <f t="shared" si="14"/>
        <v>202303</v>
      </c>
      <c r="B782" s="5" t="str">
        <f>"23085012711"</f>
        <v>23085012711</v>
      </c>
      <c r="C782" s="6">
        <v>106.5</v>
      </c>
      <c r="D782" s="6">
        <v>100.5</v>
      </c>
      <c r="E782" s="6">
        <v>207</v>
      </c>
      <c r="F782" s="11"/>
    </row>
    <row r="783" spans="1:6">
      <c r="A783" s="5" t="str">
        <f t="shared" si="14"/>
        <v>202303</v>
      </c>
      <c r="B783" s="5" t="str">
        <f>"23085012325"</f>
        <v>23085012325</v>
      </c>
      <c r="C783" s="6">
        <v>91.5</v>
      </c>
      <c r="D783" s="6">
        <v>115</v>
      </c>
      <c r="E783" s="6">
        <v>206.5</v>
      </c>
      <c r="F783" s="11"/>
    </row>
    <row r="784" spans="1:6">
      <c r="A784" s="5" t="str">
        <f t="shared" si="14"/>
        <v>202303</v>
      </c>
      <c r="B784" s="5" t="str">
        <f>"23085012907"</f>
        <v>23085012907</v>
      </c>
      <c r="C784" s="6">
        <v>94.5</v>
      </c>
      <c r="D784" s="6">
        <v>111.5</v>
      </c>
      <c r="E784" s="6">
        <v>206</v>
      </c>
      <c r="F784" s="11"/>
    </row>
    <row r="785" spans="1:6">
      <c r="A785" s="5" t="str">
        <f t="shared" si="14"/>
        <v>202303</v>
      </c>
      <c r="B785" s="5" t="str">
        <f>"23085012429"</f>
        <v>23085012429</v>
      </c>
      <c r="C785" s="6">
        <v>96</v>
      </c>
      <c r="D785" s="6">
        <v>109.5</v>
      </c>
      <c r="E785" s="6">
        <v>205.5</v>
      </c>
      <c r="F785" s="11"/>
    </row>
    <row r="786" spans="1:6">
      <c r="A786" s="5" t="str">
        <f t="shared" si="14"/>
        <v>202303</v>
      </c>
      <c r="B786" s="5" t="str">
        <f>"23085012202"</f>
        <v>23085012202</v>
      </c>
      <c r="C786" s="6">
        <v>93</v>
      </c>
      <c r="D786" s="6">
        <v>112.5</v>
      </c>
      <c r="E786" s="6">
        <v>205.5</v>
      </c>
      <c r="F786" s="11"/>
    </row>
    <row r="787" spans="1:6">
      <c r="A787" s="5" t="str">
        <f t="shared" si="14"/>
        <v>202303</v>
      </c>
      <c r="B787" s="5" t="str">
        <f>"23085012307"</f>
        <v>23085012307</v>
      </c>
      <c r="C787" s="6">
        <v>87</v>
      </c>
      <c r="D787" s="6">
        <v>118.5</v>
      </c>
      <c r="E787" s="6">
        <v>205.5</v>
      </c>
      <c r="F787" s="11"/>
    </row>
    <row r="788" spans="1:6">
      <c r="A788" s="5" t="str">
        <f t="shared" si="14"/>
        <v>202303</v>
      </c>
      <c r="B788" s="5" t="str">
        <f>"23085012626"</f>
        <v>23085012626</v>
      </c>
      <c r="C788" s="6">
        <v>93</v>
      </c>
      <c r="D788" s="6">
        <v>112.5</v>
      </c>
      <c r="E788" s="6">
        <v>205.5</v>
      </c>
      <c r="F788" s="11"/>
    </row>
    <row r="789" spans="1:6">
      <c r="A789" s="5" t="str">
        <f t="shared" si="14"/>
        <v>202303</v>
      </c>
      <c r="B789" s="5" t="str">
        <f>"23085013505"</f>
        <v>23085013505</v>
      </c>
      <c r="C789" s="6">
        <v>94.5</v>
      </c>
      <c r="D789" s="6">
        <v>110.5</v>
      </c>
      <c r="E789" s="6">
        <v>205</v>
      </c>
      <c r="F789" s="11"/>
    </row>
    <row r="790" spans="1:6">
      <c r="A790" s="5" t="str">
        <f t="shared" si="14"/>
        <v>202303</v>
      </c>
      <c r="B790" s="5" t="str">
        <f>"23085012712"</f>
        <v>23085012712</v>
      </c>
      <c r="C790" s="6">
        <v>91.5</v>
      </c>
      <c r="D790" s="6">
        <v>113.5</v>
      </c>
      <c r="E790" s="6">
        <v>205</v>
      </c>
      <c r="F790" s="11"/>
    </row>
    <row r="791" spans="1:6">
      <c r="A791" s="5" t="str">
        <f t="shared" si="14"/>
        <v>202303</v>
      </c>
      <c r="B791" s="5" t="str">
        <f>"23085012215"</f>
        <v>23085012215</v>
      </c>
      <c r="C791" s="6">
        <v>90</v>
      </c>
      <c r="D791" s="6">
        <v>115</v>
      </c>
      <c r="E791" s="6">
        <v>205</v>
      </c>
      <c r="F791" s="11"/>
    </row>
    <row r="792" spans="1:6">
      <c r="A792" s="5" t="str">
        <f t="shared" si="14"/>
        <v>202303</v>
      </c>
      <c r="B792" s="5" t="str">
        <f>"23085012417"</f>
        <v>23085012417</v>
      </c>
      <c r="C792" s="6">
        <v>88.5</v>
      </c>
      <c r="D792" s="6">
        <v>116</v>
      </c>
      <c r="E792" s="6">
        <v>204.5</v>
      </c>
      <c r="F792" s="11"/>
    </row>
    <row r="793" spans="1:6">
      <c r="A793" s="5" t="str">
        <f t="shared" si="14"/>
        <v>202303</v>
      </c>
      <c r="B793" s="5" t="str">
        <f>"23085013205"</f>
        <v>23085013205</v>
      </c>
      <c r="C793" s="6">
        <v>87</v>
      </c>
      <c r="D793" s="6">
        <v>117</v>
      </c>
      <c r="E793" s="6">
        <v>204</v>
      </c>
      <c r="F793" s="11"/>
    </row>
    <row r="794" spans="1:6">
      <c r="A794" s="5" t="str">
        <f t="shared" si="14"/>
        <v>202303</v>
      </c>
      <c r="B794" s="5" t="str">
        <f>"23085012823"</f>
        <v>23085012823</v>
      </c>
      <c r="C794" s="6">
        <v>93</v>
      </c>
      <c r="D794" s="6">
        <v>110.5</v>
      </c>
      <c r="E794" s="6">
        <v>203.5</v>
      </c>
      <c r="F794" s="11"/>
    </row>
    <row r="795" spans="1:6">
      <c r="A795" s="5" t="str">
        <f t="shared" si="14"/>
        <v>202303</v>
      </c>
      <c r="B795" s="5" t="str">
        <f>"23085012120"</f>
        <v>23085012120</v>
      </c>
      <c r="C795" s="6">
        <v>88.5</v>
      </c>
      <c r="D795" s="6">
        <v>115</v>
      </c>
      <c r="E795" s="6">
        <v>203.5</v>
      </c>
      <c r="F795" s="11"/>
    </row>
    <row r="796" spans="1:6">
      <c r="A796" s="5" t="str">
        <f t="shared" si="14"/>
        <v>202303</v>
      </c>
      <c r="B796" s="5" t="str">
        <f>"23085012608"</f>
        <v>23085012608</v>
      </c>
      <c r="C796" s="6">
        <v>91.5</v>
      </c>
      <c r="D796" s="6">
        <v>112</v>
      </c>
      <c r="E796" s="6">
        <v>203.5</v>
      </c>
      <c r="F796" s="11"/>
    </row>
    <row r="797" spans="1:6">
      <c r="A797" s="5" t="str">
        <f t="shared" si="14"/>
        <v>202303</v>
      </c>
      <c r="B797" s="5" t="str">
        <f>"23085012701"</f>
        <v>23085012701</v>
      </c>
      <c r="C797" s="6">
        <v>87</v>
      </c>
      <c r="D797" s="6">
        <v>116.5</v>
      </c>
      <c r="E797" s="6">
        <v>203.5</v>
      </c>
      <c r="F797" s="11"/>
    </row>
    <row r="798" spans="1:6">
      <c r="A798" s="5" t="str">
        <f t="shared" si="14"/>
        <v>202303</v>
      </c>
      <c r="B798" s="5" t="str">
        <f>"23085013118"</f>
        <v>23085013118</v>
      </c>
      <c r="C798" s="6">
        <v>87</v>
      </c>
      <c r="D798" s="6">
        <v>116.5</v>
      </c>
      <c r="E798" s="6">
        <v>203.5</v>
      </c>
      <c r="F798" s="11"/>
    </row>
    <row r="799" spans="1:6">
      <c r="A799" s="5" t="str">
        <f t="shared" ref="A799:A862" si="15">"202303"</f>
        <v>202303</v>
      </c>
      <c r="B799" s="5" t="str">
        <f>"23085013023"</f>
        <v>23085013023</v>
      </c>
      <c r="C799" s="6">
        <v>87</v>
      </c>
      <c r="D799" s="6">
        <v>116.5</v>
      </c>
      <c r="E799" s="6">
        <v>203.5</v>
      </c>
      <c r="F799" s="11"/>
    </row>
    <row r="800" spans="1:6">
      <c r="A800" s="5" t="str">
        <f t="shared" si="15"/>
        <v>202303</v>
      </c>
      <c r="B800" s="5" t="str">
        <f>"23085012117"</f>
        <v>23085012117</v>
      </c>
      <c r="C800" s="6">
        <v>90</v>
      </c>
      <c r="D800" s="6">
        <v>113.5</v>
      </c>
      <c r="E800" s="6">
        <v>203.5</v>
      </c>
      <c r="F800" s="11"/>
    </row>
    <row r="801" spans="1:6">
      <c r="A801" s="5" t="str">
        <f t="shared" si="15"/>
        <v>202303</v>
      </c>
      <c r="B801" s="5" t="str">
        <f>"23085012817"</f>
        <v>23085012817</v>
      </c>
      <c r="C801" s="6">
        <v>87</v>
      </c>
      <c r="D801" s="6">
        <v>116.5</v>
      </c>
      <c r="E801" s="6">
        <v>203.5</v>
      </c>
      <c r="F801" s="11"/>
    </row>
    <row r="802" spans="1:6">
      <c r="A802" s="5" t="str">
        <f t="shared" si="15"/>
        <v>202303</v>
      </c>
      <c r="B802" s="5" t="str">
        <f>"23085012824"</f>
        <v>23085012824</v>
      </c>
      <c r="C802" s="6">
        <v>90</v>
      </c>
      <c r="D802" s="6">
        <v>113</v>
      </c>
      <c r="E802" s="6">
        <v>203</v>
      </c>
      <c r="F802" s="11"/>
    </row>
    <row r="803" spans="1:6">
      <c r="A803" s="5" t="str">
        <f t="shared" si="15"/>
        <v>202303</v>
      </c>
      <c r="B803" s="5" t="str">
        <f>"23085012619"</f>
        <v>23085012619</v>
      </c>
      <c r="C803" s="6">
        <v>91.5</v>
      </c>
      <c r="D803" s="6">
        <v>111</v>
      </c>
      <c r="E803" s="6">
        <v>202.5</v>
      </c>
      <c r="F803" s="11"/>
    </row>
    <row r="804" spans="1:6">
      <c r="A804" s="5" t="str">
        <f t="shared" si="15"/>
        <v>202303</v>
      </c>
      <c r="B804" s="5" t="str">
        <f>"23085013206"</f>
        <v>23085013206</v>
      </c>
      <c r="C804" s="6">
        <v>87</v>
      </c>
      <c r="D804" s="6">
        <v>115.5</v>
      </c>
      <c r="E804" s="6">
        <v>202.5</v>
      </c>
      <c r="F804" s="11"/>
    </row>
    <row r="805" spans="1:6">
      <c r="A805" s="5" t="str">
        <f t="shared" si="15"/>
        <v>202303</v>
      </c>
      <c r="B805" s="5" t="str">
        <f>"23085013513"</f>
        <v>23085013513</v>
      </c>
      <c r="C805" s="6">
        <v>85.5</v>
      </c>
      <c r="D805" s="6">
        <v>117</v>
      </c>
      <c r="E805" s="6">
        <v>202.5</v>
      </c>
      <c r="F805" s="11"/>
    </row>
    <row r="806" spans="1:6">
      <c r="A806" s="5" t="str">
        <f t="shared" si="15"/>
        <v>202303</v>
      </c>
      <c r="B806" s="5" t="str">
        <f>"23085013415"</f>
        <v>23085013415</v>
      </c>
      <c r="C806" s="6">
        <v>91.5</v>
      </c>
      <c r="D806" s="6">
        <v>111</v>
      </c>
      <c r="E806" s="6">
        <v>202.5</v>
      </c>
      <c r="F806" s="11"/>
    </row>
    <row r="807" spans="1:6">
      <c r="A807" s="5" t="str">
        <f t="shared" si="15"/>
        <v>202303</v>
      </c>
      <c r="B807" s="5" t="str">
        <f>"23085013014"</f>
        <v>23085013014</v>
      </c>
      <c r="C807" s="6">
        <v>93</v>
      </c>
      <c r="D807" s="6">
        <v>109.5</v>
      </c>
      <c r="E807" s="6">
        <v>202.5</v>
      </c>
      <c r="F807" s="11"/>
    </row>
    <row r="808" spans="1:6">
      <c r="A808" s="5" t="str">
        <f t="shared" si="15"/>
        <v>202303</v>
      </c>
      <c r="B808" s="5" t="str">
        <f>"23085013104"</f>
        <v>23085013104</v>
      </c>
      <c r="C808" s="6">
        <v>94.5</v>
      </c>
      <c r="D808" s="6">
        <v>108</v>
      </c>
      <c r="E808" s="6">
        <v>202.5</v>
      </c>
      <c r="F808" s="11"/>
    </row>
    <row r="809" spans="1:6">
      <c r="A809" s="5" t="str">
        <f t="shared" si="15"/>
        <v>202303</v>
      </c>
      <c r="B809" s="5" t="str">
        <f>"23085013416"</f>
        <v>23085013416</v>
      </c>
      <c r="C809" s="6">
        <v>90</v>
      </c>
      <c r="D809" s="6">
        <v>112</v>
      </c>
      <c r="E809" s="6">
        <v>202</v>
      </c>
      <c r="F809" s="11"/>
    </row>
    <row r="810" spans="1:6">
      <c r="A810" s="5" t="str">
        <f t="shared" si="15"/>
        <v>202303</v>
      </c>
      <c r="B810" s="5" t="str">
        <f>"23085012729"</f>
        <v>23085012729</v>
      </c>
      <c r="C810" s="6">
        <v>82.5</v>
      </c>
      <c r="D810" s="6">
        <v>119.5</v>
      </c>
      <c r="E810" s="6">
        <v>202</v>
      </c>
      <c r="F810" s="11"/>
    </row>
    <row r="811" spans="1:6">
      <c r="A811" s="5" t="str">
        <f t="shared" si="15"/>
        <v>202303</v>
      </c>
      <c r="B811" s="5" t="str">
        <f>"23085012818"</f>
        <v>23085012818</v>
      </c>
      <c r="C811" s="6">
        <v>94.5</v>
      </c>
      <c r="D811" s="6">
        <v>107.5</v>
      </c>
      <c r="E811" s="6">
        <v>202</v>
      </c>
      <c r="F811" s="11"/>
    </row>
    <row r="812" spans="1:6">
      <c r="A812" s="5" t="str">
        <f t="shared" si="15"/>
        <v>202303</v>
      </c>
      <c r="B812" s="5" t="str">
        <f>"23085013208"</f>
        <v>23085013208</v>
      </c>
      <c r="C812" s="6">
        <v>100.5</v>
      </c>
      <c r="D812" s="6">
        <v>101.5</v>
      </c>
      <c r="E812" s="6">
        <v>202</v>
      </c>
      <c r="F812" s="11"/>
    </row>
    <row r="813" spans="1:6">
      <c r="A813" s="5" t="str">
        <f t="shared" si="15"/>
        <v>202303</v>
      </c>
      <c r="B813" s="5" t="str">
        <f>"23085012721"</f>
        <v>23085012721</v>
      </c>
      <c r="C813" s="6">
        <v>94.5</v>
      </c>
      <c r="D813" s="6">
        <v>107</v>
      </c>
      <c r="E813" s="6">
        <v>201.5</v>
      </c>
      <c r="F813" s="11"/>
    </row>
    <row r="814" spans="1:6">
      <c r="A814" s="5" t="str">
        <f t="shared" si="15"/>
        <v>202303</v>
      </c>
      <c r="B814" s="5" t="str">
        <f>"23085013301"</f>
        <v>23085013301</v>
      </c>
      <c r="C814" s="6">
        <v>88.5</v>
      </c>
      <c r="D814" s="6">
        <v>113</v>
      </c>
      <c r="E814" s="6">
        <v>201.5</v>
      </c>
      <c r="F814" s="11"/>
    </row>
    <row r="815" spans="1:6">
      <c r="A815" s="5" t="str">
        <f t="shared" si="15"/>
        <v>202303</v>
      </c>
      <c r="B815" s="5" t="str">
        <f>"23085012518"</f>
        <v>23085012518</v>
      </c>
      <c r="C815" s="6">
        <v>88.5</v>
      </c>
      <c r="D815" s="6">
        <v>113</v>
      </c>
      <c r="E815" s="6">
        <v>201.5</v>
      </c>
      <c r="F815" s="11"/>
    </row>
    <row r="816" spans="1:6">
      <c r="A816" s="5" t="str">
        <f t="shared" si="15"/>
        <v>202303</v>
      </c>
      <c r="B816" s="5" t="str">
        <f>"23085012814"</f>
        <v>23085012814</v>
      </c>
      <c r="C816" s="6">
        <v>81</v>
      </c>
      <c r="D816" s="6">
        <v>120</v>
      </c>
      <c r="E816" s="6">
        <v>201</v>
      </c>
      <c r="F816" s="11"/>
    </row>
    <row r="817" spans="1:6">
      <c r="A817" s="5" t="str">
        <f t="shared" si="15"/>
        <v>202303</v>
      </c>
      <c r="B817" s="5" t="str">
        <f>"23085013314"</f>
        <v>23085013314</v>
      </c>
      <c r="C817" s="6">
        <v>93</v>
      </c>
      <c r="D817" s="6">
        <v>108</v>
      </c>
      <c r="E817" s="6">
        <v>201</v>
      </c>
      <c r="F817" s="11"/>
    </row>
    <row r="818" spans="1:6">
      <c r="A818" s="5" t="str">
        <f t="shared" si="15"/>
        <v>202303</v>
      </c>
      <c r="B818" s="5" t="str">
        <f>"23085012529"</f>
        <v>23085012529</v>
      </c>
      <c r="C818" s="6">
        <v>82.5</v>
      </c>
      <c r="D818" s="6">
        <v>118.5</v>
      </c>
      <c r="E818" s="6">
        <v>201</v>
      </c>
      <c r="F818" s="11"/>
    </row>
    <row r="819" spans="1:6">
      <c r="A819" s="5" t="str">
        <f t="shared" si="15"/>
        <v>202303</v>
      </c>
      <c r="B819" s="5" t="str">
        <f>"23085013119"</f>
        <v>23085013119</v>
      </c>
      <c r="C819" s="6">
        <v>94.5</v>
      </c>
      <c r="D819" s="6">
        <v>106</v>
      </c>
      <c r="E819" s="6">
        <v>200.5</v>
      </c>
      <c r="F819" s="11"/>
    </row>
    <row r="820" spans="1:6">
      <c r="A820" s="5" t="str">
        <f t="shared" si="15"/>
        <v>202303</v>
      </c>
      <c r="B820" s="5" t="str">
        <f>"23085012108"</f>
        <v>23085012108</v>
      </c>
      <c r="C820" s="6">
        <v>82.5</v>
      </c>
      <c r="D820" s="6">
        <v>118</v>
      </c>
      <c r="E820" s="6">
        <v>200.5</v>
      </c>
      <c r="F820" s="11"/>
    </row>
    <row r="821" spans="1:6">
      <c r="A821" s="5" t="str">
        <f t="shared" si="15"/>
        <v>202303</v>
      </c>
      <c r="B821" s="5" t="str">
        <f>"23085012826"</f>
        <v>23085012826</v>
      </c>
      <c r="C821" s="6">
        <v>88.5</v>
      </c>
      <c r="D821" s="6">
        <v>112</v>
      </c>
      <c r="E821" s="6">
        <v>200.5</v>
      </c>
      <c r="F821" s="11"/>
    </row>
    <row r="822" spans="1:6">
      <c r="A822" s="5" t="str">
        <f t="shared" si="15"/>
        <v>202303</v>
      </c>
      <c r="B822" s="5" t="str">
        <f>"23085012913"</f>
        <v>23085012913</v>
      </c>
      <c r="C822" s="6">
        <v>87</v>
      </c>
      <c r="D822" s="6">
        <v>113</v>
      </c>
      <c r="E822" s="6">
        <v>200</v>
      </c>
      <c r="F822" s="11"/>
    </row>
    <row r="823" spans="1:6">
      <c r="A823" s="5" t="str">
        <f t="shared" si="15"/>
        <v>202303</v>
      </c>
      <c r="B823" s="5" t="str">
        <f>"23085013008"</f>
        <v>23085013008</v>
      </c>
      <c r="C823" s="6">
        <v>84</v>
      </c>
      <c r="D823" s="6">
        <v>116</v>
      </c>
      <c r="E823" s="6">
        <v>200</v>
      </c>
      <c r="F823" s="11"/>
    </row>
    <row r="824" spans="1:6">
      <c r="A824" s="5" t="str">
        <f t="shared" si="15"/>
        <v>202303</v>
      </c>
      <c r="B824" s="5" t="str">
        <f>"23085012407"</f>
        <v>23085012407</v>
      </c>
      <c r="C824" s="6">
        <v>93</v>
      </c>
      <c r="D824" s="6">
        <v>106.5</v>
      </c>
      <c r="E824" s="6">
        <v>199.5</v>
      </c>
      <c r="F824" s="11"/>
    </row>
    <row r="825" spans="1:6">
      <c r="A825" s="5" t="str">
        <f t="shared" si="15"/>
        <v>202303</v>
      </c>
      <c r="B825" s="5" t="str">
        <f>"23085013228"</f>
        <v>23085013228</v>
      </c>
      <c r="C825" s="6">
        <v>88.5</v>
      </c>
      <c r="D825" s="6">
        <v>111</v>
      </c>
      <c r="E825" s="6">
        <v>199.5</v>
      </c>
      <c r="F825" s="11"/>
    </row>
    <row r="826" spans="1:6">
      <c r="A826" s="5" t="str">
        <f t="shared" si="15"/>
        <v>202303</v>
      </c>
      <c r="B826" s="5" t="str">
        <f>"23085012806"</f>
        <v>23085012806</v>
      </c>
      <c r="C826" s="6">
        <v>85.5</v>
      </c>
      <c r="D826" s="6">
        <v>114</v>
      </c>
      <c r="E826" s="6">
        <v>199.5</v>
      </c>
      <c r="F826" s="11"/>
    </row>
    <row r="827" spans="1:6">
      <c r="A827" s="5" t="str">
        <f t="shared" si="15"/>
        <v>202303</v>
      </c>
      <c r="B827" s="5" t="str">
        <f>"23085013409"</f>
        <v>23085013409</v>
      </c>
      <c r="C827" s="6">
        <v>85.5</v>
      </c>
      <c r="D827" s="6">
        <v>113.5</v>
      </c>
      <c r="E827" s="6">
        <v>199</v>
      </c>
      <c r="F827" s="11"/>
    </row>
    <row r="828" spans="1:6">
      <c r="A828" s="5" t="str">
        <f t="shared" si="15"/>
        <v>202303</v>
      </c>
      <c r="B828" s="5" t="str">
        <f>"23085012917"</f>
        <v>23085012917</v>
      </c>
      <c r="C828" s="6">
        <v>93</v>
      </c>
      <c r="D828" s="6">
        <v>106</v>
      </c>
      <c r="E828" s="6">
        <v>199</v>
      </c>
      <c r="F828" s="11"/>
    </row>
    <row r="829" spans="1:6">
      <c r="A829" s="5" t="str">
        <f t="shared" si="15"/>
        <v>202303</v>
      </c>
      <c r="B829" s="5" t="str">
        <f>"23085013019"</f>
        <v>23085013019</v>
      </c>
      <c r="C829" s="6">
        <v>85.5</v>
      </c>
      <c r="D829" s="6">
        <v>113.5</v>
      </c>
      <c r="E829" s="6">
        <v>199</v>
      </c>
      <c r="F829" s="11"/>
    </row>
    <row r="830" spans="1:6">
      <c r="A830" s="5" t="str">
        <f t="shared" si="15"/>
        <v>202303</v>
      </c>
      <c r="B830" s="5" t="str">
        <f>"23085012426"</f>
        <v>23085012426</v>
      </c>
      <c r="C830" s="6">
        <v>88.5</v>
      </c>
      <c r="D830" s="6">
        <v>110.5</v>
      </c>
      <c r="E830" s="6">
        <v>199</v>
      </c>
      <c r="F830" s="11"/>
    </row>
    <row r="831" spans="1:6">
      <c r="A831" s="5" t="str">
        <f t="shared" si="15"/>
        <v>202303</v>
      </c>
      <c r="B831" s="5" t="str">
        <f>"23085013004"</f>
        <v>23085013004</v>
      </c>
      <c r="C831" s="6">
        <v>91.5</v>
      </c>
      <c r="D831" s="6">
        <v>107.5</v>
      </c>
      <c r="E831" s="6">
        <v>199</v>
      </c>
      <c r="F831" s="11"/>
    </row>
    <row r="832" spans="1:6">
      <c r="A832" s="5" t="str">
        <f t="shared" si="15"/>
        <v>202303</v>
      </c>
      <c r="B832" s="5" t="str">
        <f>"23085012217"</f>
        <v>23085012217</v>
      </c>
      <c r="C832" s="6">
        <v>96</v>
      </c>
      <c r="D832" s="6">
        <v>102.5</v>
      </c>
      <c r="E832" s="6">
        <v>198.5</v>
      </c>
      <c r="F832" s="11"/>
    </row>
    <row r="833" spans="1:6">
      <c r="A833" s="5" t="str">
        <f t="shared" si="15"/>
        <v>202303</v>
      </c>
      <c r="B833" s="5" t="str">
        <f>"23085012207"</f>
        <v>23085012207</v>
      </c>
      <c r="C833" s="6">
        <v>82.5</v>
      </c>
      <c r="D833" s="6">
        <v>116</v>
      </c>
      <c r="E833" s="6">
        <v>198.5</v>
      </c>
      <c r="F833" s="11"/>
    </row>
    <row r="834" spans="1:6">
      <c r="A834" s="5" t="str">
        <f t="shared" si="15"/>
        <v>202303</v>
      </c>
      <c r="B834" s="5" t="str">
        <f>"23085012527"</f>
        <v>23085012527</v>
      </c>
      <c r="C834" s="6">
        <v>91.5</v>
      </c>
      <c r="D834" s="6">
        <v>106.5</v>
      </c>
      <c r="E834" s="6">
        <v>198</v>
      </c>
      <c r="F834" s="11"/>
    </row>
    <row r="835" spans="1:6">
      <c r="A835" s="5" t="str">
        <f t="shared" si="15"/>
        <v>202303</v>
      </c>
      <c r="B835" s="5" t="str">
        <f>"23085013224"</f>
        <v>23085013224</v>
      </c>
      <c r="C835" s="6">
        <v>94.5</v>
      </c>
      <c r="D835" s="6">
        <v>103.5</v>
      </c>
      <c r="E835" s="6">
        <v>198</v>
      </c>
      <c r="F835" s="11"/>
    </row>
    <row r="836" spans="1:6">
      <c r="A836" s="5" t="str">
        <f t="shared" si="15"/>
        <v>202303</v>
      </c>
      <c r="B836" s="5" t="str">
        <f>"23085012211"</f>
        <v>23085012211</v>
      </c>
      <c r="C836" s="6">
        <v>85.5</v>
      </c>
      <c r="D836" s="6">
        <v>112.5</v>
      </c>
      <c r="E836" s="6">
        <v>198</v>
      </c>
      <c r="F836" s="11"/>
    </row>
    <row r="837" spans="1:6">
      <c r="A837" s="5" t="str">
        <f t="shared" si="15"/>
        <v>202303</v>
      </c>
      <c r="B837" s="5" t="str">
        <f>"23085013220"</f>
        <v>23085013220</v>
      </c>
      <c r="C837" s="6">
        <v>84</v>
      </c>
      <c r="D837" s="6">
        <v>114</v>
      </c>
      <c r="E837" s="6">
        <v>198</v>
      </c>
      <c r="F837" s="11"/>
    </row>
    <row r="838" spans="1:6">
      <c r="A838" s="5" t="str">
        <f t="shared" si="15"/>
        <v>202303</v>
      </c>
      <c r="B838" s="5" t="str">
        <f>"23085012125"</f>
        <v>23085012125</v>
      </c>
      <c r="C838" s="6">
        <v>93</v>
      </c>
      <c r="D838" s="6">
        <v>105</v>
      </c>
      <c r="E838" s="6">
        <v>198</v>
      </c>
      <c r="F838" s="11"/>
    </row>
    <row r="839" spans="1:6">
      <c r="A839" s="5" t="str">
        <f t="shared" si="15"/>
        <v>202303</v>
      </c>
      <c r="B839" s="5" t="str">
        <f>"23085012704"</f>
        <v>23085012704</v>
      </c>
      <c r="C839" s="6">
        <v>84</v>
      </c>
      <c r="D839" s="6">
        <v>114</v>
      </c>
      <c r="E839" s="6">
        <v>198</v>
      </c>
      <c r="F839" s="11"/>
    </row>
    <row r="840" spans="1:6">
      <c r="A840" s="5" t="str">
        <f t="shared" si="15"/>
        <v>202303</v>
      </c>
      <c r="B840" s="5" t="str">
        <f>"23085012825"</f>
        <v>23085012825</v>
      </c>
      <c r="C840" s="6">
        <v>78</v>
      </c>
      <c r="D840" s="6">
        <v>119.5</v>
      </c>
      <c r="E840" s="6">
        <v>197.5</v>
      </c>
      <c r="F840" s="11"/>
    </row>
    <row r="841" spans="1:6">
      <c r="A841" s="5" t="str">
        <f t="shared" si="15"/>
        <v>202303</v>
      </c>
      <c r="B841" s="5" t="str">
        <f>"23085012706"</f>
        <v>23085012706</v>
      </c>
      <c r="C841" s="6">
        <v>82.5</v>
      </c>
      <c r="D841" s="6">
        <v>115</v>
      </c>
      <c r="E841" s="6">
        <v>197.5</v>
      </c>
      <c r="F841" s="11"/>
    </row>
    <row r="842" spans="1:6">
      <c r="A842" s="5" t="str">
        <f t="shared" si="15"/>
        <v>202303</v>
      </c>
      <c r="B842" s="5" t="str">
        <f>"23085012506"</f>
        <v>23085012506</v>
      </c>
      <c r="C842" s="6">
        <v>84</v>
      </c>
      <c r="D842" s="6">
        <v>113.5</v>
      </c>
      <c r="E842" s="6">
        <v>197.5</v>
      </c>
      <c r="F842" s="11"/>
    </row>
    <row r="843" spans="1:6">
      <c r="A843" s="5" t="str">
        <f t="shared" si="15"/>
        <v>202303</v>
      </c>
      <c r="B843" s="5" t="str">
        <f>"23085012530"</f>
        <v>23085012530</v>
      </c>
      <c r="C843" s="6">
        <v>90</v>
      </c>
      <c r="D843" s="6">
        <v>107.5</v>
      </c>
      <c r="E843" s="6">
        <v>197.5</v>
      </c>
      <c r="F843" s="11"/>
    </row>
    <row r="844" spans="1:6">
      <c r="A844" s="5" t="str">
        <f t="shared" si="15"/>
        <v>202303</v>
      </c>
      <c r="B844" s="5" t="str">
        <f>"23085012130"</f>
        <v>23085012130</v>
      </c>
      <c r="C844" s="6">
        <v>91.5</v>
      </c>
      <c r="D844" s="6">
        <v>106</v>
      </c>
      <c r="E844" s="6">
        <v>197.5</v>
      </c>
      <c r="F844" s="11"/>
    </row>
    <row r="845" spans="1:6">
      <c r="A845" s="5" t="str">
        <f t="shared" si="15"/>
        <v>202303</v>
      </c>
      <c r="B845" s="5" t="str">
        <f>"23085013130"</f>
        <v>23085013130</v>
      </c>
      <c r="C845" s="6">
        <v>85.5</v>
      </c>
      <c r="D845" s="6">
        <v>111.5</v>
      </c>
      <c r="E845" s="6">
        <v>197</v>
      </c>
      <c r="F845" s="11"/>
    </row>
    <row r="846" spans="1:6">
      <c r="A846" s="5" t="str">
        <f t="shared" si="15"/>
        <v>202303</v>
      </c>
      <c r="B846" s="5" t="str">
        <f>"23085013211"</f>
        <v>23085013211</v>
      </c>
      <c r="C846" s="6">
        <v>84</v>
      </c>
      <c r="D846" s="6">
        <v>113</v>
      </c>
      <c r="E846" s="6">
        <v>197</v>
      </c>
      <c r="F846" s="11"/>
    </row>
    <row r="847" spans="1:6">
      <c r="A847" s="5" t="str">
        <f t="shared" si="15"/>
        <v>202303</v>
      </c>
      <c r="B847" s="5" t="str">
        <f>"23085012513"</f>
        <v>23085012513</v>
      </c>
      <c r="C847" s="6">
        <v>82.5</v>
      </c>
      <c r="D847" s="6">
        <v>114.5</v>
      </c>
      <c r="E847" s="6">
        <v>197</v>
      </c>
      <c r="F847" s="11"/>
    </row>
    <row r="848" spans="1:6">
      <c r="A848" s="5" t="str">
        <f t="shared" si="15"/>
        <v>202303</v>
      </c>
      <c r="B848" s="5" t="str">
        <f>"23085012227"</f>
        <v>23085012227</v>
      </c>
      <c r="C848" s="6">
        <v>99</v>
      </c>
      <c r="D848" s="6">
        <v>98</v>
      </c>
      <c r="E848" s="6">
        <v>197</v>
      </c>
      <c r="F848" s="11"/>
    </row>
    <row r="849" spans="1:6">
      <c r="A849" s="5" t="str">
        <f t="shared" si="15"/>
        <v>202303</v>
      </c>
      <c r="B849" s="5" t="str">
        <f>"23085012225"</f>
        <v>23085012225</v>
      </c>
      <c r="C849" s="6">
        <v>96</v>
      </c>
      <c r="D849" s="6">
        <v>100.5</v>
      </c>
      <c r="E849" s="6">
        <v>196.5</v>
      </c>
      <c r="F849" s="11"/>
    </row>
    <row r="850" spans="1:6">
      <c r="A850" s="5" t="str">
        <f t="shared" si="15"/>
        <v>202303</v>
      </c>
      <c r="B850" s="5" t="str">
        <f>"23085012713"</f>
        <v>23085012713</v>
      </c>
      <c r="C850" s="6">
        <v>82.5</v>
      </c>
      <c r="D850" s="6">
        <v>114</v>
      </c>
      <c r="E850" s="6">
        <v>196.5</v>
      </c>
      <c r="F850" s="11"/>
    </row>
    <row r="851" spans="1:6">
      <c r="A851" s="5" t="str">
        <f t="shared" si="15"/>
        <v>202303</v>
      </c>
      <c r="B851" s="5" t="str">
        <f>"23085013105"</f>
        <v>23085013105</v>
      </c>
      <c r="C851" s="6">
        <v>76.5</v>
      </c>
      <c r="D851" s="6">
        <v>120</v>
      </c>
      <c r="E851" s="6">
        <v>196.5</v>
      </c>
      <c r="F851" s="11"/>
    </row>
    <row r="852" spans="1:6">
      <c r="A852" s="5" t="str">
        <f t="shared" si="15"/>
        <v>202303</v>
      </c>
      <c r="B852" s="5" t="str">
        <f>"23085013121"</f>
        <v>23085013121</v>
      </c>
      <c r="C852" s="6">
        <v>97.5</v>
      </c>
      <c r="D852" s="6">
        <v>99</v>
      </c>
      <c r="E852" s="6">
        <v>196.5</v>
      </c>
      <c r="F852" s="11"/>
    </row>
    <row r="853" spans="1:6">
      <c r="A853" s="5" t="str">
        <f t="shared" si="15"/>
        <v>202303</v>
      </c>
      <c r="B853" s="5" t="str">
        <f>"23085013209"</f>
        <v>23085013209</v>
      </c>
      <c r="C853" s="6">
        <v>85.5</v>
      </c>
      <c r="D853" s="6">
        <v>110.5</v>
      </c>
      <c r="E853" s="6">
        <v>196</v>
      </c>
      <c r="F853" s="11"/>
    </row>
    <row r="854" spans="1:6">
      <c r="A854" s="5" t="str">
        <f t="shared" si="15"/>
        <v>202303</v>
      </c>
      <c r="B854" s="5" t="str">
        <f>"23085013420"</f>
        <v>23085013420</v>
      </c>
      <c r="C854" s="6">
        <v>79.5</v>
      </c>
      <c r="D854" s="6">
        <v>116.5</v>
      </c>
      <c r="E854" s="6">
        <v>196</v>
      </c>
      <c r="F854" s="11"/>
    </row>
    <row r="855" spans="1:6">
      <c r="A855" s="5" t="str">
        <f t="shared" si="15"/>
        <v>202303</v>
      </c>
      <c r="B855" s="5" t="str">
        <f>"23085012210"</f>
        <v>23085012210</v>
      </c>
      <c r="C855" s="6">
        <v>73.5</v>
      </c>
      <c r="D855" s="6">
        <v>122.5</v>
      </c>
      <c r="E855" s="6">
        <v>196</v>
      </c>
      <c r="F855" s="11"/>
    </row>
    <row r="856" spans="1:6">
      <c r="A856" s="5" t="str">
        <f t="shared" si="15"/>
        <v>202303</v>
      </c>
      <c r="B856" s="5" t="str">
        <f>"23085012922"</f>
        <v>23085012922</v>
      </c>
      <c r="C856" s="6">
        <v>87</v>
      </c>
      <c r="D856" s="6">
        <v>109</v>
      </c>
      <c r="E856" s="6">
        <v>196</v>
      </c>
      <c r="F856" s="11"/>
    </row>
    <row r="857" spans="1:6">
      <c r="A857" s="5" t="str">
        <f t="shared" si="15"/>
        <v>202303</v>
      </c>
      <c r="B857" s="5" t="str">
        <f>"23085012322"</f>
        <v>23085012322</v>
      </c>
      <c r="C857" s="6">
        <v>87</v>
      </c>
      <c r="D857" s="6">
        <v>108.5</v>
      </c>
      <c r="E857" s="6">
        <v>195.5</v>
      </c>
      <c r="F857" s="11"/>
    </row>
    <row r="858" spans="1:6">
      <c r="A858" s="5" t="str">
        <f t="shared" si="15"/>
        <v>202303</v>
      </c>
      <c r="B858" s="5" t="str">
        <f>"23085013006"</f>
        <v>23085013006</v>
      </c>
      <c r="C858" s="6">
        <v>84</v>
      </c>
      <c r="D858" s="6">
        <v>111.5</v>
      </c>
      <c r="E858" s="6">
        <v>195.5</v>
      </c>
      <c r="F858" s="11"/>
    </row>
    <row r="859" spans="1:6">
      <c r="A859" s="5" t="str">
        <f t="shared" si="15"/>
        <v>202303</v>
      </c>
      <c r="B859" s="5" t="str">
        <f>"23085012526"</f>
        <v>23085012526</v>
      </c>
      <c r="C859" s="6">
        <v>94.5</v>
      </c>
      <c r="D859" s="6">
        <v>100.5</v>
      </c>
      <c r="E859" s="6">
        <v>195</v>
      </c>
      <c r="F859" s="11"/>
    </row>
    <row r="860" spans="1:6">
      <c r="A860" s="5" t="str">
        <f t="shared" si="15"/>
        <v>202303</v>
      </c>
      <c r="B860" s="5" t="str">
        <f>"23085012303"</f>
        <v>23085012303</v>
      </c>
      <c r="C860" s="6">
        <v>81</v>
      </c>
      <c r="D860" s="6">
        <v>113</v>
      </c>
      <c r="E860" s="6">
        <v>194</v>
      </c>
      <c r="F860" s="11"/>
    </row>
    <row r="861" spans="1:6">
      <c r="A861" s="5" t="str">
        <f t="shared" si="15"/>
        <v>202303</v>
      </c>
      <c r="B861" s="5" t="str">
        <f>"23085013020"</f>
        <v>23085013020</v>
      </c>
      <c r="C861" s="6">
        <v>78</v>
      </c>
      <c r="D861" s="6">
        <v>116</v>
      </c>
      <c r="E861" s="6">
        <v>194</v>
      </c>
      <c r="F861" s="11"/>
    </row>
    <row r="862" spans="1:6">
      <c r="A862" s="5" t="str">
        <f t="shared" si="15"/>
        <v>202303</v>
      </c>
      <c r="B862" s="5" t="str">
        <f>"23085013311"</f>
        <v>23085013311</v>
      </c>
      <c r="C862" s="6">
        <v>97.5</v>
      </c>
      <c r="D862" s="6">
        <v>96</v>
      </c>
      <c r="E862" s="6">
        <v>193.5</v>
      </c>
      <c r="F862" s="11"/>
    </row>
    <row r="863" spans="1:6">
      <c r="A863" s="5" t="str">
        <f t="shared" ref="A863:A926" si="16">"202303"</f>
        <v>202303</v>
      </c>
      <c r="B863" s="5" t="str">
        <f>"23085012804"</f>
        <v>23085012804</v>
      </c>
      <c r="C863" s="6">
        <v>76.5</v>
      </c>
      <c r="D863" s="6">
        <v>117</v>
      </c>
      <c r="E863" s="6">
        <v>193.5</v>
      </c>
      <c r="F863" s="11"/>
    </row>
    <row r="864" spans="1:6">
      <c r="A864" s="5" t="str">
        <f t="shared" si="16"/>
        <v>202303</v>
      </c>
      <c r="B864" s="5" t="str">
        <f>"23085012512"</f>
        <v>23085012512</v>
      </c>
      <c r="C864" s="6">
        <v>76.5</v>
      </c>
      <c r="D864" s="6">
        <v>116.5</v>
      </c>
      <c r="E864" s="6">
        <v>193</v>
      </c>
      <c r="F864" s="11"/>
    </row>
    <row r="865" spans="1:6">
      <c r="A865" s="5" t="str">
        <f t="shared" si="16"/>
        <v>202303</v>
      </c>
      <c r="B865" s="5" t="str">
        <f>"23085013317"</f>
        <v>23085013317</v>
      </c>
      <c r="C865" s="6">
        <v>87</v>
      </c>
      <c r="D865" s="6">
        <v>106</v>
      </c>
      <c r="E865" s="6">
        <v>193</v>
      </c>
      <c r="F865" s="11"/>
    </row>
    <row r="866" spans="1:6">
      <c r="A866" s="5" t="str">
        <f t="shared" si="16"/>
        <v>202303</v>
      </c>
      <c r="B866" s="5" t="str">
        <f>"23085012220"</f>
        <v>23085012220</v>
      </c>
      <c r="C866" s="6">
        <v>78</v>
      </c>
      <c r="D866" s="6">
        <v>114.5</v>
      </c>
      <c r="E866" s="6">
        <v>192.5</v>
      </c>
      <c r="F866" s="11"/>
    </row>
    <row r="867" spans="1:6">
      <c r="A867" s="5" t="str">
        <f t="shared" si="16"/>
        <v>202303</v>
      </c>
      <c r="B867" s="5" t="str">
        <f>"23085012519"</f>
        <v>23085012519</v>
      </c>
      <c r="C867" s="6">
        <v>100.5</v>
      </c>
      <c r="D867" s="6">
        <v>91.5</v>
      </c>
      <c r="E867" s="6">
        <v>192</v>
      </c>
      <c r="F867" s="11"/>
    </row>
    <row r="868" spans="1:6">
      <c r="A868" s="5" t="str">
        <f t="shared" si="16"/>
        <v>202303</v>
      </c>
      <c r="B868" s="5" t="str">
        <f>"23085012921"</f>
        <v>23085012921</v>
      </c>
      <c r="C868" s="6">
        <v>78</v>
      </c>
      <c r="D868" s="6">
        <v>114</v>
      </c>
      <c r="E868" s="6">
        <v>192</v>
      </c>
      <c r="F868" s="11"/>
    </row>
    <row r="869" spans="1:6">
      <c r="A869" s="5" t="str">
        <f t="shared" si="16"/>
        <v>202303</v>
      </c>
      <c r="B869" s="5" t="str">
        <f>"23085012329"</f>
        <v>23085012329</v>
      </c>
      <c r="C869" s="6">
        <v>76.5</v>
      </c>
      <c r="D869" s="6">
        <v>115.5</v>
      </c>
      <c r="E869" s="6">
        <v>192</v>
      </c>
      <c r="F869" s="11"/>
    </row>
    <row r="870" spans="1:6">
      <c r="A870" s="5" t="str">
        <f t="shared" si="16"/>
        <v>202303</v>
      </c>
      <c r="B870" s="5" t="str">
        <f>"23085012628"</f>
        <v>23085012628</v>
      </c>
      <c r="C870" s="6">
        <v>78</v>
      </c>
      <c r="D870" s="6">
        <v>113.5</v>
      </c>
      <c r="E870" s="6">
        <v>191.5</v>
      </c>
      <c r="F870" s="11"/>
    </row>
    <row r="871" spans="1:6">
      <c r="A871" s="5" t="str">
        <f t="shared" si="16"/>
        <v>202303</v>
      </c>
      <c r="B871" s="5" t="str">
        <f>"23085013404"</f>
        <v>23085013404</v>
      </c>
      <c r="C871" s="6">
        <v>87</v>
      </c>
      <c r="D871" s="6">
        <v>104.5</v>
      </c>
      <c r="E871" s="6">
        <v>191.5</v>
      </c>
      <c r="F871" s="11"/>
    </row>
    <row r="872" spans="1:6">
      <c r="A872" s="5" t="str">
        <f t="shared" si="16"/>
        <v>202303</v>
      </c>
      <c r="B872" s="5" t="str">
        <f>"23085012523"</f>
        <v>23085012523</v>
      </c>
      <c r="C872" s="6">
        <v>87</v>
      </c>
      <c r="D872" s="6">
        <v>104.5</v>
      </c>
      <c r="E872" s="6">
        <v>191.5</v>
      </c>
      <c r="F872" s="11"/>
    </row>
    <row r="873" spans="1:6">
      <c r="A873" s="5" t="str">
        <f t="shared" si="16"/>
        <v>202303</v>
      </c>
      <c r="B873" s="5" t="str">
        <f>"23085012326"</f>
        <v>23085012326</v>
      </c>
      <c r="C873" s="6">
        <v>75</v>
      </c>
      <c r="D873" s="6">
        <v>116.5</v>
      </c>
      <c r="E873" s="6">
        <v>191.5</v>
      </c>
      <c r="F873" s="11"/>
    </row>
    <row r="874" spans="1:6">
      <c r="A874" s="5" t="str">
        <f t="shared" si="16"/>
        <v>202303</v>
      </c>
      <c r="B874" s="5" t="str">
        <f>"23085012925"</f>
        <v>23085012925</v>
      </c>
      <c r="C874" s="6">
        <v>72</v>
      </c>
      <c r="D874" s="6">
        <v>119</v>
      </c>
      <c r="E874" s="6">
        <v>191</v>
      </c>
      <c r="F874" s="11"/>
    </row>
    <row r="875" spans="1:6">
      <c r="A875" s="5" t="str">
        <f t="shared" si="16"/>
        <v>202303</v>
      </c>
      <c r="B875" s="5" t="str">
        <f>"23085012114"</f>
        <v>23085012114</v>
      </c>
      <c r="C875" s="6">
        <v>73.5</v>
      </c>
      <c r="D875" s="6">
        <v>117.5</v>
      </c>
      <c r="E875" s="6">
        <v>191</v>
      </c>
      <c r="F875" s="11"/>
    </row>
    <row r="876" spans="1:6">
      <c r="A876" s="5" t="str">
        <f t="shared" si="16"/>
        <v>202303</v>
      </c>
      <c r="B876" s="5" t="str">
        <f>"23085013012"</f>
        <v>23085013012</v>
      </c>
      <c r="C876" s="6">
        <v>82.5</v>
      </c>
      <c r="D876" s="6">
        <v>108</v>
      </c>
      <c r="E876" s="6">
        <v>190.5</v>
      </c>
      <c r="F876" s="11"/>
    </row>
    <row r="877" spans="1:6">
      <c r="A877" s="5" t="str">
        <f t="shared" si="16"/>
        <v>202303</v>
      </c>
      <c r="B877" s="5" t="str">
        <f>"23085013402"</f>
        <v>23085013402</v>
      </c>
      <c r="C877" s="6">
        <v>100.5</v>
      </c>
      <c r="D877" s="6">
        <v>90</v>
      </c>
      <c r="E877" s="6">
        <v>190.5</v>
      </c>
      <c r="F877" s="11"/>
    </row>
    <row r="878" spans="1:6">
      <c r="A878" s="5" t="str">
        <f t="shared" si="16"/>
        <v>202303</v>
      </c>
      <c r="B878" s="5" t="str">
        <f>"23085013419"</f>
        <v>23085013419</v>
      </c>
      <c r="C878" s="6">
        <v>76.5</v>
      </c>
      <c r="D878" s="6">
        <v>114</v>
      </c>
      <c r="E878" s="6">
        <v>190.5</v>
      </c>
      <c r="F878" s="11"/>
    </row>
    <row r="879" spans="1:6">
      <c r="A879" s="5" t="str">
        <f t="shared" si="16"/>
        <v>202303</v>
      </c>
      <c r="B879" s="5" t="str">
        <f>"23085013308"</f>
        <v>23085013308</v>
      </c>
      <c r="C879" s="6">
        <v>75</v>
      </c>
      <c r="D879" s="6">
        <v>115</v>
      </c>
      <c r="E879" s="6">
        <v>190</v>
      </c>
      <c r="F879" s="11"/>
    </row>
    <row r="880" spans="1:6">
      <c r="A880" s="5" t="str">
        <f t="shared" si="16"/>
        <v>202303</v>
      </c>
      <c r="B880" s="5" t="str">
        <f>"23085013009"</f>
        <v>23085013009</v>
      </c>
      <c r="C880" s="6">
        <v>78</v>
      </c>
      <c r="D880" s="6">
        <v>112</v>
      </c>
      <c r="E880" s="6">
        <v>190</v>
      </c>
      <c r="F880" s="11"/>
    </row>
    <row r="881" spans="1:6">
      <c r="A881" s="5" t="str">
        <f t="shared" si="16"/>
        <v>202303</v>
      </c>
      <c r="B881" s="5" t="str">
        <f>"23085013028"</f>
        <v>23085013028</v>
      </c>
      <c r="C881" s="6">
        <v>91.5</v>
      </c>
      <c r="D881" s="6">
        <v>98</v>
      </c>
      <c r="E881" s="6">
        <v>189.5</v>
      </c>
      <c r="F881" s="11"/>
    </row>
    <row r="882" spans="1:6">
      <c r="A882" s="5" t="str">
        <f t="shared" si="16"/>
        <v>202303</v>
      </c>
      <c r="B882" s="5" t="str">
        <f>"23085012311"</f>
        <v>23085012311</v>
      </c>
      <c r="C882" s="6">
        <v>85.5</v>
      </c>
      <c r="D882" s="6">
        <v>104</v>
      </c>
      <c r="E882" s="6">
        <v>189.5</v>
      </c>
      <c r="F882" s="11"/>
    </row>
    <row r="883" spans="1:6">
      <c r="A883" s="5" t="str">
        <f t="shared" si="16"/>
        <v>202303</v>
      </c>
      <c r="B883" s="5" t="str">
        <f>"23085013017"</f>
        <v>23085013017</v>
      </c>
      <c r="C883" s="6">
        <v>94.5</v>
      </c>
      <c r="D883" s="6">
        <v>95</v>
      </c>
      <c r="E883" s="6">
        <v>189.5</v>
      </c>
      <c r="F883" s="11"/>
    </row>
    <row r="884" spans="1:6">
      <c r="A884" s="5" t="str">
        <f t="shared" si="16"/>
        <v>202303</v>
      </c>
      <c r="B884" s="5" t="str">
        <f>"23085013306"</f>
        <v>23085013306</v>
      </c>
      <c r="C884" s="6">
        <v>87</v>
      </c>
      <c r="D884" s="6">
        <v>102.5</v>
      </c>
      <c r="E884" s="6">
        <v>189.5</v>
      </c>
      <c r="F884" s="11"/>
    </row>
    <row r="885" spans="1:6">
      <c r="A885" s="5" t="str">
        <f t="shared" si="16"/>
        <v>202303</v>
      </c>
      <c r="B885" s="5" t="str">
        <f>"23085012816"</f>
        <v>23085012816</v>
      </c>
      <c r="C885" s="6">
        <v>73.5</v>
      </c>
      <c r="D885" s="6">
        <v>115.5</v>
      </c>
      <c r="E885" s="6">
        <v>189</v>
      </c>
      <c r="F885" s="11"/>
    </row>
    <row r="886" spans="1:6">
      <c r="A886" s="5" t="str">
        <f t="shared" si="16"/>
        <v>202303</v>
      </c>
      <c r="B886" s="5" t="str">
        <f>"23085013327"</f>
        <v>23085013327</v>
      </c>
      <c r="C886" s="6">
        <v>73.5</v>
      </c>
      <c r="D886" s="6">
        <v>115.5</v>
      </c>
      <c r="E886" s="6">
        <v>189</v>
      </c>
      <c r="F886" s="11"/>
    </row>
    <row r="887" spans="1:6">
      <c r="A887" s="5" t="str">
        <f t="shared" si="16"/>
        <v>202303</v>
      </c>
      <c r="B887" s="5" t="str">
        <f>"23085012106"</f>
        <v>23085012106</v>
      </c>
      <c r="C887" s="6">
        <v>88.5</v>
      </c>
      <c r="D887" s="6">
        <v>99.5</v>
      </c>
      <c r="E887" s="6">
        <v>188</v>
      </c>
      <c r="F887" s="11"/>
    </row>
    <row r="888" spans="1:6">
      <c r="A888" s="5" t="str">
        <f t="shared" si="16"/>
        <v>202303</v>
      </c>
      <c r="B888" s="5" t="str">
        <f>"23085013127"</f>
        <v>23085013127</v>
      </c>
      <c r="C888" s="6">
        <v>76.5</v>
      </c>
      <c r="D888" s="6">
        <v>111.5</v>
      </c>
      <c r="E888" s="6">
        <v>188</v>
      </c>
      <c r="F888" s="11"/>
    </row>
    <row r="889" spans="1:6">
      <c r="A889" s="5" t="str">
        <f t="shared" si="16"/>
        <v>202303</v>
      </c>
      <c r="B889" s="5" t="str">
        <f>"23085012801"</f>
        <v>23085012801</v>
      </c>
      <c r="C889" s="6">
        <v>81</v>
      </c>
      <c r="D889" s="6">
        <v>106.5</v>
      </c>
      <c r="E889" s="6">
        <v>187.5</v>
      </c>
      <c r="F889" s="11"/>
    </row>
    <row r="890" spans="1:6">
      <c r="A890" s="5" t="str">
        <f t="shared" si="16"/>
        <v>202303</v>
      </c>
      <c r="B890" s="5" t="str">
        <f>"23085012416"</f>
        <v>23085012416</v>
      </c>
      <c r="C890" s="6">
        <v>72</v>
      </c>
      <c r="D890" s="6">
        <v>115.5</v>
      </c>
      <c r="E890" s="6">
        <v>187.5</v>
      </c>
      <c r="F890" s="11"/>
    </row>
    <row r="891" spans="1:6">
      <c r="A891" s="5" t="str">
        <f t="shared" si="16"/>
        <v>202303</v>
      </c>
      <c r="B891" s="5" t="str">
        <f>"23085012430"</f>
        <v>23085012430</v>
      </c>
      <c r="C891" s="6">
        <v>75</v>
      </c>
      <c r="D891" s="6">
        <v>112</v>
      </c>
      <c r="E891" s="6">
        <v>187</v>
      </c>
      <c r="F891" s="11"/>
    </row>
    <row r="892" spans="1:6">
      <c r="A892" s="5" t="str">
        <f t="shared" si="16"/>
        <v>202303</v>
      </c>
      <c r="B892" s="5" t="str">
        <f>"23085012224"</f>
        <v>23085012224</v>
      </c>
      <c r="C892" s="6">
        <v>72</v>
      </c>
      <c r="D892" s="6">
        <v>114.5</v>
      </c>
      <c r="E892" s="6">
        <v>186.5</v>
      </c>
      <c r="F892" s="11"/>
    </row>
    <row r="893" spans="1:6">
      <c r="A893" s="5" t="str">
        <f t="shared" si="16"/>
        <v>202303</v>
      </c>
      <c r="B893" s="5" t="str">
        <f>"23085012425"</f>
        <v>23085012425</v>
      </c>
      <c r="C893" s="6">
        <v>91.5</v>
      </c>
      <c r="D893" s="6">
        <v>95</v>
      </c>
      <c r="E893" s="6">
        <v>186.5</v>
      </c>
      <c r="F893" s="11"/>
    </row>
    <row r="894" spans="1:6">
      <c r="A894" s="5" t="str">
        <f t="shared" si="16"/>
        <v>202303</v>
      </c>
      <c r="B894" s="5" t="str">
        <f>"23085013112"</f>
        <v>23085013112</v>
      </c>
      <c r="C894" s="6">
        <v>78</v>
      </c>
      <c r="D894" s="6">
        <v>108.5</v>
      </c>
      <c r="E894" s="6">
        <v>186.5</v>
      </c>
      <c r="F894" s="11"/>
    </row>
    <row r="895" spans="1:6">
      <c r="A895" s="5" t="str">
        <f t="shared" si="16"/>
        <v>202303</v>
      </c>
      <c r="B895" s="5" t="str">
        <f>"23085012321"</f>
        <v>23085012321</v>
      </c>
      <c r="C895" s="6">
        <v>76.5</v>
      </c>
      <c r="D895" s="6">
        <v>109.5</v>
      </c>
      <c r="E895" s="6">
        <v>186</v>
      </c>
      <c r="F895" s="11"/>
    </row>
    <row r="896" spans="1:6">
      <c r="A896" s="5" t="str">
        <f t="shared" si="16"/>
        <v>202303</v>
      </c>
      <c r="B896" s="5" t="str">
        <f>"23085012726"</f>
        <v>23085012726</v>
      </c>
      <c r="C896" s="6">
        <v>82.5</v>
      </c>
      <c r="D896" s="6">
        <v>103.5</v>
      </c>
      <c r="E896" s="6">
        <v>186</v>
      </c>
      <c r="F896" s="11"/>
    </row>
    <row r="897" spans="1:6">
      <c r="A897" s="5" t="str">
        <f t="shared" si="16"/>
        <v>202303</v>
      </c>
      <c r="B897" s="5" t="str">
        <f>"23085012404"</f>
        <v>23085012404</v>
      </c>
      <c r="C897" s="6">
        <v>69</v>
      </c>
      <c r="D897" s="6">
        <v>116.5</v>
      </c>
      <c r="E897" s="6">
        <v>185.5</v>
      </c>
      <c r="F897" s="11"/>
    </row>
    <row r="898" spans="1:6">
      <c r="A898" s="5" t="str">
        <f t="shared" si="16"/>
        <v>202303</v>
      </c>
      <c r="B898" s="5" t="str">
        <f>"23085013329"</f>
        <v>23085013329</v>
      </c>
      <c r="C898" s="6">
        <v>75</v>
      </c>
      <c r="D898" s="6">
        <v>108.5</v>
      </c>
      <c r="E898" s="6">
        <v>183.5</v>
      </c>
      <c r="F898" s="11"/>
    </row>
    <row r="899" spans="1:6">
      <c r="A899" s="5" t="str">
        <f t="shared" si="16"/>
        <v>202303</v>
      </c>
      <c r="B899" s="5" t="str">
        <f>"23085012502"</f>
        <v>23085012502</v>
      </c>
      <c r="C899" s="6">
        <v>88.5</v>
      </c>
      <c r="D899" s="6">
        <v>94</v>
      </c>
      <c r="E899" s="6">
        <v>182.5</v>
      </c>
      <c r="F899" s="11"/>
    </row>
    <row r="900" spans="1:6">
      <c r="A900" s="5" t="str">
        <f t="shared" si="16"/>
        <v>202303</v>
      </c>
      <c r="B900" s="5" t="str">
        <f>"23085013124"</f>
        <v>23085013124</v>
      </c>
      <c r="C900" s="6">
        <v>78</v>
      </c>
      <c r="D900" s="6">
        <v>104.5</v>
      </c>
      <c r="E900" s="6">
        <v>182.5</v>
      </c>
      <c r="F900" s="11"/>
    </row>
    <row r="901" spans="1:6">
      <c r="A901" s="5" t="str">
        <f t="shared" si="16"/>
        <v>202303</v>
      </c>
      <c r="B901" s="5" t="str">
        <f>"23085013507"</f>
        <v>23085013507</v>
      </c>
      <c r="C901" s="6">
        <v>67.5</v>
      </c>
      <c r="D901" s="6">
        <v>113.5</v>
      </c>
      <c r="E901" s="6">
        <v>181</v>
      </c>
      <c r="F901" s="11"/>
    </row>
    <row r="902" spans="1:6">
      <c r="A902" s="5" t="str">
        <f t="shared" si="16"/>
        <v>202303</v>
      </c>
      <c r="B902" s="5" t="str">
        <f>"23085012406"</f>
        <v>23085012406</v>
      </c>
      <c r="C902" s="6">
        <v>72</v>
      </c>
      <c r="D902" s="6">
        <v>109</v>
      </c>
      <c r="E902" s="6">
        <v>181</v>
      </c>
      <c r="F902" s="11"/>
    </row>
    <row r="903" spans="1:6">
      <c r="A903" s="5" t="str">
        <f t="shared" si="16"/>
        <v>202303</v>
      </c>
      <c r="B903" s="5" t="str">
        <f>"23085013323"</f>
        <v>23085013323</v>
      </c>
      <c r="C903" s="6">
        <v>88.5</v>
      </c>
      <c r="D903" s="6">
        <v>92</v>
      </c>
      <c r="E903" s="6">
        <v>180.5</v>
      </c>
      <c r="F903" s="11"/>
    </row>
    <row r="904" spans="1:6">
      <c r="A904" s="5" t="str">
        <f t="shared" si="16"/>
        <v>202303</v>
      </c>
      <c r="B904" s="5" t="str">
        <f>"23085013417"</f>
        <v>23085013417</v>
      </c>
      <c r="C904" s="6">
        <v>75</v>
      </c>
      <c r="D904" s="6">
        <v>105.5</v>
      </c>
      <c r="E904" s="6">
        <v>180.5</v>
      </c>
      <c r="F904" s="11"/>
    </row>
    <row r="905" spans="1:6">
      <c r="A905" s="5" t="str">
        <f t="shared" si="16"/>
        <v>202303</v>
      </c>
      <c r="B905" s="5" t="str">
        <f>"23085012613"</f>
        <v>23085012613</v>
      </c>
      <c r="C905" s="6">
        <v>70.5</v>
      </c>
      <c r="D905" s="6">
        <v>108.5</v>
      </c>
      <c r="E905" s="6">
        <v>179</v>
      </c>
      <c r="F905" s="11"/>
    </row>
    <row r="906" spans="1:6">
      <c r="A906" s="5" t="str">
        <f t="shared" si="16"/>
        <v>202303</v>
      </c>
      <c r="B906" s="5" t="str">
        <f>"23085013207"</f>
        <v>23085013207</v>
      </c>
      <c r="C906" s="6">
        <v>75</v>
      </c>
      <c r="D906" s="6">
        <v>104</v>
      </c>
      <c r="E906" s="6">
        <v>179</v>
      </c>
      <c r="F906" s="11"/>
    </row>
    <row r="907" spans="1:6">
      <c r="A907" s="5" t="str">
        <f t="shared" si="16"/>
        <v>202303</v>
      </c>
      <c r="B907" s="5" t="str">
        <f>"23085013515"</f>
        <v>23085013515</v>
      </c>
      <c r="C907" s="6">
        <v>79.5</v>
      </c>
      <c r="D907" s="6">
        <v>99.5</v>
      </c>
      <c r="E907" s="6">
        <v>179</v>
      </c>
      <c r="F907" s="11"/>
    </row>
    <row r="908" spans="1:6">
      <c r="A908" s="5" t="str">
        <f t="shared" si="16"/>
        <v>202303</v>
      </c>
      <c r="B908" s="5" t="str">
        <f>"23085013225"</f>
        <v>23085013225</v>
      </c>
      <c r="C908" s="6">
        <v>75</v>
      </c>
      <c r="D908" s="6">
        <v>103</v>
      </c>
      <c r="E908" s="6">
        <v>178</v>
      </c>
      <c r="F908" s="11"/>
    </row>
    <row r="909" spans="1:6">
      <c r="A909" s="5" t="str">
        <f t="shared" si="16"/>
        <v>202303</v>
      </c>
      <c r="B909" s="5" t="str">
        <f>"23085012808"</f>
        <v>23085012808</v>
      </c>
      <c r="C909" s="6">
        <v>75</v>
      </c>
      <c r="D909" s="6">
        <v>101</v>
      </c>
      <c r="E909" s="6">
        <v>176</v>
      </c>
      <c r="F909" s="11"/>
    </row>
    <row r="910" spans="1:6">
      <c r="A910" s="5" t="str">
        <f t="shared" si="16"/>
        <v>202303</v>
      </c>
      <c r="B910" s="5" t="str">
        <f>"23085012111"</f>
        <v>23085012111</v>
      </c>
      <c r="C910" s="6">
        <v>69</v>
      </c>
      <c r="D910" s="6">
        <v>105.5</v>
      </c>
      <c r="E910" s="6">
        <v>174.5</v>
      </c>
      <c r="F910" s="11"/>
    </row>
    <row r="911" spans="1:6">
      <c r="A911" s="5" t="str">
        <f t="shared" si="16"/>
        <v>202303</v>
      </c>
      <c r="B911" s="5" t="str">
        <f>"23085013122"</f>
        <v>23085013122</v>
      </c>
      <c r="C911" s="6">
        <v>67.5</v>
      </c>
      <c r="D911" s="6">
        <v>106.5</v>
      </c>
      <c r="E911" s="6">
        <v>174</v>
      </c>
      <c r="F911" s="11"/>
    </row>
    <row r="912" spans="1:6">
      <c r="A912" s="5" t="str">
        <f t="shared" si="16"/>
        <v>202303</v>
      </c>
      <c r="B912" s="5" t="str">
        <f>"23085012201"</f>
        <v>23085012201</v>
      </c>
      <c r="C912" s="6">
        <v>66</v>
      </c>
      <c r="D912" s="6">
        <v>107.5</v>
      </c>
      <c r="E912" s="6">
        <v>173.5</v>
      </c>
      <c r="F912" s="11"/>
    </row>
    <row r="913" spans="1:6">
      <c r="A913" s="5" t="str">
        <f t="shared" si="16"/>
        <v>202303</v>
      </c>
      <c r="B913" s="5" t="str">
        <f>"23085012124"</f>
        <v>23085012124</v>
      </c>
      <c r="C913" s="6">
        <v>70.5</v>
      </c>
      <c r="D913" s="6">
        <v>102.5</v>
      </c>
      <c r="E913" s="6">
        <v>173</v>
      </c>
      <c r="F913" s="11"/>
    </row>
    <row r="914" spans="1:6">
      <c r="A914" s="5" t="str">
        <f t="shared" si="16"/>
        <v>202303</v>
      </c>
      <c r="B914" s="5" t="str">
        <f>"23085012304"</f>
        <v>23085012304</v>
      </c>
      <c r="C914" s="6">
        <v>57</v>
      </c>
      <c r="D914" s="6">
        <v>115</v>
      </c>
      <c r="E914" s="6">
        <v>172</v>
      </c>
      <c r="F914" s="11"/>
    </row>
    <row r="915" spans="1:6">
      <c r="A915" s="5" t="str">
        <f t="shared" si="16"/>
        <v>202303</v>
      </c>
      <c r="B915" s="5" t="str">
        <f>"23085012507"</f>
        <v>23085012507</v>
      </c>
      <c r="C915" s="6">
        <v>60</v>
      </c>
      <c r="D915" s="6">
        <v>111.5</v>
      </c>
      <c r="E915" s="6">
        <v>171.5</v>
      </c>
      <c r="F915" s="11"/>
    </row>
    <row r="916" spans="1:6">
      <c r="A916" s="5" t="str">
        <f t="shared" si="16"/>
        <v>202303</v>
      </c>
      <c r="B916" s="5" t="str">
        <f>"23085012501"</f>
        <v>23085012501</v>
      </c>
      <c r="C916" s="6">
        <v>66</v>
      </c>
      <c r="D916" s="6">
        <v>104.5</v>
      </c>
      <c r="E916" s="6">
        <v>170.5</v>
      </c>
      <c r="F916" s="11"/>
    </row>
    <row r="917" spans="1:6">
      <c r="A917" s="5" t="str">
        <f t="shared" si="16"/>
        <v>202303</v>
      </c>
      <c r="B917" s="5" t="str">
        <f>"23085012110"</f>
        <v>23085012110</v>
      </c>
      <c r="C917" s="6">
        <v>76.5</v>
      </c>
      <c r="D917" s="6">
        <v>93.5</v>
      </c>
      <c r="E917" s="6">
        <v>170</v>
      </c>
      <c r="F917" s="11"/>
    </row>
    <row r="918" spans="1:6">
      <c r="A918" s="5" t="str">
        <f t="shared" si="16"/>
        <v>202303</v>
      </c>
      <c r="B918" s="5" t="str">
        <f>"23085012514"</f>
        <v>23085012514</v>
      </c>
      <c r="C918" s="6">
        <v>67.5</v>
      </c>
      <c r="D918" s="6">
        <v>102.5</v>
      </c>
      <c r="E918" s="6">
        <v>170</v>
      </c>
      <c r="F918" s="11"/>
    </row>
    <row r="919" spans="1:6">
      <c r="A919" s="5" t="str">
        <f t="shared" si="16"/>
        <v>202303</v>
      </c>
      <c r="B919" s="5" t="str">
        <f>"23085012720"</f>
        <v>23085012720</v>
      </c>
      <c r="C919" s="6">
        <v>73.5</v>
      </c>
      <c r="D919" s="6">
        <v>94.5</v>
      </c>
      <c r="E919" s="6">
        <v>168</v>
      </c>
      <c r="F919" s="11"/>
    </row>
    <row r="920" spans="1:6">
      <c r="A920" s="5" t="str">
        <f t="shared" si="16"/>
        <v>202303</v>
      </c>
      <c r="B920" s="5" t="str">
        <f>"23085013018"</f>
        <v>23085013018</v>
      </c>
      <c r="C920" s="6">
        <v>73.5</v>
      </c>
      <c r="D920" s="6">
        <v>94</v>
      </c>
      <c r="E920" s="6">
        <v>167.5</v>
      </c>
      <c r="F920" s="11"/>
    </row>
    <row r="921" spans="1:6">
      <c r="A921" s="5" t="str">
        <f t="shared" si="16"/>
        <v>202303</v>
      </c>
      <c r="B921" s="5" t="str">
        <f>"23085012309"</f>
        <v>23085012309</v>
      </c>
      <c r="C921" s="6">
        <v>87</v>
      </c>
      <c r="D921" s="6">
        <v>77.5</v>
      </c>
      <c r="E921" s="6">
        <v>164.5</v>
      </c>
      <c r="F921" s="11"/>
    </row>
    <row r="922" spans="1:6">
      <c r="A922" s="5" t="str">
        <f t="shared" si="16"/>
        <v>202303</v>
      </c>
      <c r="B922" s="5" t="str">
        <f>"23085012302"</f>
        <v>23085012302</v>
      </c>
      <c r="C922" s="6">
        <v>52.5</v>
      </c>
      <c r="D922" s="6">
        <v>111</v>
      </c>
      <c r="E922" s="6">
        <v>163.5</v>
      </c>
      <c r="F922" s="11"/>
    </row>
    <row r="923" spans="1:6">
      <c r="A923" s="5" t="str">
        <f t="shared" si="16"/>
        <v>202303</v>
      </c>
      <c r="B923" s="5" t="str">
        <f>"23085013217"</f>
        <v>23085013217</v>
      </c>
      <c r="C923" s="6">
        <v>60</v>
      </c>
      <c r="D923" s="6">
        <v>100</v>
      </c>
      <c r="E923" s="6">
        <v>160</v>
      </c>
      <c r="F923" s="11"/>
    </row>
    <row r="924" spans="1:6">
      <c r="A924" s="5" t="str">
        <f t="shared" si="16"/>
        <v>202303</v>
      </c>
      <c r="B924" s="5" t="str">
        <f>"23085013407"</f>
        <v>23085013407</v>
      </c>
      <c r="C924" s="6">
        <v>72</v>
      </c>
      <c r="D924" s="6">
        <v>87.5</v>
      </c>
      <c r="E924" s="6">
        <v>159.5</v>
      </c>
      <c r="F924" s="11"/>
    </row>
    <row r="925" spans="1:6">
      <c r="A925" s="5" t="str">
        <f t="shared" si="16"/>
        <v>202303</v>
      </c>
      <c r="B925" s="5" t="str">
        <f>"23085012927"</f>
        <v>23085012927</v>
      </c>
      <c r="C925" s="6">
        <v>72</v>
      </c>
      <c r="D925" s="6">
        <v>83</v>
      </c>
      <c r="E925" s="6">
        <v>155</v>
      </c>
      <c r="F925" s="11"/>
    </row>
    <row r="926" spans="1:6">
      <c r="A926" s="5" t="str">
        <f t="shared" si="16"/>
        <v>202303</v>
      </c>
      <c r="B926" s="5" t="str">
        <f>"23085012803"</f>
        <v>23085012803</v>
      </c>
      <c r="C926" s="6">
        <v>70.5</v>
      </c>
      <c r="D926" s="6">
        <v>83</v>
      </c>
      <c r="E926" s="6">
        <v>153.5</v>
      </c>
      <c r="F926" s="11"/>
    </row>
    <row r="927" spans="1:6">
      <c r="A927" s="5" t="str">
        <f t="shared" ref="A927:A990" si="17">"202303"</f>
        <v>202303</v>
      </c>
      <c r="B927" s="5" t="str">
        <f>"23085013319"</f>
        <v>23085013319</v>
      </c>
      <c r="C927" s="6">
        <v>58.5</v>
      </c>
      <c r="D927" s="6">
        <v>91.5</v>
      </c>
      <c r="E927" s="6">
        <v>150</v>
      </c>
      <c r="F927" s="11"/>
    </row>
    <row r="928" spans="1:6">
      <c r="A928" s="5" t="str">
        <f t="shared" si="17"/>
        <v>202303</v>
      </c>
      <c r="B928" s="5" t="str">
        <f>"23085013521"</f>
        <v>23085013521</v>
      </c>
      <c r="C928" s="6">
        <v>48</v>
      </c>
      <c r="D928" s="6">
        <v>97.5</v>
      </c>
      <c r="E928" s="6">
        <v>145.5</v>
      </c>
      <c r="F928" s="11"/>
    </row>
    <row r="929" spans="1:6">
      <c r="A929" s="5" t="str">
        <f t="shared" si="17"/>
        <v>202303</v>
      </c>
      <c r="B929" s="5" t="str">
        <f>"23085012604"</f>
        <v>23085012604</v>
      </c>
      <c r="C929" s="6">
        <v>60</v>
      </c>
      <c r="D929" s="6">
        <v>85</v>
      </c>
      <c r="E929" s="6">
        <v>145</v>
      </c>
      <c r="F929" s="11"/>
    </row>
    <row r="930" spans="1:6">
      <c r="A930" s="5" t="str">
        <f t="shared" si="17"/>
        <v>202303</v>
      </c>
      <c r="B930" s="5" t="str">
        <f>"23085012627"</f>
        <v>23085012627</v>
      </c>
      <c r="C930" s="6">
        <v>57</v>
      </c>
      <c r="D930" s="6">
        <v>86.5</v>
      </c>
      <c r="E930" s="6">
        <v>143.5</v>
      </c>
      <c r="F930" s="11"/>
    </row>
    <row r="931" spans="1:6">
      <c r="A931" s="5" t="str">
        <f t="shared" si="17"/>
        <v>202303</v>
      </c>
      <c r="B931" s="5" t="str">
        <f>"23085012809"</f>
        <v>23085012809</v>
      </c>
      <c r="C931" s="6">
        <v>106.5</v>
      </c>
      <c r="D931" s="6">
        <v>36</v>
      </c>
      <c r="E931" s="6">
        <v>142.5</v>
      </c>
      <c r="F931" s="11"/>
    </row>
    <row r="932" spans="1:6">
      <c r="A932" s="5" t="str">
        <f t="shared" si="17"/>
        <v>202303</v>
      </c>
      <c r="B932" s="5" t="str">
        <f>"23085012109"</f>
        <v>23085012109</v>
      </c>
      <c r="C932" s="6">
        <v>48</v>
      </c>
      <c r="D932" s="6">
        <v>94</v>
      </c>
      <c r="E932" s="6">
        <v>142</v>
      </c>
      <c r="F932" s="11"/>
    </row>
    <row r="933" spans="1:6">
      <c r="A933" s="5" t="str">
        <f t="shared" si="17"/>
        <v>202303</v>
      </c>
      <c r="B933" s="5" t="str">
        <f>"23085013321"</f>
        <v>23085013321</v>
      </c>
      <c r="C933" s="6">
        <v>60</v>
      </c>
      <c r="D933" s="6">
        <v>71.5</v>
      </c>
      <c r="E933" s="6">
        <v>131.5</v>
      </c>
      <c r="F933" s="11"/>
    </row>
    <row r="934" spans="1:6">
      <c r="A934" s="5" t="str">
        <f t="shared" si="17"/>
        <v>202303</v>
      </c>
      <c r="B934" s="5" t="str">
        <f>"23085012905"</f>
        <v>23085012905</v>
      </c>
      <c r="C934" s="6">
        <v>72</v>
      </c>
      <c r="D934" s="6">
        <v>41.5</v>
      </c>
      <c r="E934" s="6">
        <v>113.5</v>
      </c>
      <c r="F934" s="11"/>
    </row>
    <row r="935" spans="1:6">
      <c r="A935" s="5" t="str">
        <f t="shared" si="17"/>
        <v>202303</v>
      </c>
      <c r="B935" s="5" t="str">
        <f>"23085012411"</f>
        <v>23085012411</v>
      </c>
      <c r="C935" s="6">
        <v>0</v>
      </c>
      <c r="D935" s="6">
        <v>0</v>
      </c>
      <c r="E935" s="6">
        <v>0</v>
      </c>
      <c r="F935" s="11" t="s">
        <v>7</v>
      </c>
    </row>
    <row r="936" spans="1:6">
      <c r="A936" s="5" t="str">
        <f t="shared" si="17"/>
        <v>202303</v>
      </c>
      <c r="B936" s="5" t="str">
        <f>"23085012829"</f>
        <v>23085012829</v>
      </c>
      <c r="C936" s="6">
        <v>0</v>
      </c>
      <c r="D936" s="6">
        <v>0</v>
      </c>
      <c r="E936" s="6">
        <v>0</v>
      </c>
      <c r="F936" s="11" t="s">
        <v>7</v>
      </c>
    </row>
    <row r="937" spans="1:6">
      <c r="A937" s="5" t="str">
        <f t="shared" si="17"/>
        <v>202303</v>
      </c>
      <c r="B937" s="5" t="str">
        <f>"23085013322"</f>
        <v>23085013322</v>
      </c>
      <c r="C937" s="6">
        <v>0</v>
      </c>
      <c r="D937" s="6">
        <v>0</v>
      </c>
      <c r="E937" s="6">
        <v>0</v>
      </c>
      <c r="F937" s="11" t="s">
        <v>7</v>
      </c>
    </row>
    <row r="938" spans="1:6">
      <c r="A938" s="5" t="str">
        <f t="shared" si="17"/>
        <v>202303</v>
      </c>
      <c r="B938" s="5" t="str">
        <f>"23085012206"</f>
        <v>23085012206</v>
      </c>
      <c r="C938" s="6">
        <v>0</v>
      </c>
      <c r="D938" s="6">
        <v>0</v>
      </c>
      <c r="E938" s="6">
        <v>0</v>
      </c>
      <c r="F938" s="11" t="s">
        <v>7</v>
      </c>
    </row>
    <row r="939" spans="1:6">
      <c r="A939" s="5" t="str">
        <f t="shared" si="17"/>
        <v>202303</v>
      </c>
      <c r="B939" s="5" t="str">
        <f>"23085013213"</f>
        <v>23085013213</v>
      </c>
      <c r="C939" s="6">
        <v>0</v>
      </c>
      <c r="D939" s="6">
        <v>0</v>
      </c>
      <c r="E939" s="6">
        <v>0</v>
      </c>
      <c r="F939" s="11" t="s">
        <v>7</v>
      </c>
    </row>
    <row r="940" spans="1:6">
      <c r="A940" s="5" t="str">
        <f t="shared" si="17"/>
        <v>202303</v>
      </c>
      <c r="B940" s="5" t="str">
        <f>"23085012107"</f>
        <v>23085012107</v>
      </c>
      <c r="C940" s="6">
        <v>0</v>
      </c>
      <c r="D940" s="6">
        <v>0</v>
      </c>
      <c r="E940" s="6">
        <v>0</v>
      </c>
      <c r="F940" s="11" t="s">
        <v>7</v>
      </c>
    </row>
    <row r="941" spans="1:6">
      <c r="A941" s="5" t="str">
        <f t="shared" si="17"/>
        <v>202303</v>
      </c>
      <c r="B941" s="5" t="str">
        <f>"23085012630"</f>
        <v>23085012630</v>
      </c>
      <c r="C941" s="6">
        <v>0</v>
      </c>
      <c r="D941" s="6">
        <v>0</v>
      </c>
      <c r="E941" s="6">
        <v>0</v>
      </c>
      <c r="F941" s="11" t="s">
        <v>7</v>
      </c>
    </row>
    <row r="942" spans="1:6">
      <c r="A942" s="5" t="str">
        <f t="shared" si="17"/>
        <v>202303</v>
      </c>
      <c r="B942" s="5" t="str">
        <f>"23085012327"</f>
        <v>23085012327</v>
      </c>
      <c r="C942" s="6">
        <v>0</v>
      </c>
      <c r="D942" s="6">
        <v>0</v>
      </c>
      <c r="E942" s="6">
        <v>0</v>
      </c>
      <c r="F942" s="11" t="s">
        <v>7</v>
      </c>
    </row>
    <row r="943" spans="1:6">
      <c r="A943" s="5" t="str">
        <f t="shared" si="17"/>
        <v>202303</v>
      </c>
      <c r="B943" s="5" t="str">
        <f>"23085013106"</f>
        <v>23085013106</v>
      </c>
      <c r="C943" s="6">
        <v>0</v>
      </c>
      <c r="D943" s="6">
        <v>0</v>
      </c>
      <c r="E943" s="6">
        <v>0</v>
      </c>
      <c r="F943" s="11" t="s">
        <v>7</v>
      </c>
    </row>
    <row r="944" spans="1:6">
      <c r="A944" s="5" t="str">
        <f t="shared" si="17"/>
        <v>202303</v>
      </c>
      <c r="B944" s="5" t="str">
        <f>"23085013310"</f>
        <v>23085013310</v>
      </c>
      <c r="C944" s="6">
        <v>0</v>
      </c>
      <c r="D944" s="6">
        <v>0</v>
      </c>
      <c r="E944" s="6">
        <v>0</v>
      </c>
      <c r="F944" s="11" t="s">
        <v>7</v>
      </c>
    </row>
    <row r="945" spans="1:6">
      <c r="A945" s="5" t="str">
        <f t="shared" si="17"/>
        <v>202303</v>
      </c>
      <c r="B945" s="5" t="str">
        <f>"23085013523"</f>
        <v>23085013523</v>
      </c>
      <c r="C945" s="6">
        <v>0</v>
      </c>
      <c r="D945" s="6">
        <v>0</v>
      </c>
      <c r="E945" s="6">
        <v>0</v>
      </c>
      <c r="F945" s="11" t="s">
        <v>7</v>
      </c>
    </row>
    <row r="946" spans="1:6">
      <c r="A946" s="5" t="str">
        <f t="shared" si="17"/>
        <v>202303</v>
      </c>
      <c r="B946" s="5" t="str">
        <f>"23085013425"</f>
        <v>23085013425</v>
      </c>
      <c r="C946" s="6">
        <v>0</v>
      </c>
      <c r="D946" s="6">
        <v>0</v>
      </c>
      <c r="E946" s="6">
        <v>0</v>
      </c>
      <c r="F946" s="11" t="s">
        <v>7</v>
      </c>
    </row>
    <row r="947" spans="1:6">
      <c r="A947" s="5" t="str">
        <f t="shared" si="17"/>
        <v>202303</v>
      </c>
      <c r="B947" s="5" t="str">
        <f>"23085012603"</f>
        <v>23085012603</v>
      </c>
      <c r="C947" s="6">
        <v>0</v>
      </c>
      <c r="D947" s="6">
        <v>0</v>
      </c>
      <c r="E947" s="6">
        <v>0</v>
      </c>
      <c r="F947" s="11" t="s">
        <v>7</v>
      </c>
    </row>
    <row r="948" spans="1:6">
      <c r="A948" s="5" t="str">
        <f t="shared" si="17"/>
        <v>202303</v>
      </c>
      <c r="B948" s="5" t="str">
        <f>"23085013103"</f>
        <v>23085013103</v>
      </c>
      <c r="C948" s="6">
        <v>0</v>
      </c>
      <c r="D948" s="6">
        <v>0</v>
      </c>
      <c r="E948" s="6">
        <v>0</v>
      </c>
      <c r="F948" s="11" t="s">
        <v>7</v>
      </c>
    </row>
    <row r="949" spans="1:6">
      <c r="A949" s="5" t="str">
        <f t="shared" si="17"/>
        <v>202303</v>
      </c>
      <c r="B949" s="5" t="str">
        <f>"23085013403"</f>
        <v>23085013403</v>
      </c>
      <c r="C949" s="6">
        <v>0</v>
      </c>
      <c r="D949" s="6">
        <v>0</v>
      </c>
      <c r="E949" s="6">
        <v>0</v>
      </c>
      <c r="F949" s="11" t="s">
        <v>7</v>
      </c>
    </row>
    <row r="950" spans="1:6">
      <c r="A950" s="5" t="str">
        <f t="shared" si="17"/>
        <v>202303</v>
      </c>
      <c r="B950" s="5" t="str">
        <f>"23085012123"</f>
        <v>23085012123</v>
      </c>
      <c r="C950" s="6">
        <v>0</v>
      </c>
      <c r="D950" s="6">
        <v>0</v>
      </c>
      <c r="E950" s="6">
        <v>0</v>
      </c>
      <c r="F950" s="11" t="s">
        <v>7</v>
      </c>
    </row>
    <row r="951" spans="1:6">
      <c r="A951" s="5" t="str">
        <f t="shared" si="17"/>
        <v>202303</v>
      </c>
      <c r="B951" s="5" t="str">
        <f>"23085012401"</f>
        <v>23085012401</v>
      </c>
      <c r="C951" s="6">
        <v>0</v>
      </c>
      <c r="D951" s="6">
        <v>0</v>
      </c>
      <c r="E951" s="6">
        <v>0</v>
      </c>
      <c r="F951" s="11" t="s">
        <v>7</v>
      </c>
    </row>
    <row r="952" spans="1:6">
      <c r="A952" s="5" t="str">
        <f t="shared" si="17"/>
        <v>202303</v>
      </c>
      <c r="B952" s="5" t="str">
        <f>"23085013429"</f>
        <v>23085013429</v>
      </c>
      <c r="C952" s="6">
        <v>0</v>
      </c>
      <c r="D952" s="6">
        <v>0</v>
      </c>
      <c r="E952" s="6">
        <v>0</v>
      </c>
      <c r="F952" s="11" t="s">
        <v>7</v>
      </c>
    </row>
    <row r="953" spans="1:6">
      <c r="A953" s="5" t="str">
        <f t="shared" si="17"/>
        <v>202303</v>
      </c>
      <c r="B953" s="5" t="str">
        <f>"23085013424"</f>
        <v>23085013424</v>
      </c>
      <c r="C953" s="6">
        <v>0</v>
      </c>
      <c r="D953" s="6">
        <v>0</v>
      </c>
      <c r="E953" s="6">
        <v>0</v>
      </c>
      <c r="F953" s="11" t="s">
        <v>7</v>
      </c>
    </row>
    <row r="954" spans="1:6">
      <c r="A954" s="5" t="str">
        <f t="shared" si="17"/>
        <v>202303</v>
      </c>
      <c r="B954" s="5" t="str">
        <f>"23085012611"</f>
        <v>23085012611</v>
      </c>
      <c r="C954" s="6">
        <v>0</v>
      </c>
      <c r="D954" s="6">
        <v>0</v>
      </c>
      <c r="E954" s="6">
        <v>0</v>
      </c>
      <c r="F954" s="11" t="s">
        <v>7</v>
      </c>
    </row>
    <row r="955" spans="1:6">
      <c r="A955" s="5" t="str">
        <f t="shared" si="17"/>
        <v>202303</v>
      </c>
      <c r="B955" s="5" t="str">
        <f>"23085012306"</f>
        <v>23085012306</v>
      </c>
      <c r="C955" s="6">
        <v>0</v>
      </c>
      <c r="D955" s="6">
        <v>0</v>
      </c>
      <c r="E955" s="6">
        <v>0</v>
      </c>
      <c r="F955" s="11" t="s">
        <v>7</v>
      </c>
    </row>
    <row r="956" spans="1:6">
      <c r="A956" s="5" t="str">
        <f t="shared" si="17"/>
        <v>202303</v>
      </c>
      <c r="B956" s="5" t="str">
        <f>"23085012728"</f>
        <v>23085012728</v>
      </c>
      <c r="C956" s="6">
        <v>0</v>
      </c>
      <c r="D956" s="6">
        <v>0</v>
      </c>
      <c r="E956" s="6">
        <v>0</v>
      </c>
      <c r="F956" s="11" t="s">
        <v>7</v>
      </c>
    </row>
    <row r="957" spans="1:6">
      <c r="A957" s="5" t="str">
        <f t="shared" si="17"/>
        <v>202303</v>
      </c>
      <c r="B957" s="5" t="str">
        <f>"23085012127"</f>
        <v>23085012127</v>
      </c>
      <c r="C957" s="6">
        <v>0</v>
      </c>
      <c r="D957" s="6">
        <v>0</v>
      </c>
      <c r="E957" s="6">
        <v>0</v>
      </c>
      <c r="F957" s="11" t="s">
        <v>7</v>
      </c>
    </row>
    <row r="958" spans="1:6">
      <c r="A958" s="5" t="str">
        <f t="shared" si="17"/>
        <v>202303</v>
      </c>
      <c r="B958" s="5" t="str">
        <f>"23085012821"</f>
        <v>23085012821</v>
      </c>
      <c r="C958" s="6">
        <v>0</v>
      </c>
      <c r="D958" s="6">
        <v>0</v>
      </c>
      <c r="E958" s="6">
        <v>0</v>
      </c>
      <c r="F958" s="11" t="s">
        <v>7</v>
      </c>
    </row>
    <row r="959" spans="1:6">
      <c r="A959" s="5" t="str">
        <f t="shared" si="17"/>
        <v>202303</v>
      </c>
      <c r="B959" s="5" t="str">
        <f>"23085012910"</f>
        <v>23085012910</v>
      </c>
      <c r="C959" s="6">
        <v>0</v>
      </c>
      <c r="D959" s="6">
        <v>0</v>
      </c>
      <c r="E959" s="6">
        <v>0</v>
      </c>
      <c r="F959" s="11" t="s">
        <v>7</v>
      </c>
    </row>
    <row r="960" spans="1:6">
      <c r="A960" s="5" t="str">
        <f t="shared" si="17"/>
        <v>202303</v>
      </c>
      <c r="B960" s="5" t="str">
        <f>"23085013101"</f>
        <v>23085013101</v>
      </c>
      <c r="C960" s="6">
        <v>0</v>
      </c>
      <c r="D960" s="6">
        <v>0</v>
      </c>
      <c r="E960" s="6">
        <v>0</v>
      </c>
      <c r="F960" s="11" t="s">
        <v>7</v>
      </c>
    </row>
    <row r="961" spans="1:6">
      <c r="A961" s="5" t="str">
        <f t="shared" si="17"/>
        <v>202303</v>
      </c>
      <c r="B961" s="5" t="str">
        <f>"23085013029"</f>
        <v>23085013029</v>
      </c>
      <c r="C961" s="6">
        <v>0</v>
      </c>
      <c r="D961" s="6">
        <v>0</v>
      </c>
      <c r="E961" s="6">
        <v>0</v>
      </c>
      <c r="F961" s="11" t="s">
        <v>7</v>
      </c>
    </row>
    <row r="962" spans="1:6">
      <c r="A962" s="5" t="str">
        <f t="shared" si="17"/>
        <v>202303</v>
      </c>
      <c r="B962" s="5" t="str">
        <f>"23085013212"</f>
        <v>23085013212</v>
      </c>
      <c r="C962" s="6">
        <v>0</v>
      </c>
      <c r="D962" s="6">
        <v>0</v>
      </c>
      <c r="E962" s="6">
        <v>0</v>
      </c>
      <c r="F962" s="11" t="s">
        <v>7</v>
      </c>
    </row>
    <row r="963" spans="1:6">
      <c r="A963" s="5" t="str">
        <f t="shared" si="17"/>
        <v>202303</v>
      </c>
      <c r="B963" s="5" t="str">
        <f>"23085012730"</f>
        <v>23085012730</v>
      </c>
      <c r="C963" s="6">
        <v>0</v>
      </c>
      <c r="D963" s="6">
        <v>0</v>
      </c>
      <c r="E963" s="6">
        <v>0</v>
      </c>
      <c r="F963" s="11" t="s">
        <v>7</v>
      </c>
    </row>
    <row r="964" spans="1:6">
      <c r="A964" s="5" t="str">
        <f t="shared" si="17"/>
        <v>202303</v>
      </c>
      <c r="B964" s="5" t="str">
        <f>"23085013115"</f>
        <v>23085013115</v>
      </c>
      <c r="C964" s="6">
        <v>0</v>
      </c>
      <c r="D964" s="6">
        <v>0</v>
      </c>
      <c r="E964" s="6">
        <v>0</v>
      </c>
      <c r="F964" s="11" t="s">
        <v>7</v>
      </c>
    </row>
    <row r="965" spans="1:6">
      <c r="A965" s="5" t="str">
        <f t="shared" si="17"/>
        <v>202303</v>
      </c>
      <c r="B965" s="5" t="str">
        <f>"23085012830"</f>
        <v>23085012830</v>
      </c>
      <c r="C965" s="6">
        <v>0</v>
      </c>
      <c r="D965" s="6">
        <v>0</v>
      </c>
      <c r="E965" s="6">
        <v>0</v>
      </c>
      <c r="F965" s="11" t="s">
        <v>7</v>
      </c>
    </row>
    <row r="966" spans="1:6">
      <c r="A966" s="5" t="str">
        <f t="shared" si="17"/>
        <v>202303</v>
      </c>
      <c r="B966" s="5" t="str">
        <f>"23085013129"</f>
        <v>23085013129</v>
      </c>
      <c r="C966" s="6">
        <v>0</v>
      </c>
      <c r="D966" s="6">
        <v>0</v>
      </c>
      <c r="E966" s="6">
        <v>0</v>
      </c>
      <c r="F966" s="11" t="s">
        <v>7</v>
      </c>
    </row>
    <row r="967" spans="1:6">
      <c r="A967" s="5" t="str">
        <f t="shared" si="17"/>
        <v>202303</v>
      </c>
      <c r="B967" s="5" t="str">
        <f>"23085013428"</f>
        <v>23085013428</v>
      </c>
      <c r="C967" s="6">
        <v>0</v>
      </c>
      <c r="D967" s="6">
        <v>0</v>
      </c>
      <c r="E967" s="6">
        <v>0</v>
      </c>
      <c r="F967" s="11" t="s">
        <v>7</v>
      </c>
    </row>
    <row r="968" spans="1:6">
      <c r="A968" s="5" t="str">
        <f t="shared" si="17"/>
        <v>202303</v>
      </c>
      <c r="B968" s="5" t="str">
        <f>"23085012226"</f>
        <v>23085012226</v>
      </c>
      <c r="C968" s="6">
        <v>0</v>
      </c>
      <c r="D968" s="6">
        <v>0</v>
      </c>
      <c r="E968" s="6">
        <v>0</v>
      </c>
      <c r="F968" s="11" t="s">
        <v>7</v>
      </c>
    </row>
    <row r="969" spans="1:6">
      <c r="A969" s="5" t="str">
        <f t="shared" si="17"/>
        <v>202303</v>
      </c>
      <c r="B969" s="5" t="str">
        <f>"23085012629"</f>
        <v>23085012629</v>
      </c>
      <c r="C969" s="6">
        <v>0</v>
      </c>
      <c r="D969" s="6">
        <v>0</v>
      </c>
      <c r="E969" s="6">
        <v>0</v>
      </c>
      <c r="F969" s="11" t="s">
        <v>7</v>
      </c>
    </row>
    <row r="970" spans="1:6">
      <c r="A970" s="5" t="str">
        <f t="shared" si="17"/>
        <v>202303</v>
      </c>
      <c r="B970" s="5" t="str">
        <f>"23085013524"</f>
        <v>23085013524</v>
      </c>
      <c r="C970" s="6">
        <v>0</v>
      </c>
      <c r="D970" s="6">
        <v>0</v>
      </c>
      <c r="E970" s="6">
        <v>0</v>
      </c>
      <c r="F970" s="11" t="s">
        <v>7</v>
      </c>
    </row>
    <row r="971" spans="1:6">
      <c r="A971" s="5" t="str">
        <f t="shared" si="17"/>
        <v>202303</v>
      </c>
      <c r="B971" s="5" t="str">
        <f>"23085012319"</f>
        <v>23085012319</v>
      </c>
      <c r="C971" s="6">
        <v>0</v>
      </c>
      <c r="D971" s="6">
        <v>0</v>
      </c>
      <c r="E971" s="6">
        <v>0</v>
      </c>
      <c r="F971" s="11" t="s">
        <v>7</v>
      </c>
    </row>
    <row r="972" spans="1:6">
      <c r="A972" s="5" t="str">
        <f t="shared" si="17"/>
        <v>202303</v>
      </c>
      <c r="B972" s="5" t="str">
        <f>"23085012223"</f>
        <v>23085012223</v>
      </c>
      <c r="C972" s="6">
        <v>0</v>
      </c>
      <c r="D972" s="6">
        <v>0</v>
      </c>
      <c r="E972" s="6">
        <v>0</v>
      </c>
      <c r="F972" s="11" t="s">
        <v>7</v>
      </c>
    </row>
    <row r="973" spans="1:6">
      <c r="A973" s="5" t="str">
        <f t="shared" si="17"/>
        <v>202303</v>
      </c>
      <c r="B973" s="5" t="str">
        <f>"23085013426"</f>
        <v>23085013426</v>
      </c>
      <c r="C973" s="6">
        <v>0</v>
      </c>
      <c r="D973" s="6">
        <v>0</v>
      </c>
      <c r="E973" s="6">
        <v>0</v>
      </c>
      <c r="F973" s="11" t="s">
        <v>7</v>
      </c>
    </row>
    <row r="974" spans="1:6">
      <c r="A974" s="5" t="str">
        <f t="shared" si="17"/>
        <v>202303</v>
      </c>
      <c r="B974" s="5" t="str">
        <f>"23085012819"</f>
        <v>23085012819</v>
      </c>
      <c r="C974" s="6">
        <v>0</v>
      </c>
      <c r="D974" s="6">
        <v>0</v>
      </c>
      <c r="E974" s="6">
        <v>0</v>
      </c>
      <c r="F974" s="11" t="s">
        <v>7</v>
      </c>
    </row>
    <row r="975" spans="1:6">
      <c r="A975" s="5" t="str">
        <f t="shared" si="17"/>
        <v>202303</v>
      </c>
      <c r="B975" s="5" t="str">
        <f>"23085012822"</f>
        <v>23085012822</v>
      </c>
      <c r="C975" s="6">
        <v>0</v>
      </c>
      <c r="D975" s="6">
        <v>0</v>
      </c>
      <c r="E975" s="6">
        <v>0</v>
      </c>
      <c r="F975" s="11" t="s">
        <v>7</v>
      </c>
    </row>
    <row r="976" spans="1:6">
      <c r="A976" s="5" t="str">
        <f t="shared" si="17"/>
        <v>202303</v>
      </c>
      <c r="B976" s="5" t="str">
        <f>"23085013203"</f>
        <v>23085013203</v>
      </c>
      <c r="C976" s="6">
        <v>0</v>
      </c>
      <c r="D976" s="6">
        <v>0</v>
      </c>
      <c r="E976" s="6">
        <v>0</v>
      </c>
      <c r="F976" s="11" t="s">
        <v>7</v>
      </c>
    </row>
    <row r="977" spans="1:6">
      <c r="A977" s="5" t="str">
        <f t="shared" si="17"/>
        <v>202303</v>
      </c>
      <c r="B977" s="5" t="str">
        <f>"23085013116"</f>
        <v>23085013116</v>
      </c>
      <c r="C977" s="6">
        <v>0</v>
      </c>
      <c r="D977" s="6">
        <v>0</v>
      </c>
      <c r="E977" s="6">
        <v>0</v>
      </c>
      <c r="F977" s="11" t="s">
        <v>7</v>
      </c>
    </row>
    <row r="978" spans="1:6">
      <c r="A978" s="5" t="str">
        <f t="shared" si="17"/>
        <v>202303</v>
      </c>
      <c r="B978" s="5" t="str">
        <f>"23085012908"</f>
        <v>23085012908</v>
      </c>
      <c r="C978" s="6">
        <v>0</v>
      </c>
      <c r="D978" s="6">
        <v>0</v>
      </c>
      <c r="E978" s="6">
        <v>0</v>
      </c>
      <c r="F978" s="11" t="s">
        <v>7</v>
      </c>
    </row>
    <row r="979" spans="1:6">
      <c r="A979" s="5" t="str">
        <f t="shared" si="17"/>
        <v>202303</v>
      </c>
      <c r="B979" s="5" t="str">
        <f>"23085013502"</f>
        <v>23085013502</v>
      </c>
      <c r="C979" s="6">
        <v>0</v>
      </c>
      <c r="D979" s="6">
        <v>0</v>
      </c>
      <c r="E979" s="6">
        <v>0</v>
      </c>
      <c r="F979" s="11" t="s">
        <v>7</v>
      </c>
    </row>
    <row r="980" spans="1:6">
      <c r="A980" s="5" t="str">
        <f t="shared" si="17"/>
        <v>202303</v>
      </c>
      <c r="B980" s="5" t="str">
        <f>"23085012419"</f>
        <v>23085012419</v>
      </c>
      <c r="C980" s="6">
        <v>0</v>
      </c>
      <c r="D980" s="6">
        <v>0</v>
      </c>
      <c r="E980" s="6">
        <v>0</v>
      </c>
      <c r="F980" s="11" t="s">
        <v>7</v>
      </c>
    </row>
    <row r="981" spans="1:6">
      <c r="A981" s="5" t="str">
        <f t="shared" si="17"/>
        <v>202303</v>
      </c>
      <c r="B981" s="5" t="str">
        <f>"23085013102"</f>
        <v>23085013102</v>
      </c>
      <c r="C981" s="6">
        <v>0</v>
      </c>
      <c r="D981" s="6">
        <v>0</v>
      </c>
      <c r="E981" s="6">
        <v>0</v>
      </c>
      <c r="F981" s="11" t="s">
        <v>7</v>
      </c>
    </row>
    <row r="982" spans="1:6">
      <c r="A982" s="5" t="str">
        <f t="shared" si="17"/>
        <v>202303</v>
      </c>
      <c r="B982" s="5" t="str">
        <f>"23085013013"</f>
        <v>23085013013</v>
      </c>
      <c r="C982" s="6">
        <v>0</v>
      </c>
      <c r="D982" s="6">
        <v>0</v>
      </c>
      <c r="E982" s="6">
        <v>0</v>
      </c>
      <c r="F982" s="11" t="s">
        <v>7</v>
      </c>
    </row>
    <row r="983" spans="1:6">
      <c r="A983" s="5" t="str">
        <f t="shared" si="17"/>
        <v>202303</v>
      </c>
      <c r="B983" s="5" t="str">
        <f>"23085012707"</f>
        <v>23085012707</v>
      </c>
      <c r="C983" s="6">
        <v>0</v>
      </c>
      <c r="D983" s="6">
        <v>0</v>
      </c>
      <c r="E983" s="6">
        <v>0</v>
      </c>
      <c r="F983" s="11" t="s">
        <v>7</v>
      </c>
    </row>
    <row r="984" spans="1:6">
      <c r="A984" s="5" t="str">
        <f t="shared" si="17"/>
        <v>202303</v>
      </c>
      <c r="B984" s="5" t="str">
        <f>"23085013517"</f>
        <v>23085013517</v>
      </c>
      <c r="C984" s="6">
        <v>0</v>
      </c>
      <c r="D984" s="6">
        <v>0</v>
      </c>
      <c r="E984" s="6">
        <v>0</v>
      </c>
      <c r="F984" s="11" t="s">
        <v>7</v>
      </c>
    </row>
    <row r="985" spans="1:6">
      <c r="A985" s="5" t="str">
        <f t="shared" si="17"/>
        <v>202303</v>
      </c>
      <c r="B985" s="5" t="str">
        <f>"23085012904"</f>
        <v>23085012904</v>
      </c>
      <c r="C985" s="6">
        <v>0</v>
      </c>
      <c r="D985" s="6">
        <v>0</v>
      </c>
      <c r="E985" s="6">
        <v>0</v>
      </c>
      <c r="F985" s="11" t="s">
        <v>7</v>
      </c>
    </row>
    <row r="986" spans="1:6">
      <c r="A986" s="5" t="str">
        <f t="shared" si="17"/>
        <v>202303</v>
      </c>
      <c r="B986" s="5" t="str">
        <f>"23085012428"</f>
        <v>23085012428</v>
      </c>
      <c r="C986" s="6">
        <v>0</v>
      </c>
      <c r="D986" s="6">
        <v>0</v>
      </c>
      <c r="E986" s="6">
        <v>0</v>
      </c>
      <c r="F986" s="11" t="s">
        <v>7</v>
      </c>
    </row>
    <row r="987" spans="1:6">
      <c r="A987" s="5" t="str">
        <f t="shared" si="17"/>
        <v>202303</v>
      </c>
      <c r="B987" s="5" t="str">
        <f>"23085013519"</f>
        <v>23085013519</v>
      </c>
      <c r="C987" s="6">
        <v>0</v>
      </c>
      <c r="D987" s="6">
        <v>0</v>
      </c>
      <c r="E987" s="6">
        <v>0</v>
      </c>
      <c r="F987" s="11" t="s">
        <v>7</v>
      </c>
    </row>
    <row r="988" spans="1:6">
      <c r="A988" s="5" t="str">
        <f t="shared" si="17"/>
        <v>202303</v>
      </c>
      <c r="B988" s="5" t="str">
        <f>"23085013518"</f>
        <v>23085013518</v>
      </c>
      <c r="C988" s="6">
        <v>0</v>
      </c>
      <c r="D988" s="6">
        <v>0</v>
      </c>
      <c r="E988" s="6">
        <v>0</v>
      </c>
      <c r="F988" s="11" t="s">
        <v>7</v>
      </c>
    </row>
    <row r="989" spans="1:6">
      <c r="A989" s="5" t="str">
        <f t="shared" si="17"/>
        <v>202303</v>
      </c>
      <c r="B989" s="5" t="str">
        <f>"23085012620"</f>
        <v>23085012620</v>
      </c>
      <c r="C989" s="6">
        <v>0</v>
      </c>
      <c r="D989" s="6">
        <v>0</v>
      </c>
      <c r="E989" s="6">
        <v>0</v>
      </c>
      <c r="F989" s="11" t="s">
        <v>7</v>
      </c>
    </row>
    <row r="990" spans="1:6">
      <c r="A990" s="5" t="str">
        <f t="shared" si="17"/>
        <v>202303</v>
      </c>
      <c r="B990" s="5" t="str">
        <f>"23085012616"</f>
        <v>23085012616</v>
      </c>
      <c r="C990" s="6">
        <v>0</v>
      </c>
      <c r="D990" s="6">
        <v>0</v>
      </c>
      <c r="E990" s="6">
        <v>0</v>
      </c>
      <c r="F990" s="11" t="s">
        <v>7</v>
      </c>
    </row>
    <row r="991" spans="1:6">
      <c r="A991" s="5" t="str">
        <f t="shared" ref="A991:A1049" si="18">"202303"</f>
        <v>202303</v>
      </c>
      <c r="B991" s="5" t="str">
        <f>"23085013325"</f>
        <v>23085013325</v>
      </c>
      <c r="C991" s="6">
        <v>0</v>
      </c>
      <c r="D991" s="6">
        <v>0</v>
      </c>
      <c r="E991" s="6">
        <v>0</v>
      </c>
      <c r="F991" s="11" t="s">
        <v>7</v>
      </c>
    </row>
    <row r="992" spans="1:6">
      <c r="A992" s="5" t="str">
        <f t="shared" si="18"/>
        <v>202303</v>
      </c>
      <c r="B992" s="5" t="str">
        <f>"23085012901"</f>
        <v>23085012901</v>
      </c>
      <c r="C992" s="6">
        <v>0</v>
      </c>
      <c r="D992" s="6">
        <v>0</v>
      </c>
      <c r="E992" s="6">
        <v>0</v>
      </c>
      <c r="F992" s="11" t="s">
        <v>7</v>
      </c>
    </row>
    <row r="993" spans="1:6">
      <c r="A993" s="5" t="str">
        <f t="shared" si="18"/>
        <v>202303</v>
      </c>
      <c r="B993" s="5" t="str">
        <f>"23085012719"</f>
        <v>23085012719</v>
      </c>
      <c r="C993" s="6">
        <v>0</v>
      </c>
      <c r="D993" s="6">
        <v>0</v>
      </c>
      <c r="E993" s="6">
        <v>0</v>
      </c>
      <c r="F993" s="11" t="s">
        <v>7</v>
      </c>
    </row>
    <row r="994" spans="1:6">
      <c r="A994" s="5" t="str">
        <f t="shared" si="18"/>
        <v>202303</v>
      </c>
      <c r="B994" s="5" t="str">
        <f>"23085012522"</f>
        <v>23085012522</v>
      </c>
      <c r="C994" s="6">
        <v>0</v>
      </c>
      <c r="D994" s="6">
        <v>0</v>
      </c>
      <c r="E994" s="6">
        <v>0</v>
      </c>
      <c r="F994" s="11" t="s">
        <v>7</v>
      </c>
    </row>
    <row r="995" spans="1:6">
      <c r="A995" s="5" t="str">
        <f t="shared" si="18"/>
        <v>202303</v>
      </c>
      <c r="B995" s="5" t="str">
        <f>"23085012405"</f>
        <v>23085012405</v>
      </c>
      <c r="C995" s="6">
        <v>0</v>
      </c>
      <c r="D995" s="6">
        <v>0</v>
      </c>
      <c r="E995" s="6">
        <v>0</v>
      </c>
      <c r="F995" s="11" t="s">
        <v>7</v>
      </c>
    </row>
    <row r="996" spans="1:6">
      <c r="A996" s="5" t="str">
        <f t="shared" si="18"/>
        <v>202303</v>
      </c>
      <c r="B996" s="5" t="str">
        <f>"23085013525"</f>
        <v>23085013525</v>
      </c>
      <c r="C996" s="6">
        <v>0</v>
      </c>
      <c r="D996" s="6">
        <v>0</v>
      </c>
      <c r="E996" s="6">
        <v>0</v>
      </c>
      <c r="F996" s="11" t="s">
        <v>7</v>
      </c>
    </row>
    <row r="997" spans="1:6">
      <c r="A997" s="5" t="str">
        <f t="shared" si="18"/>
        <v>202303</v>
      </c>
      <c r="B997" s="5" t="str">
        <f>"23085012807"</f>
        <v>23085012807</v>
      </c>
      <c r="C997" s="6">
        <v>0</v>
      </c>
      <c r="D997" s="6">
        <v>0</v>
      </c>
      <c r="E997" s="6">
        <v>0</v>
      </c>
      <c r="F997" s="11" t="s">
        <v>7</v>
      </c>
    </row>
    <row r="998" spans="1:6">
      <c r="A998" s="5" t="str">
        <f t="shared" si="18"/>
        <v>202303</v>
      </c>
      <c r="B998" s="5" t="str">
        <f>"23085013218"</f>
        <v>23085013218</v>
      </c>
      <c r="C998" s="6">
        <v>0</v>
      </c>
      <c r="D998" s="6">
        <v>0</v>
      </c>
      <c r="E998" s="6">
        <v>0</v>
      </c>
      <c r="F998" s="11" t="s">
        <v>7</v>
      </c>
    </row>
    <row r="999" spans="1:6">
      <c r="A999" s="5" t="str">
        <f t="shared" si="18"/>
        <v>202303</v>
      </c>
      <c r="B999" s="5" t="str">
        <f>"23085013117"</f>
        <v>23085013117</v>
      </c>
      <c r="C999" s="6">
        <v>0</v>
      </c>
      <c r="D999" s="6">
        <v>0</v>
      </c>
      <c r="E999" s="6">
        <v>0</v>
      </c>
      <c r="F999" s="11" t="s">
        <v>7</v>
      </c>
    </row>
    <row r="1000" spans="1:6">
      <c r="A1000" s="5" t="str">
        <f t="shared" si="18"/>
        <v>202303</v>
      </c>
      <c r="B1000" s="5" t="str">
        <f>"23085012524"</f>
        <v>23085012524</v>
      </c>
      <c r="C1000" s="6">
        <v>0</v>
      </c>
      <c r="D1000" s="6">
        <v>0</v>
      </c>
      <c r="E1000" s="6">
        <v>0</v>
      </c>
      <c r="F1000" s="11" t="s">
        <v>7</v>
      </c>
    </row>
    <row r="1001" spans="1:6">
      <c r="A1001" s="5" t="str">
        <f t="shared" si="18"/>
        <v>202303</v>
      </c>
      <c r="B1001" s="5" t="str">
        <f>"23085012612"</f>
        <v>23085012612</v>
      </c>
      <c r="C1001" s="6">
        <v>0</v>
      </c>
      <c r="D1001" s="6">
        <v>0</v>
      </c>
      <c r="E1001" s="6">
        <v>0</v>
      </c>
      <c r="F1001" s="11" t="s">
        <v>7</v>
      </c>
    </row>
    <row r="1002" spans="1:6">
      <c r="A1002" s="5" t="str">
        <f t="shared" si="18"/>
        <v>202303</v>
      </c>
      <c r="B1002" s="5" t="str">
        <f>"23085012504"</f>
        <v>23085012504</v>
      </c>
      <c r="C1002" s="6">
        <v>0</v>
      </c>
      <c r="D1002" s="6">
        <v>0</v>
      </c>
      <c r="E1002" s="6">
        <v>0</v>
      </c>
      <c r="F1002" s="11" t="s">
        <v>7</v>
      </c>
    </row>
    <row r="1003" spans="1:6">
      <c r="A1003" s="5" t="str">
        <f t="shared" si="18"/>
        <v>202303</v>
      </c>
      <c r="B1003" s="5" t="str">
        <f>"23085013330"</f>
        <v>23085013330</v>
      </c>
      <c r="C1003" s="6">
        <v>0</v>
      </c>
      <c r="D1003" s="6">
        <v>0</v>
      </c>
      <c r="E1003" s="6">
        <v>0</v>
      </c>
      <c r="F1003" s="11" t="s">
        <v>7</v>
      </c>
    </row>
    <row r="1004" spans="1:6">
      <c r="A1004" s="5" t="str">
        <f t="shared" si="18"/>
        <v>202303</v>
      </c>
      <c r="B1004" s="5" t="str">
        <f>"23085013010"</f>
        <v>23085013010</v>
      </c>
      <c r="C1004" s="6">
        <v>0</v>
      </c>
      <c r="D1004" s="6">
        <v>0</v>
      </c>
      <c r="E1004" s="6">
        <v>0</v>
      </c>
      <c r="F1004" s="11" t="s">
        <v>7</v>
      </c>
    </row>
    <row r="1005" spans="1:6">
      <c r="A1005" s="5" t="str">
        <f t="shared" si="18"/>
        <v>202303</v>
      </c>
      <c r="B1005" s="5" t="str">
        <f>"23085013423"</f>
        <v>23085013423</v>
      </c>
      <c r="C1005" s="6">
        <v>0</v>
      </c>
      <c r="D1005" s="6">
        <v>0</v>
      </c>
      <c r="E1005" s="6">
        <v>0</v>
      </c>
      <c r="F1005" s="11" t="s">
        <v>7</v>
      </c>
    </row>
    <row r="1006" spans="1:6">
      <c r="A1006" s="5" t="str">
        <f t="shared" si="18"/>
        <v>202303</v>
      </c>
      <c r="B1006" s="5" t="str">
        <f>"23085013110"</f>
        <v>23085013110</v>
      </c>
      <c r="C1006" s="6">
        <v>0</v>
      </c>
      <c r="D1006" s="6">
        <v>0</v>
      </c>
      <c r="E1006" s="6">
        <v>0</v>
      </c>
      <c r="F1006" s="11" t="s">
        <v>7</v>
      </c>
    </row>
    <row r="1007" spans="1:6">
      <c r="A1007" s="5" t="str">
        <f t="shared" si="18"/>
        <v>202303</v>
      </c>
      <c r="B1007" s="5" t="str">
        <f>"23085012408"</f>
        <v>23085012408</v>
      </c>
      <c r="C1007" s="6">
        <v>0</v>
      </c>
      <c r="D1007" s="6">
        <v>0</v>
      </c>
      <c r="E1007" s="6">
        <v>0</v>
      </c>
      <c r="F1007" s="11" t="s">
        <v>7</v>
      </c>
    </row>
    <row r="1008" spans="1:6">
      <c r="A1008" s="5" t="str">
        <f t="shared" si="18"/>
        <v>202303</v>
      </c>
      <c r="B1008" s="5" t="str">
        <f>"23085012725"</f>
        <v>23085012725</v>
      </c>
      <c r="C1008" s="6">
        <v>0</v>
      </c>
      <c r="D1008" s="6">
        <v>0</v>
      </c>
      <c r="E1008" s="6">
        <v>0</v>
      </c>
      <c r="F1008" s="11" t="s">
        <v>7</v>
      </c>
    </row>
    <row r="1009" spans="1:6">
      <c r="A1009" s="5" t="str">
        <f t="shared" si="18"/>
        <v>202303</v>
      </c>
      <c r="B1009" s="5" t="str">
        <f>"23085013114"</f>
        <v>23085013114</v>
      </c>
      <c r="C1009" s="6">
        <v>0</v>
      </c>
      <c r="D1009" s="6">
        <v>0</v>
      </c>
      <c r="E1009" s="6">
        <v>0</v>
      </c>
      <c r="F1009" s="11" t="s">
        <v>7</v>
      </c>
    </row>
    <row r="1010" spans="1:6">
      <c r="A1010" s="5" t="str">
        <f t="shared" si="18"/>
        <v>202303</v>
      </c>
      <c r="B1010" s="5" t="str">
        <f>"23085013430"</f>
        <v>23085013430</v>
      </c>
      <c r="C1010" s="6">
        <v>0</v>
      </c>
      <c r="D1010" s="6">
        <v>0</v>
      </c>
      <c r="E1010" s="6">
        <v>0</v>
      </c>
      <c r="F1010" s="11" t="s">
        <v>7</v>
      </c>
    </row>
    <row r="1011" spans="1:6">
      <c r="A1011" s="5" t="str">
        <f t="shared" si="18"/>
        <v>202303</v>
      </c>
      <c r="B1011" s="5" t="str">
        <f>"23085013202"</f>
        <v>23085013202</v>
      </c>
      <c r="C1011" s="6">
        <v>0</v>
      </c>
      <c r="D1011" s="6">
        <v>0</v>
      </c>
      <c r="E1011" s="6">
        <v>0</v>
      </c>
      <c r="F1011" s="11" t="s">
        <v>7</v>
      </c>
    </row>
    <row r="1012" spans="1:6">
      <c r="A1012" s="5" t="str">
        <f t="shared" si="18"/>
        <v>202303</v>
      </c>
      <c r="B1012" s="5" t="str">
        <f>"23085012305"</f>
        <v>23085012305</v>
      </c>
      <c r="C1012" s="6">
        <v>0</v>
      </c>
      <c r="D1012" s="6">
        <v>0</v>
      </c>
      <c r="E1012" s="6">
        <v>0</v>
      </c>
      <c r="F1012" s="11" t="s">
        <v>7</v>
      </c>
    </row>
    <row r="1013" spans="1:6">
      <c r="A1013" s="5" t="str">
        <f t="shared" si="18"/>
        <v>202303</v>
      </c>
      <c r="B1013" s="5" t="str">
        <f>"23085012118"</f>
        <v>23085012118</v>
      </c>
      <c r="C1013" s="6">
        <v>0</v>
      </c>
      <c r="D1013" s="6">
        <v>0</v>
      </c>
      <c r="E1013" s="6">
        <v>0</v>
      </c>
      <c r="F1013" s="11" t="s">
        <v>7</v>
      </c>
    </row>
    <row r="1014" spans="1:6">
      <c r="A1014" s="5" t="str">
        <f t="shared" si="18"/>
        <v>202303</v>
      </c>
      <c r="B1014" s="5" t="str">
        <f>"23085013109"</f>
        <v>23085013109</v>
      </c>
      <c r="C1014" s="6">
        <v>0</v>
      </c>
      <c r="D1014" s="6">
        <v>0</v>
      </c>
      <c r="E1014" s="6">
        <v>0</v>
      </c>
      <c r="F1014" s="11" t="s">
        <v>7</v>
      </c>
    </row>
    <row r="1015" spans="1:6">
      <c r="A1015" s="5" t="str">
        <f t="shared" si="18"/>
        <v>202303</v>
      </c>
      <c r="B1015" s="5" t="str">
        <f>"23085012820"</f>
        <v>23085012820</v>
      </c>
      <c r="C1015" s="6">
        <v>0</v>
      </c>
      <c r="D1015" s="6">
        <v>0</v>
      </c>
      <c r="E1015" s="6">
        <v>0</v>
      </c>
      <c r="F1015" s="11" t="s">
        <v>7</v>
      </c>
    </row>
    <row r="1016" spans="1:6">
      <c r="A1016" s="5" t="str">
        <f t="shared" si="18"/>
        <v>202303</v>
      </c>
      <c r="B1016" s="5" t="str">
        <f>"23085013221"</f>
        <v>23085013221</v>
      </c>
      <c r="C1016" s="6">
        <v>0</v>
      </c>
      <c r="D1016" s="6">
        <v>0</v>
      </c>
      <c r="E1016" s="6">
        <v>0</v>
      </c>
      <c r="F1016" s="11" t="s">
        <v>7</v>
      </c>
    </row>
    <row r="1017" spans="1:6">
      <c r="A1017" s="5" t="str">
        <f t="shared" si="18"/>
        <v>202303</v>
      </c>
      <c r="B1017" s="5" t="str">
        <f>"23085012607"</f>
        <v>23085012607</v>
      </c>
      <c r="C1017" s="6">
        <v>0</v>
      </c>
      <c r="D1017" s="6">
        <v>0</v>
      </c>
      <c r="E1017" s="6">
        <v>0</v>
      </c>
      <c r="F1017" s="11" t="s">
        <v>7</v>
      </c>
    </row>
    <row r="1018" spans="1:6">
      <c r="A1018" s="5" t="str">
        <f t="shared" si="18"/>
        <v>202303</v>
      </c>
      <c r="B1018" s="5" t="str">
        <f>"23085013002"</f>
        <v>23085013002</v>
      </c>
      <c r="C1018" s="6">
        <v>0</v>
      </c>
      <c r="D1018" s="6">
        <v>0</v>
      </c>
      <c r="E1018" s="6">
        <v>0</v>
      </c>
      <c r="F1018" s="11" t="s">
        <v>7</v>
      </c>
    </row>
    <row r="1019" spans="1:6">
      <c r="A1019" s="5" t="str">
        <f t="shared" si="18"/>
        <v>202303</v>
      </c>
      <c r="B1019" s="5" t="str">
        <f>"23085013506"</f>
        <v>23085013506</v>
      </c>
      <c r="C1019" s="6">
        <v>0</v>
      </c>
      <c r="D1019" s="6">
        <v>0</v>
      </c>
      <c r="E1019" s="6">
        <v>0</v>
      </c>
      <c r="F1019" s="11" t="s">
        <v>7</v>
      </c>
    </row>
    <row r="1020" spans="1:6">
      <c r="A1020" s="5" t="str">
        <f t="shared" si="18"/>
        <v>202303</v>
      </c>
      <c r="B1020" s="5" t="str">
        <f>"23085013304"</f>
        <v>23085013304</v>
      </c>
      <c r="C1020" s="6">
        <v>0</v>
      </c>
      <c r="D1020" s="6">
        <v>0</v>
      </c>
      <c r="E1020" s="6">
        <v>0</v>
      </c>
      <c r="F1020" s="11" t="s">
        <v>7</v>
      </c>
    </row>
    <row r="1021" spans="1:6">
      <c r="A1021" s="5" t="str">
        <f t="shared" si="18"/>
        <v>202303</v>
      </c>
      <c r="B1021" s="5" t="str">
        <f>"23085012212"</f>
        <v>23085012212</v>
      </c>
      <c r="C1021" s="6">
        <v>0</v>
      </c>
      <c r="D1021" s="6">
        <v>0</v>
      </c>
      <c r="E1021" s="6">
        <v>0</v>
      </c>
      <c r="F1021" s="11" t="s">
        <v>7</v>
      </c>
    </row>
    <row r="1022" spans="1:6">
      <c r="A1022" s="5" t="str">
        <f t="shared" si="18"/>
        <v>202303</v>
      </c>
      <c r="B1022" s="5" t="str">
        <f>"23085013526"</f>
        <v>23085013526</v>
      </c>
      <c r="C1022" s="6">
        <v>0</v>
      </c>
      <c r="D1022" s="6">
        <v>0</v>
      </c>
      <c r="E1022" s="6">
        <v>0</v>
      </c>
      <c r="F1022" s="11" t="s">
        <v>7</v>
      </c>
    </row>
    <row r="1023" spans="1:6">
      <c r="A1023" s="5" t="str">
        <f t="shared" si="18"/>
        <v>202303</v>
      </c>
      <c r="B1023" s="5" t="str">
        <f>"23085012312"</f>
        <v>23085012312</v>
      </c>
      <c r="C1023" s="6">
        <v>0</v>
      </c>
      <c r="D1023" s="6">
        <v>0</v>
      </c>
      <c r="E1023" s="6">
        <v>0</v>
      </c>
      <c r="F1023" s="11" t="s">
        <v>7</v>
      </c>
    </row>
    <row r="1024" spans="1:6">
      <c r="A1024" s="5" t="str">
        <f t="shared" si="18"/>
        <v>202303</v>
      </c>
      <c r="B1024" s="5" t="str">
        <f>"23085012606"</f>
        <v>23085012606</v>
      </c>
      <c r="C1024" s="6">
        <v>0</v>
      </c>
      <c r="D1024" s="6">
        <v>0</v>
      </c>
      <c r="E1024" s="6">
        <v>0</v>
      </c>
      <c r="F1024" s="11" t="s">
        <v>7</v>
      </c>
    </row>
    <row r="1025" spans="1:6">
      <c r="A1025" s="5" t="str">
        <f t="shared" si="18"/>
        <v>202303</v>
      </c>
      <c r="B1025" s="5" t="str">
        <f>"23085012516"</f>
        <v>23085012516</v>
      </c>
      <c r="C1025" s="6">
        <v>0</v>
      </c>
      <c r="D1025" s="6">
        <v>0</v>
      </c>
      <c r="E1025" s="6">
        <v>0</v>
      </c>
      <c r="F1025" s="11" t="s">
        <v>7</v>
      </c>
    </row>
    <row r="1026" spans="1:6">
      <c r="A1026" s="5" t="str">
        <f t="shared" si="18"/>
        <v>202303</v>
      </c>
      <c r="B1026" s="5" t="str">
        <f>"23085013126"</f>
        <v>23085013126</v>
      </c>
      <c r="C1026" s="6">
        <v>0</v>
      </c>
      <c r="D1026" s="6">
        <v>0</v>
      </c>
      <c r="E1026" s="6">
        <v>0</v>
      </c>
      <c r="F1026" s="11" t="s">
        <v>7</v>
      </c>
    </row>
    <row r="1027" spans="1:6">
      <c r="A1027" s="5" t="str">
        <f t="shared" si="18"/>
        <v>202303</v>
      </c>
      <c r="B1027" s="5" t="str">
        <f>"23085013406"</f>
        <v>23085013406</v>
      </c>
      <c r="C1027" s="6">
        <v>0</v>
      </c>
      <c r="D1027" s="6">
        <v>0</v>
      </c>
      <c r="E1027" s="6">
        <v>0</v>
      </c>
      <c r="F1027" s="11" t="s">
        <v>7</v>
      </c>
    </row>
    <row r="1028" spans="1:6">
      <c r="A1028" s="5" t="str">
        <f t="shared" si="18"/>
        <v>202303</v>
      </c>
      <c r="B1028" s="5" t="str">
        <f>"23085012916"</f>
        <v>23085012916</v>
      </c>
      <c r="C1028" s="6">
        <v>0</v>
      </c>
      <c r="D1028" s="6">
        <v>0</v>
      </c>
      <c r="E1028" s="6">
        <v>0</v>
      </c>
      <c r="F1028" s="11" t="s">
        <v>7</v>
      </c>
    </row>
    <row r="1029" spans="1:6">
      <c r="A1029" s="5" t="str">
        <f t="shared" si="18"/>
        <v>202303</v>
      </c>
      <c r="B1029" s="5" t="str">
        <f>"23085012219"</f>
        <v>23085012219</v>
      </c>
      <c r="C1029" s="6">
        <v>0</v>
      </c>
      <c r="D1029" s="6">
        <v>0</v>
      </c>
      <c r="E1029" s="6">
        <v>0</v>
      </c>
      <c r="F1029" s="11" t="s">
        <v>7</v>
      </c>
    </row>
    <row r="1030" spans="1:6">
      <c r="A1030" s="5" t="str">
        <f t="shared" si="18"/>
        <v>202303</v>
      </c>
      <c r="B1030" s="5" t="str">
        <f>"23085012929"</f>
        <v>23085012929</v>
      </c>
      <c r="C1030" s="6">
        <v>0</v>
      </c>
      <c r="D1030" s="6">
        <v>0</v>
      </c>
      <c r="E1030" s="6">
        <v>0</v>
      </c>
      <c r="F1030" s="11" t="s">
        <v>7</v>
      </c>
    </row>
    <row r="1031" spans="1:6">
      <c r="A1031" s="5" t="str">
        <f t="shared" si="18"/>
        <v>202303</v>
      </c>
      <c r="B1031" s="5" t="str">
        <f>"23085012802"</f>
        <v>23085012802</v>
      </c>
      <c r="C1031" s="6">
        <v>0</v>
      </c>
      <c r="D1031" s="6">
        <v>0</v>
      </c>
      <c r="E1031" s="6">
        <v>0</v>
      </c>
      <c r="F1031" s="11" t="s">
        <v>7</v>
      </c>
    </row>
    <row r="1032" spans="1:6">
      <c r="A1032" s="5" t="str">
        <f t="shared" si="18"/>
        <v>202303</v>
      </c>
      <c r="B1032" s="5" t="str">
        <f>"23085013016"</f>
        <v>23085013016</v>
      </c>
      <c r="C1032" s="6">
        <v>0</v>
      </c>
      <c r="D1032" s="6">
        <v>0</v>
      </c>
      <c r="E1032" s="6">
        <v>0</v>
      </c>
      <c r="F1032" s="11" t="s">
        <v>7</v>
      </c>
    </row>
    <row r="1033" spans="1:6">
      <c r="A1033" s="5" t="str">
        <f t="shared" si="18"/>
        <v>202303</v>
      </c>
      <c r="B1033" s="5" t="str">
        <f>"23085012409"</f>
        <v>23085012409</v>
      </c>
      <c r="C1033" s="6">
        <v>0</v>
      </c>
      <c r="D1033" s="6">
        <v>0</v>
      </c>
      <c r="E1033" s="6">
        <v>0</v>
      </c>
      <c r="F1033" s="11" t="s">
        <v>7</v>
      </c>
    </row>
    <row r="1034" spans="1:6">
      <c r="A1034" s="5" t="str">
        <f t="shared" si="18"/>
        <v>202303</v>
      </c>
      <c r="B1034" s="5" t="str">
        <f>"23085012926"</f>
        <v>23085012926</v>
      </c>
      <c r="C1034" s="6">
        <v>0</v>
      </c>
      <c r="D1034" s="6">
        <v>0</v>
      </c>
      <c r="E1034" s="6">
        <v>0</v>
      </c>
      <c r="F1034" s="11" t="s">
        <v>7</v>
      </c>
    </row>
    <row r="1035" spans="1:6">
      <c r="A1035" s="5" t="str">
        <f t="shared" si="18"/>
        <v>202303</v>
      </c>
      <c r="B1035" s="5" t="str">
        <f>"23085012421"</f>
        <v>23085012421</v>
      </c>
      <c r="C1035" s="6">
        <v>0</v>
      </c>
      <c r="D1035" s="6">
        <v>0</v>
      </c>
      <c r="E1035" s="6">
        <v>0</v>
      </c>
      <c r="F1035" s="11" t="s">
        <v>7</v>
      </c>
    </row>
    <row r="1036" spans="1:6">
      <c r="A1036" s="5" t="str">
        <f t="shared" si="18"/>
        <v>202303</v>
      </c>
      <c r="B1036" s="5" t="str">
        <f>"23085012924"</f>
        <v>23085012924</v>
      </c>
      <c r="C1036" s="6">
        <v>0</v>
      </c>
      <c r="D1036" s="6">
        <v>0</v>
      </c>
      <c r="E1036" s="6">
        <v>0</v>
      </c>
      <c r="F1036" s="11" t="s">
        <v>7</v>
      </c>
    </row>
    <row r="1037" spans="1:6">
      <c r="A1037" s="5" t="str">
        <f t="shared" si="18"/>
        <v>202303</v>
      </c>
      <c r="B1037" s="5" t="str">
        <f>"23085013015"</f>
        <v>23085013015</v>
      </c>
      <c r="C1037" s="6">
        <v>0</v>
      </c>
      <c r="D1037" s="6">
        <v>0</v>
      </c>
      <c r="E1037" s="6">
        <v>0</v>
      </c>
      <c r="F1037" s="11" t="s">
        <v>7</v>
      </c>
    </row>
    <row r="1038" spans="1:6">
      <c r="A1038" s="5" t="str">
        <f t="shared" si="18"/>
        <v>202303</v>
      </c>
      <c r="B1038" s="5" t="str">
        <f>"23085013125"</f>
        <v>23085013125</v>
      </c>
      <c r="C1038" s="6">
        <v>0</v>
      </c>
      <c r="D1038" s="6">
        <v>0</v>
      </c>
      <c r="E1038" s="6">
        <v>0</v>
      </c>
      <c r="F1038" s="11" t="s">
        <v>7</v>
      </c>
    </row>
    <row r="1039" spans="1:6">
      <c r="A1039" s="5" t="str">
        <f t="shared" si="18"/>
        <v>202303</v>
      </c>
      <c r="B1039" s="5" t="str">
        <f>"23085012415"</f>
        <v>23085012415</v>
      </c>
      <c r="C1039" s="6">
        <v>0</v>
      </c>
      <c r="D1039" s="6">
        <v>0</v>
      </c>
      <c r="E1039" s="6">
        <v>0</v>
      </c>
      <c r="F1039" s="11" t="s">
        <v>7</v>
      </c>
    </row>
    <row r="1040" spans="1:6">
      <c r="A1040" s="5" t="str">
        <f t="shared" si="18"/>
        <v>202303</v>
      </c>
      <c r="B1040" s="5" t="str">
        <f>"23085013229"</f>
        <v>23085013229</v>
      </c>
      <c r="C1040" s="6">
        <v>0</v>
      </c>
      <c r="D1040" s="6">
        <v>0</v>
      </c>
      <c r="E1040" s="6">
        <v>0</v>
      </c>
      <c r="F1040" s="11" t="s">
        <v>7</v>
      </c>
    </row>
    <row r="1041" spans="1:6">
      <c r="A1041" s="5" t="str">
        <f t="shared" si="18"/>
        <v>202303</v>
      </c>
      <c r="B1041" s="5" t="str">
        <f>"23085013219"</f>
        <v>23085013219</v>
      </c>
      <c r="C1041" s="6">
        <v>0</v>
      </c>
      <c r="D1041" s="6">
        <v>0</v>
      </c>
      <c r="E1041" s="6">
        <v>0</v>
      </c>
      <c r="F1041" s="11" t="s">
        <v>7</v>
      </c>
    </row>
    <row r="1042" spans="1:6">
      <c r="A1042" s="5" t="str">
        <f t="shared" si="18"/>
        <v>202303</v>
      </c>
      <c r="B1042" s="5" t="str">
        <f>"23085012316"</f>
        <v>23085012316</v>
      </c>
      <c r="C1042" s="6">
        <v>0</v>
      </c>
      <c r="D1042" s="6">
        <v>0</v>
      </c>
      <c r="E1042" s="6">
        <v>0</v>
      </c>
      <c r="F1042" s="11" t="s">
        <v>7</v>
      </c>
    </row>
    <row r="1043" spans="1:6">
      <c r="A1043" s="5" t="str">
        <f t="shared" si="18"/>
        <v>202303</v>
      </c>
      <c r="B1043" s="5" t="str">
        <f>"23085013422"</f>
        <v>23085013422</v>
      </c>
      <c r="C1043" s="6">
        <v>0</v>
      </c>
      <c r="D1043" s="6">
        <v>0</v>
      </c>
      <c r="E1043" s="6">
        <v>0</v>
      </c>
      <c r="F1043" s="11" t="s">
        <v>7</v>
      </c>
    </row>
    <row r="1044" spans="1:6">
      <c r="A1044" s="5" t="str">
        <f t="shared" si="18"/>
        <v>202303</v>
      </c>
      <c r="B1044" s="5" t="str">
        <f>"23085012723"</f>
        <v>23085012723</v>
      </c>
      <c r="C1044" s="6">
        <v>0</v>
      </c>
      <c r="D1044" s="6">
        <v>0</v>
      </c>
      <c r="E1044" s="6">
        <v>0</v>
      </c>
      <c r="F1044" s="11" t="s">
        <v>7</v>
      </c>
    </row>
    <row r="1045" spans="1:6">
      <c r="A1045" s="5" t="str">
        <f t="shared" si="18"/>
        <v>202303</v>
      </c>
      <c r="B1045" s="5" t="str">
        <f>"23085012906"</f>
        <v>23085012906</v>
      </c>
      <c r="C1045" s="6">
        <v>0</v>
      </c>
      <c r="D1045" s="6">
        <v>0</v>
      </c>
      <c r="E1045" s="6">
        <v>0</v>
      </c>
      <c r="F1045" s="11" t="s">
        <v>7</v>
      </c>
    </row>
    <row r="1046" spans="1:6">
      <c r="A1046" s="5" t="str">
        <f t="shared" si="18"/>
        <v>202303</v>
      </c>
      <c r="B1046" s="5" t="str">
        <f>"23085012410"</f>
        <v>23085012410</v>
      </c>
      <c r="C1046" s="6">
        <v>0</v>
      </c>
      <c r="D1046" s="6">
        <v>0</v>
      </c>
      <c r="E1046" s="6">
        <v>0</v>
      </c>
      <c r="F1046" s="11" t="s">
        <v>7</v>
      </c>
    </row>
    <row r="1047" spans="1:6">
      <c r="A1047" s="5" t="str">
        <f t="shared" si="18"/>
        <v>202303</v>
      </c>
      <c r="B1047" s="5" t="str">
        <f>"23085012221"</f>
        <v>23085012221</v>
      </c>
      <c r="C1047" s="6">
        <v>0</v>
      </c>
      <c r="D1047" s="6">
        <v>0</v>
      </c>
      <c r="E1047" s="6">
        <v>0</v>
      </c>
      <c r="F1047" s="11" t="s">
        <v>7</v>
      </c>
    </row>
    <row r="1048" spans="1:6">
      <c r="A1048" s="5" t="str">
        <f t="shared" si="18"/>
        <v>202303</v>
      </c>
      <c r="B1048" s="5" t="str">
        <f>"23085012314"</f>
        <v>23085012314</v>
      </c>
      <c r="C1048" s="6">
        <v>0</v>
      </c>
      <c r="D1048" s="6">
        <v>0</v>
      </c>
      <c r="E1048" s="6">
        <v>0</v>
      </c>
      <c r="F1048" s="11" t="s">
        <v>7</v>
      </c>
    </row>
    <row r="1049" spans="1:6">
      <c r="A1049" s="5" t="str">
        <f t="shared" si="18"/>
        <v>202303</v>
      </c>
      <c r="B1049" s="5" t="str">
        <f>"23085013501"</f>
        <v>23085013501</v>
      </c>
      <c r="C1049" s="6">
        <v>0</v>
      </c>
      <c r="D1049" s="6">
        <v>0</v>
      </c>
      <c r="E1049" s="6">
        <v>0</v>
      </c>
      <c r="F1049" s="11" t="s">
        <v>7</v>
      </c>
    </row>
    <row r="1050" spans="1:6">
      <c r="A1050" s="5" t="str">
        <f t="shared" ref="A1050:A1113" si="19">"202304"</f>
        <v>202304</v>
      </c>
      <c r="B1050" s="5" t="str">
        <f>"23085013804"</f>
        <v>23085013804</v>
      </c>
      <c r="C1050" s="6">
        <v>127.5</v>
      </c>
      <c r="D1050" s="6">
        <v>116</v>
      </c>
      <c r="E1050" s="6">
        <v>243.5</v>
      </c>
      <c r="F1050" s="11"/>
    </row>
    <row r="1051" spans="1:6">
      <c r="A1051" s="5" t="str">
        <f t="shared" si="19"/>
        <v>202304</v>
      </c>
      <c r="B1051" s="5" t="str">
        <f>"23085013711"</f>
        <v>23085013711</v>
      </c>
      <c r="C1051" s="6">
        <v>112.5</v>
      </c>
      <c r="D1051" s="6">
        <v>124.5</v>
      </c>
      <c r="E1051" s="6">
        <v>237</v>
      </c>
      <c r="F1051" s="11"/>
    </row>
    <row r="1052" spans="1:6">
      <c r="A1052" s="5" t="str">
        <f t="shared" si="19"/>
        <v>202304</v>
      </c>
      <c r="B1052" s="5" t="str">
        <f>"23085013601"</f>
        <v>23085013601</v>
      </c>
      <c r="C1052" s="6">
        <v>115.5</v>
      </c>
      <c r="D1052" s="6">
        <v>119</v>
      </c>
      <c r="E1052" s="6">
        <v>234.5</v>
      </c>
      <c r="F1052" s="11"/>
    </row>
    <row r="1053" spans="1:6">
      <c r="A1053" s="5" t="str">
        <f t="shared" si="19"/>
        <v>202304</v>
      </c>
      <c r="B1053" s="5" t="str">
        <f>"23085013723"</f>
        <v>23085013723</v>
      </c>
      <c r="C1053" s="6">
        <v>117</v>
      </c>
      <c r="D1053" s="6">
        <v>117.5</v>
      </c>
      <c r="E1053" s="6">
        <v>234.5</v>
      </c>
      <c r="F1053" s="11"/>
    </row>
    <row r="1054" spans="1:6">
      <c r="A1054" s="5" t="str">
        <f t="shared" si="19"/>
        <v>202304</v>
      </c>
      <c r="B1054" s="5" t="str">
        <f>"23085013820"</f>
        <v>23085013820</v>
      </c>
      <c r="C1054" s="6">
        <v>108</v>
      </c>
      <c r="D1054" s="6">
        <v>124</v>
      </c>
      <c r="E1054" s="6">
        <v>232</v>
      </c>
      <c r="F1054" s="11"/>
    </row>
    <row r="1055" spans="1:6">
      <c r="A1055" s="5" t="str">
        <f t="shared" si="19"/>
        <v>202304</v>
      </c>
      <c r="B1055" s="5" t="str">
        <f>"23085013528"</f>
        <v>23085013528</v>
      </c>
      <c r="C1055" s="6">
        <v>115.5</v>
      </c>
      <c r="D1055" s="6">
        <v>114.5</v>
      </c>
      <c r="E1055" s="6">
        <v>230</v>
      </c>
      <c r="F1055" s="11"/>
    </row>
    <row r="1056" spans="1:6">
      <c r="A1056" s="5" t="str">
        <f t="shared" si="19"/>
        <v>202304</v>
      </c>
      <c r="B1056" s="5" t="str">
        <f>"23085013707"</f>
        <v>23085013707</v>
      </c>
      <c r="C1056" s="6">
        <v>108</v>
      </c>
      <c r="D1056" s="6">
        <v>119</v>
      </c>
      <c r="E1056" s="6">
        <v>227</v>
      </c>
      <c r="F1056" s="11"/>
    </row>
    <row r="1057" spans="1:6">
      <c r="A1057" s="5" t="str">
        <f t="shared" si="19"/>
        <v>202304</v>
      </c>
      <c r="B1057" s="5" t="str">
        <f>"23085013904"</f>
        <v>23085013904</v>
      </c>
      <c r="C1057" s="6">
        <v>111</v>
      </c>
      <c r="D1057" s="6">
        <v>116</v>
      </c>
      <c r="E1057" s="6">
        <v>227</v>
      </c>
      <c r="F1057" s="11"/>
    </row>
    <row r="1058" spans="1:6">
      <c r="A1058" s="5" t="str">
        <f t="shared" si="19"/>
        <v>202304</v>
      </c>
      <c r="B1058" s="5" t="str">
        <f>"23085013912"</f>
        <v>23085013912</v>
      </c>
      <c r="C1058" s="6">
        <v>109.5</v>
      </c>
      <c r="D1058" s="6">
        <v>116</v>
      </c>
      <c r="E1058" s="6">
        <v>225.5</v>
      </c>
      <c r="F1058" s="11"/>
    </row>
    <row r="1059" spans="1:6">
      <c r="A1059" s="5" t="str">
        <f t="shared" si="19"/>
        <v>202304</v>
      </c>
      <c r="B1059" s="5" t="str">
        <f>"23085013613"</f>
        <v>23085013613</v>
      </c>
      <c r="C1059" s="6">
        <v>111</v>
      </c>
      <c r="D1059" s="6">
        <v>114.5</v>
      </c>
      <c r="E1059" s="6">
        <v>225.5</v>
      </c>
      <c r="F1059" s="11"/>
    </row>
    <row r="1060" spans="1:6">
      <c r="A1060" s="5" t="str">
        <f t="shared" si="19"/>
        <v>202304</v>
      </c>
      <c r="B1060" s="5" t="str">
        <f>"23085013705"</f>
        <v>23085013705</v>
      </c>
      <c r="C1060" s="6">
        <v>106.5</v>
      </c>
      <c r="D1060" s="6">
        <v>118</v>
      </c>
      <c r="E1060" s="6">
        <v>224.5</v>
      </c>
      <c r="F1060" s="11"/>
    </row>
    <row r="1061" spans="1:6">
      <c r="A1061" s="5" t="str">
        <f t="shared" si="19"/>
        <v>202304</v>
      </c>
      <c r="B1061" s="5" t="str">
        <f>"23085013908"</f>
        <v>23085013908</v>
      </c>
      <c r="C1061" s="6">
        <v>106.5</v>
      </c>
      <c r="D1061" s="6">
        <v>117.5</v>
      </c>
      <c r="E1061" s="6">
        <v>224</v>
      </c>
      <c r="F1061" s="11"/>
    </row>
    <row r="1062" spans="1:6">
      <c r="A1062" s="5" t="str">
        <f t="shared" si="19"/>
        <v>202304</v>
      </c>
      <c r="B1062" s="5" t="str">
        <f>"23085013905"</f>
        <v>23085013905</v>
      </c>
      <c r="C1062" s="6">
        <v>115.5</v>
      </c>
      <c r="D1062" s="6">
        <v>108</v>
      </c>
      <c r="E1062" s="6">
        <v>223.5</v>
      </c>
      <c r="F1062" s="11"/>
    </row>
    <row r="1063" spans="1:6">
      <c r="A1063" s="5" t="str">
        <f t="shared" si="19"/>
        <v>202304</v>
      </c>
      <c r="B1063" s="5" t="str">
        <f>"23085013617"</f>
        <v>23085013617</v>
      </c>
      <c r="C1063" s="6">
        <v>109.5</v>
      </c>
      <c r="D1063" s="6">
        <v>113.5</v>
      </c>
      <c r="E1063" s="6">
        <v>223</v>
      </c>
      <c r="F1063" s="11"/>
    </row>
    <row r="1064" spans="1:6">
      <c r="A1064" s="5" t="str">
        <f t="shared" si="19"/>
        <v>202304</v>
      </c>
      <c r="B1064" s="5" t="str">
        <f>"23085013806"</f>
        <v>23085013806</v>
      </c>
      <c r="C1064" s="6">
        <v>106.5</v>
      </c>
      <c r="D1064" s="6">
        <v>116</v>
      </c>
      <c r="E1064" s="6">
        <v>222.5</v>
      </c>
      <c r="F1064" s="11"/>
    </row>
    <row r="1065" spans="1:6">
      <c r="A1065" s="5" t="str">
        <f t="shared" si="19"/>
        <v>202304</v>
      </c>
      <c r="B1065" s="5" t="str">
        <f>"23085013902"</f>
        <v>23085013902</v>
      </c>
      <c r="C1065" s="6">
        <v>100.5</v>
      </c>
      <c r="D1065" s="6">
        <v>122</v>
      </c>
      <c r="E1065" s="6">
        <v>222.5</v>
      </c>
      <c r="F1065" s="11"/>
    </row>
    <row r="1066" spans="1:6">
      <c r="A1066" s="5" t="str">
        <f t="shared" si="19"/>
        <v>202304</v>
      </c>
      <c r="B1066" s="5" t="str">
        <f>"23085013609"</f>
        <v>23085013609</v>
      </c>
      <c r="C1066" s="6">
        <v>103.5</v>
      </c>
      <c r="D1066" s="6">
        <v>118</v>
      </c>
      <c r="E1066" s="6">
        <v>221.5</v>
      </c>
      <c r="F1066" s="11"/>
    </row>
    <row r="1067" spans="1:6">
      <c r="A1067" s="5" t="str">
        <f t="shared" si="19"/>
        <v>202304</v>
      </c>
      <c r="B1067" s="5" t="str">
        <f>"23085013828"</f>
        <v>23085013828</v>
      </c>
      <c r="C1067" s="6">
        <v>108</v>
      </c>
      <c r="D1067" s="6">
        <v>113</v>
      </c>
      <c r="E1067" s="6">
        <v>221</v>
      </c>
      <c r="F1067" s="11"/>
    </row>
    <row r="1068" spans="1:6">
      <c r="A1068" s="5" t="str">
        <f t="shared" si="19"/>
        <v>202304</v>
      </c>
      <c r="B1068" s="5" t="str">
        <f>"23085013911"</f>
        <v>23085013911</v>
      </c>
      <c r="C1068" s="6">
        <v>112.5</v>
      </c>
      <c r="D1068" s="6">
        <v>107</v>
      </c>
      <c r="E1068" s="6">
        <v>219.5</v>
      </c>
      <c r="F1068" s="11"/>
    </row>
    <row r="1069" spans="1:6">
      <c r="A1069" s="5" t="str">
        <f t="shared" si="19"/>
        <v>202304</v>
      </c>
      <c r="B1069" s="5" t="str">
        <f>"23085013812"</f>
        <v>23085013812</v>
      </c>
      <c r="C1069" s="6">
        <v>99</v>
      </c>
      <c r="D1069" s="6">
        <v>119.5</v>
      </c>
      <c r="E1069" s="6">
        <v>218.5</v>
      </c>
      <c r="F1069" s="11"/>
    </row>
    <row r="1070" spans="1:6">
      <c r="A1070" s="5" t="str">
        <f t="shared" si="19"/>
        <v>202304</v>
      </c>
      <c r="B1070" s="5" t="str">
        <f>"23085013604"</f>
        <v>23085013604</v>
      </c>
      <c r="C1070" s="6">
        <v>97.5</v>
      </c>
      <c r="D1070" s="6">
        <v>121</v>
      </c>
      <c r="E1070" s="6">
        <v>218.5</v>
      </c>
      <c r="F1070" s="11"/>
    </row>
    <row r="1071" spans="1:6">
      <c r="A1071" s="5" t="str">
        <f t="shared" si="19"/>
        <v>202304</v>
      </c>
      <c r="B1071" s="5" t="str">
        <f>"23085013702"</f>
        <v>23085013702</v>
      </c>
      <c r="C1071" s="6">
        <v>96</v>
      </c>
      <c r="D1071" s="6">
        <v>122</v>
      </c>
      <c r="E1071" s="6">
        <v>218</v>
      </c>
      <c r="F1071" s="11"/>
    </row>
    <row r="1072" spans="1:6">
      <c r="A1072" s="5" t="str">
        <f t="shared" si="19"/>
        <v>202304</v>
      </c>
      <c r="B1072" s="5" t="str">
        <f>"23085013801"</f>
        <v>23085013801</v>
      </c>
      <c r="C1072" s="6">
        <v>106.5</v>
      </c>
      <c r="D1072" s="6">
        <v>111.5</v>
      </c>
      <c r="E1072" s="6">
        <v>218</v>
      </c>
      <c r="F1072" s="11"/>
    </row>
    <row r="1073" spans="1:6">
      <c r="A1073" s="5" t="str">
        <f t="shared" si="19"/>
        <v>202304</v>
      </c>
      <c r="B1073" s="5" t="str">
        <f>"23085013530"</f>
        <v>23085013530</v>
      </c>
      <c r="C1073" s="6">
        <v>99</v>
      </c>
      <c r="D1073" s="6">
        <v>119</v>
      </c>
      <c r="E1073" s="6">
        <v>218</v>
      </c>
      <c r="F1073" s="11"/>
    </row>
    <row r="1074" spans="1:6">
      <c r="A1074" s="5" t="str">
        <f t="shared" si="19"/>
        <v>202304</v>
      </c>
      <c r="B1074" s="5" t="str">
        <f>"23085013614"</f>
        <v>23085013614</v>
      </c>
      <c r="C1074" s="6">
        <v>105</v>
      </c>
      <c r="D1074" s="6">
        <v>113</v>
      </c>
      <c r="E1074" s="6">
        <v>218</v>
      </c>
      <c r="F1074" s="11"/>
    </row>
    <row r="1075" spans="1:6">
      <c r="A1075" s="5" t="str">
        <f t="shared" si="19"/>
        <v>202304</v>
      </c>
      <c r="B1075" s="5" t="str">
        <f>"23085013802"</f>
        <v>23085013802</v>
      </c>
      <c r="C1075" s="6">
        <v>105</v>
      </c>
      <c r="D1075" s="6">
        <v>112.5</v>
      </c>
      <c r="E1075" s="6">
        <v>217.5</v>
      </c>
      <c r="F1075" s="11"/>
    </row>
    <row r="1076" spans="1:6">
      <c r="A1076" s="5" t="str">
        <f t="shared" si="19"/>
        <v>202304</v>
      </c>
      <c r="B1076" s="5" t="str">
        <f>"23085013606"</f>
        <v>23085013606</v>
      </c>
      <c r="C1076" s="6">
        <v>103.5</v>
      </c>
      <c r="D1076" s="6">
        <v>114</v>
      </c>
      <c r="E1076" s="6">
        <v>217.5</v>
      </c>
      <c r="F1076" s="11"/>
    </row>
    <row r="1077" spans="1:6">
      <c r="A1077" s="5" t="str">
        <f t="shared" si="19"/>
        <v>202304</v>
      </c>
      <c r="B1077" s="5" t="str">
        <f>"23085013727"</f>
        <v>23085013727</v>
      </c>
      <c r="C1077" s="6">
        <v>97.5</v>
      </c>
      <c r="D1077" s="6">
        <v>120</v>
      </c>
      <c r="E1077" s="6">
        <v>217.5</v>
      </c>
      <c r="F1077" s="11"/>
    </row>
    <row r="1078" spans="1:6">
      <c r="A1078" s="5" t="str">
        <f t="shared" si="19"/>
        <v>202304</v>
      </c>
      <c r="B1078" s="5" t="str">
        <f>"23085013819"</f>
        <v>23085013819</v>
      </c>
      <c r="C1078" s="6">
        <v>97.5</v>
      </c>
      <c r="D1078" s="6">
        <v>118.5</v>
      </c>
      <c r="E1078" s="6">
        <v>216</v>
      </c>
      <c r="F1078" s="11"/>
    </row>
    <row r="1079" spans="1:6">
      <c r="A1079" s="5" t="str">
        <f t="shared" si="19"/>
        <v>202304</v>
      </c>
      <c r="B1079" s="5" t="str">
        <f>"23085013818"</f>
        <v>23085013818</v>
      </c>
      <c r="C1079" s="6">
        <v>102</v>
      </c>
      <c r="D1079" s="6">
        <v>114</v>
      </c>
      <c r="E1079" s="6">
        <v>216</v>
      </c>
      <c r="F1079" s="11"/>
    </row>
    <row r="1080" spans="1:6">
      <c r="A1080" s="5" t="str">
        <f t="shared" si="19"/>
        <v>202304</v>
      </c>
      <c r="B1080" s="5" t="str">
        <f>"23085013620"</f>
        <v>23085013620</v>
      </c>
      <c r="C1080" s="6">
        <v>102</v>
      </c>
      <c r="D1080" s="6">
        <v>113.5</v>
      </c>
      <c r="E1080" s="6">
        <v>215.5</v>
      </c>
      <c r="F1080" s="11"/>
    </row>
    <row r="1081" spans="1:6">
      <c r="A1081" s="5" t="str">
        <f t="shared" si="19"/>
        <v>202304</v>
      </c>
      <c r="B1081" s="5" t="str">
        <f>"23085013816"</f>
        <v>23085013816</v>
      </c>
      <c r="C1081" s="6">
        <v>100.5</v>
      </c>
      <c r="D1081" s="6">
        <v>114</v>
      </c>
      <c r="E1081" s="6">
        <v>214.5</v>
      </c>
      <c r="F1081" s="11"/>
    </row>
    <row r="1082" spans="1:6">
      <c r="A1082" s="5" t="str">
        <f t="shared" si="19"/>
        <v>202304</v>
      </c>
      <c r="B1082" s="5" t="str">
        <f>"23085013730"</f>
        <v>23085013730</v>
      </c>
      <c r="C1082" s="6">
        <v>100.5</v>
      </c>
      <c r="D1082" s="6">
        <v>113.5</v>
      </c>
      <c r="E1082" s="6">
        <v>214</v>
      </c>
      <c r="F1082" s="11"/>
    </row>
    <row r="1083" spans="1:6">
      <c r="A1083" s="5" t="str">
        <f t="shared" si="19"/>
        <v>202304</v>
      </c>
      <c r="B1083" s="5" t="str">
        <f>"23085013607"</f>
        <v>23085013607</v>
      </c>
      <c r="C1083" s="6">
        <v>100.5</v>
      </c>
      <c r="D1083" s="6">
        <v>113.5</v>
      </c>
      <c r="E1083" s="6">
        <v>214</v>
      </c>
      <c r="F1083" s="11"/>
    </row>
    <row r="1084" spans="1:6">
      <c r="A1084" s="5" t="str">
        <f t="shared" si="19"/>
        <v>202304</v>
      </c>
      <c r="B1084" s="5" t="str">
        <f>"23085013726"</f>
        <v>23085013726</v>
      </c>
      <c r="C1084" s="6">
        <v>99</v>
      </c>
      <c r="D1084" s="6">
        <v>115</v>
      </c>
      <c r="E1084" s="6">
        <v>214</v>
      </c>
      <c r="F1084" s="11"/>
    </row>
    <row r="1085" spans="1:6">
      <c r="A1085" s="5" t="str">
        <f t="shared" si="19"/>
        <v>202304</v>
      </c>
      <c r="B1085" s="5" t="str">
        <f>"23085013713"</f>
        <v>23085013713</v>
      </c>
      <c r="C1085" s="6">
        <v>100.5</v>
      </c>
      <c r="D1085" s="6">
        <v>112.5</v>
      </c>
      <c r="E1085" s="6">
        <v>213</v>
      </c>
      <c r="F1085" s="11"/>
    </row>
    <row r="1086" spans="1:6">
      <c r="A1086" s="5" t="str">
        <f t="shared" si="19"/>
        <v>202304</v>
      </c>
      <c r="B1086" s="5" t="str">
        <f>"23085013729"</f>
        <v>23085013729</v>
      </c>
      <c r="C1086" s="6">
        <v>91.5</v>
      </c>
      <c r="D1086" s="6">
        <v>120.5</v>
      </c>
      <c r="E1086" s="6">
        <v>212</v>
      </c>
      <c r="F1086" s="11"/>
    </row>
    <row r="1087" spans="1:6">
      <c r="A1087" s="5" t="str">
        <f t="shared" si="19"/>
        <v>202304</v>
      </c>
      <c r="B1087" s="5" t="str">
        <f>"23085013716"</f>
        <v>23085013716</v>
      </c>
      <c r="C1087" s="6">
        <v>96</v>
      </c>
      <c r="D1087" s="6">
        <v>116</v>
      </c>
      <c r="E1087" s="6">
        <v>212</v>
      </c>
      <c r="F1087" s="11"/>
    </row>
    <row r="1088" spans="1:6">
      <c r="A1088" s="5" t="str">
        <f t="shared" si="19"/>
        <v>202304</v>
      </c>
      <c r="B1088" s="5" t="str">
        <f>"23085013718"</f>
        <v>23085013718</v>
      </c>
      <c r="C1088" s="6">
        <v>96</v>
      </c>
      <c r="D1088" s="6">
        <v>115.5</v>
      </c>
      <c r="E1088" s="6">
        <v>211.5</v>
      </c>
      <c r="F1088" s="11"/>
    </row>
    <row r="1089" spans="1:6">
      <c r="A1089" s="5" t="str">
        <f t="shared" si="19"/>
        <v>202304</v>
      </c>
      <c r="B1089" s="5" t="str">
        <f>"23085013810"</f>
        <v>23085013810</v>
      </c>
      <c r="C1089" s="6">
        <v>99</v>
      </c>
      <c r="D1089" s="6">
        <v>112</v>
      </c>
      <c r="E1089" s="6">
        <v>211</v>
      </c>
      <c r="F1089" s="11"/>
    </row>
    <row r="1090" spans="1:6">
      <c r="A1090" s="5" t="str">
        <f t="shared" si="19"/>
        <v>202304</v>
      </c>
      <c r="B1090" s="5" t="str">
        <f>"23085013612"</f>
        <v>23085013612</v>
      </c>
      <c r="C1090" s="6">
        <v>96</v>
      </c>
      <c r="D1090" s="6">
        <v>114.5</v>
      </c>
      <c r="E1090" s="6">
        <v>210.5</v>
      </c>
      <c r="F1090" s="11"/>
    </row>
    <row r="1091" spans="1:6">
      <c r="A1091" s="5" t="str">
        <f t="shared" si="19"/>
        <v>202304</v>
      </c>
      <c r="B1091" s="5" t="str">
        <f>"23085013817"</f>
        <v>23085013817</v>
      </c>
      <c r="C1091" s="6">
        <v>99</v>
      </c>
      <c r="D1091" s="6">
        <v>111.5</v>
      </c>
      <c r="E1091" s="6">
        <v>210.5</v>
      </c>
      <c r="F1091" s="11"/>
    </row>
    <row r="1092" spans="1:6">
      <c r="A1092" s="5" t="str">
        <f t="shared" si="19"/>
        <v>202304</v>
      </c>
      <c r="B1092" s="5" t="str">
        <f>"23085013725"</f>
        <v>23085013725</v>
      </c>
      <c r="C1092" s="6">
        <v>96</v>
      </c>
      <c r="D1092" s="6">
        <v>114</v>
      </c>
      <c r="E1092" s="6">
        <v>210</v>
      </c>
      <c r="F1092" s="11"/>
    </row>
    <row r="1093" spans="1:6">
      <c r="A1093" s="5" t="str">
        <f t="shared" si="19"/>
        <v>202304</v>
      </c>
      <c r="B1093" s="5" t="str">
        <f>"23085013627"</f>
        <v>23085013627</v>
      </c>
      <c r="C1093" s="6">
        <v>105</v>
      </c>
      <c r="D1093" s="6">
        <v>105</v>
      </c>
      <c r="E1093" s="6">
        <v>210</v>
      </c>
      <c r="F1093" s="11"/>
    </row>
    <row r="1094" spans="1:6">
      <c r="A1094" s="5" t="str">
        <f t="shared" si="19"/>
        <v>202304</v>
      </c>
      <c r="B1094" s="5" t="str">
        <f>"23085013622"</f>
        <v>23085013622</v>
      </c>
      <c r="C1094" s="6">
        <v>90</v>
      </c>
      <c r="D1094" s="6">
        <v>120</v>
      </c>
      <c r="E1094" s="6">
        <v>210</v>
      </c>
      <c r="F1094" s="11"/>
    </row>
    <row r="1095" spans="1:6">
      <c r="A1095" s="5" t="str">
        <f t="shared" si="19"/>
        <v>202304</v>
      </c>
      <c r="B1095" s="5" t="str">
        <f>"23085013724"</f>
        <v>23085013724</v>
      </c>
      <c r="C1095" s="6">
        <v>88.5</v>
      </c>
      <c r="D1095" s="6">
        <v>121</v>
      </c>
      <c r="E1095" s="6">
        <v>209.5</v>
      </c>
      <c r="F1095" s="11"/>
    </row>
    <row r="1096" spans="1:6">
      <c r="A1096" s="5" t="str">
        <f t="shared" si="19"/>
        <v>202304</v>
      </c>
      <c r="B1096" s="5" t="str">
        <f>"23085013722"</f>
        <v>23085013722</v>
      </c>
      <c r="C1096" s="6">
        <v>85.5</v>
      </c>
      <c r="D1096" s="6">
        <v>124</v>
      </c>
      <c r="E1096" s="6">
        <v>209.5</v>
      </c>
      <c r="F1096" s="11"/>
    </row>
    <row r="1097" spans="1:6">
      <c r="A1097" s="5" t="str">
        <f t="shared" si="19"/>
        <v>202304</v>
      </c>
      <c r="B1097" s="5" t="str">
        <f>"23085013715"</f>
        <v>23085013715</v>
      </c>
      <c r="C1097" s="6">
        <v>85.5</v>
      </c>
      <c r="D1097" s="6">
        <v>123</v>
      </c>
      <c r="E1097" s="6">
        <v>208.5</v>
      </c>
      <c r="F1097" s="11"/>
    </row>
    <row r="1098" spans="1:6">
      <c r="A1098" s="5" t="str">
        <f t="shared" si="19"/>
        <v>202304</v>
      </c>
      <c r="B1098" s="5" t="str">
        <f>"23085013814"</f>
        <v>23085013814</v>
      </c>
      <c r="C1098" s="6">
        <v>90</v>
      </c>
      <c r="D1098" s="6">
        <v>118.5</v>
      </c>
      <c r="E1098" s="6">
        <v>208.5</v>
      </c>
      <c r="F1098" s="11"/>
    </row>
    <row r="1099" spans="1:6">
      <c r="A1099" s="5" t="str">
        <f t="shared" si="19"/>
        <v>202304</v>
      </c>
      <c r="B1099" s="5" t="str">
        <f>"23085013602"</f>
        <v>23085013602</v>
      </c>
      <c r="C1099" s="6">
        <v>94.5</v>
      </c>
      <c r="D1099" s="6">
        <v>114</v>
      </c>
      <c r="E1099" s="6">
        <v>208.5</v>
      </c>
      <c r="F1099" s="11"/>
    </row>
    <row r="1100" spans="1:6">
      <c r="A1100" s="5" t="str">
        <f t="shared" si="19"/>
        <v>202304</v>
      </c>
      <c r="B1100" s="5" t="str">
        <f>"23085013628"</f>
        <v>23085013628</v>
      </c>
      <c r="C1100" s="6">
        <v>93</v>
      </c>
      <c r="D1100" s="6">
        <v>115</v>
      </c>
      <c r="E1100" s="6">
        <v>208</v>
      </c>
      <c r="F1100" s="11"/>
    </row>
    <row r="1101" spans="1:6">
      <c r="A1101" s="5" t="str">
        <f t="shared" si="19"/>
        <v>202304</v>
      </c>
      <c r="B1101" s="5" t="str">
        <f>"23085013618"</f>
        <v>23085013618</v>
      </c>
      <c r="C1101" s="6">
        <v>88.5</v>
      </c>
      <c r="D1101" s="6">
        <v>119.5</v>
      </c>
      <c r="E1101" s="6">
        <v>208</v>
      </c>
      <c r="F1101" s="11"/>
    </row>
    <row r="1102" spans="1:6">
      <c r="A1102" s="5" t="str">
        <f t="shared" si="19"/>
        <v>202304</v>
      </c>
      <c r="B1102" s="5" t="str">
        <f>"23085013704"</f>
        <v>23085013704</v>
      </c>
      <c r="C1102" s="6">
        <v>91.5</v>
      </c>
      <c r="D1102" s="6">
        <v>115.5</v>
      </c>
      <c r="E1102" s="6">
        <v>207</v>
      </c>
      <c r="F1102" s="11"/>
    </row>
    <row r="1103" spans="1:6">
      <c r="A1103" s="5" t="str">
        <f t="shared" si="19"/>
        <v>202304</v>
      </c>
      <c r="B1103" s="5" t="str">
        <f>"23085013717"</f>
        <v>23085013717</v>
      </c>
      <c r="C1103" s="6">
        <v>90</v>
      </c>
      <c r="D1103" s="6">
        <v>117</v>
      </c>
      <c r="E1103" s="6">
        <v>207</v>
      </c>
      <c r="F1103" s="11"/>
    </row>
    <row r="1104" spans="1:6">
      <c r="A1104" s="5" t="str">
        <f t="shared" si="19"/>
        <v>202304</v>
      </c>
      <c r="B1104" s="5" t="str">
        <f>"23085013605"</f>
        <v>23085013605</v>
      </c>
      <c r="C1104" s="6">
        <v>91.5</v>
      </c>
      <c r="D1104" s="6">
        <v>115</v>
      </c>
      <c r="E1104" s="6">
        <v>206.5</v>
      </c>
      <c r="F1104" s="11"/>
    </row>
    <row r="1105" spans="1:6">
      <c r="A1105" s="5" t="str">
        <f t="shared" si="19"/>
        <v>202304</v>
      </c>
      <c r="B1105" s="5" t="str">
        <f>"23085013829"</f>
        <v>23085013829</v>
      </c>
      <c r="C1105" s="6">
        <v>87</v>
      </c>
      <c r="D1105" s="6">
        <v>119</v>
      </c>
      <c r="E1105" s="6">
        <v>206</v>
      </c>
      <c r="F1105" s="11"/>
    </row>
    <row r="1106" spans="1:6">
      <c r="A1106" s="5" t="str">
        <f t="shared" si="19"/>
        <v>202304</v>
      </c>
      <c r="B1106" s="5" t="str">
        <f>"23085013910"</f>
        <v>23085013910</v>
      </c>
      <c r="C1106" s="6">
        <v>82.5</v>
      </c>
      <c r="D1106" s="6">
        <v>122.5</v>
      </c>
      <c r="E1106" s="6">
        <v>205</v>
      </c>
      <c r="F1106" s="11"/>
    </row>
    <row r="1107" spans="1:6">
      <c r="A1107" s="5" t="str">
        <f t="shared" si="19"/>
        <v>202304</v>
      </c>
      <c r="B1107" s="5" t="str">
        <f>"23085013625"</f>
        <v>23085013625</v>
      </c>
      <c r="C1107" s="6">
        <v>88.5</v>
      </c>
      <c r="D1107" s="6">
        <v>116.5</v>
      </c>
      <c r="E1107" s="6">
        <v>205</v>
      </c>
      <c r="F1107" s="11"/>
    </row>
    <row r="1108" spans="1:6">
      <c r="A1108" s="5" t="str">
        <f t="shared" si="19"/>
        <v>202304</v>
      </c>
      <c r="B1108" s="5" t="str">
        <f>"23085013623"</f>
        <v>23085013623</v>
      </c>
      <c r="C1108" s="6">
        <v>81</v>
      </c>
      <c r="D1108" s="6">
        <v>123</v>
      </c>
      <c r="E1108" s="6">
        <v>204</v>
      </c>
      <c r="F1108" s="11"/>
    </row>
    <row r="1109" spans="1:6">
      <c r="A1109" s="5" t="str">
        <f t="shared" si="19"/>
        <v>202304</v>
      </c>
      <c r="B1109" s="5" t="str">
        <f>"23085013611"</f>
        <v>23085013611</v>
      </c>
      <c r="C1109" s="6">
        <v>97.5</v>
      </c>
      <c r="D1109" s="6">
        <v>106</v>
      </c>
      <c r="E1109" s="6">
        <v>203.5</v>
      </c>
      <c r="F1109" s="11"/>
    </row>
    <row r="1110" spans="1:6">
      <c r="A1110" s="5" t="str">
        <f t="shared" si="19"/>
        <v>202304</v>
      </c>
      <c r="B1110" s="5" t="str">
        <f>"23085013811"</f>
        <v>23085013811</v>
      </c>
      <c r="C1110" s="6">
        <v>85.5</v>
      </c>
      <c r="D1110" s="6">
        <v>116.5</v>
      </c>
      <c r="E1110" s="6">
        <v>202</v>
      </c>
      <c r="F1110" s="11"/>
    </row>
    <row r="1111" spans="1:6">
      <c r="A1111" s="5" t="str">
        <f t="shared" si="19"/>
        <v>202304</v>
      </c>
      <c r="B1111" s="5" t="str">
        <f>"23085013824"</f>
        <v>23085013824</v>
      </c>
      <c r="C1111" s="6">
        <v>82.5</v>
      </c>
      <c r="D1111" s="6">
        <v>119</v>
      </c>
      <c r="E1111" s="6">
        <v>201.5</v>
      </c>
      <c r="F1111" s="11"/>
    </row>
    <row r="1112" spans="1:6">
      <c r="A1112" s="5" t="str">
        <f t="shared" si="19"/>
        <v>202304</v>
      </c>
      <c r="B1112" s="5" t="str">
        <f>"23085013821"</f>
        <v>23085013821</v>
      </c>
      <c r="C1112" s="6">
        <v>88.5</v>
      </c>
      <c r="D1112" s="6">
        <v>110.5</v>
      </c>
      <c r="E1112" s="6">
        <v>199</v>
      </c>
      <c r="F1112" s="11"/>
    </row>
    <row r="1113" spans="1:6">
      <c r="A1113" s="5" t="str">
        <f t="shared" si="19"/>
        <v>202304</v>
      </c>
      <c r="B1113" s="5" t="str">
        <f>"23085013813"</f>
        <v>23085013813</v>
      </c>
      <c r="C1113" s="6">
        <v>93</v>
      </c>
      <c r="D1113" s="6">
        <v>106</v>
      </c>
      <c r="E1113" s="6">
        <v>199</v>
      </c>
      <c r="F1113" s="11"/>
    </row>
    <row r="1114" spans="1:6">
      <c r="A1114" s="5" t="str">
        <f t="shared" ref="A1114:A1154" si="20">"202304"</f>
        <v>202304</v>
      </c>
      <c r="B1114" s="5" t="str">
        <f>"23085013529"</f>
        <v>23085013529</v>
      </c>
      <c r="C1114" s="6">
        <v>79.5</v>
      </c>
      <c r="D1114" s="6">
        <v>115</v>
      </c>
      <c r="E1114" s="6">
        <v>194.5</v>
      </c>
      <c r="F1114" s="11"/>
    </row>
    <row r="1115" spans="1:6">
      <c r="A1115" s="5" t="str">
        <f t="shared" si="20"/>
        <v>202304</v>
      </c>
      <c r="B1115" s="5" t="str">
        <f>"23085013809"</f>
        <v>23085013809</v>
      </c>
      <c r="C1115" s="6">
        <v>82.5</v>
      </c>
      <c r="D1115" s="6">
        <v>111.5</v>
      </c>
      <c r="E1115" s="6">
        <v>194</v>
      </c>
      <c r="F1115" s="11"/>
    </row>
    <row r="1116" spans="1:6">
      <c r="A1116" s="5" t="str">
        <f t="shared" si="20"/>
        <v>202304</v>
      </c>
      <c r="B1116" s="5" t="str">
        <f>"23085013619"</f>
        <v>23085013619</v>
      </c>
      <c r="C1116" s="6">
        <v>76.5</v>
      </c>
      <c r="D1116" s="6">
        <v>116.5</v>
      </c>
      <c r="E1116" s="6">
        <v>193</v>
      </c>
      <c r="F1116" s="11"/>
    </row>
    <row r="1117" spans="1:6">
      <c r="A1117" s="5" t="str">
        <f t="shared" si="20"/>
        <v>202304</v>
      </c>
      <c r="B1117" s="5" t="str">
        <f>"23085013712"</f>
        <v>23085013712</v>
      </c>
      <c r="C1117" s="6">
        <v>90</v>
      </c>
      <c r="D1117" s="6">
        <v>102.5</v>
      </c>
      <c r="E1117" s="6">
        <v>192.5</v>
      </c>
      <c r="F1117" s="11"/>
    </row>
    <row r="1118" spans="1:6">
      <c r="A1118" s="5" t="str">
        <f t="shared" si="20"/>
        <v>202304</v>
      </c>
      <c r="B1118" s="5" t="str">
        <f>"23085013630"</f>
        <v>23085013630</v>
      </c>
      <c r="C1118" s="6">
        <v>72</v>
      </c>
      <c r="D1118" s="6">
        <v>118</v>
      </c>
      <c r="E1118" s="6">
        <v>190</v>
      </c>
      <c r="F1118" s="11"/>
    </row>
    <row r="1119" spans="1:6">
      <c r="A1119" s="5" t="str">
        <f t="shared" si="20"/>
        <v>202304</v>
      </c>
      <c r="B1119" s="5" t="str">
        <f>"23085013807"</f>
        <v>23085013807</v>
      </c>
      <c r="C1119" s="6">
        <v>72</v>
      </c>
      <c r="D1119" s="6">
        <v>116.5</v>
      </c>
      <c r="E1119" s="6">
        <v>188.5</v>
      </c>
      <c r="F1119" s="11"/>
    </row>
    <row r="1120" spans="1:6">
      <c r="A1120" s="5" t="str">
        <f t="shared" si="20"/>
        <v>202304</v>
      </c>
      <c r="B1120" s="5" t="str">
        <f>"23085013603"</f>
        <v>23085013603</v>
      </c>
      <c r="C1120" s="6">
        <v>76.5</v>
      </c>
      <c r="D1120" s="6">
        <v>111</v>
      </c>
      <c r="E1120" s="6">
        <v>187.5</v>
      </c>
      <c r="F1120" s="11"/>
    </row>
    <row r="1121" spans="1:6">
      <c r="A1121" s="5" t="str">
        <f t="shared" si="20"/>
        <v>202304</v>
      </c>
      <c r="B1121" s="5" t="str">
        <f>"23085013901"</f>
        <v>23085013901</v>
      </c>
      <c r="C1121" s="6">
        <v>78</v>
      </c>
      <c r="D1121" s="6">
        <v>106.5</v>
      </c>
      <c r="E1121" s="6">
        <v>184.5</v>
      </c>
      <c r="F1121" s="11"/>
    </row>
    <row r="1122" spans="1:6">
      <c r="A1122" s="5" t="str">
        <f t="shared" si="20"/>
        <v>202304</v>
      </c>
      <c r="B1122" s="5" t="str">
        <f>"23085013703"</f>
        <v>23085013703</v>
      </c>
      <c r="C1122" s="6">
        <v>75</v>
      </c>
      <c r="D1122" s="6">
        <v>109.5</v>
      </c>
      <c r="E1122" s="6">
        <v>184.5</v>
      </c>
      <c r="F1122" s="11"/>
    </row>
    <row r="1123" spans="1:6">
      <c r="A1123" s="5" t="str">
        <f t="shared" si="20"/>
        <v>202304</v>
      </c>
      <c r="B1123" s="5" t="str">
        <f>"23085013626"</f>
        <v>23085013626</v>
      </c>
      <c r="C1123" s="6">
        <v>64.5</v>
      </c>
      <c r="D1123" s="6">
        <v>119.5</v>
      </c>
      <c r="E1123" s="6">
        <v>184</v>
      </c>
      <c r="F1123" s="11"/>
    </row>
    <row r="1124" spans="1:6">
      <c r="A1124" s="5" t="str">
        <f t="shared" si="20"/>
        <v>202304</v>
      </c>
      <c r="B1124" s="5" t="str">
        <f>"23085013728"</f>
        <v>23085013728</v>
      </c>
      <c r="C1124" s="6">
        <v>75</v>
      </c>
      <c r="D1124" s="6">
        <v>108.5</v>
      </c>
      <c r="E1124" s="6">
        <v>183.5</v>
      </c>
      <c r="F1124" s="11"/>
    </row>
    <row r="1125" spans="1:6">
      <c r="A1125" s="5" t="str">
        <f t="shared" si="20"/>
        <v>202304</v>
      </c>
      <c r="B1125" s="5" t="str">
        <f>"23085013701"</f>
        <v>23085013701</v>
      </c>
      <c r="C1125" s="6">
        <v>73.5</v>
      </c>
      <c r="D1125" s="6">
        <v>109</v>
      </c>
      <c r="E1125" s="6">
        <v>182.5</v>
      </c>
      <c r="F1125" s="11"/>
    </row>
    <row r="1126" spans="1:6">
      <c r="A1126" s="5" t="str">
        <f t="shared" si="20"/>
        <v>202304</v>
      </c>
      <c r="B1126" s="5" t="str">
        <f>"23085013907"</f>
        <v>23085013907</v>
      </c>
      <c r="C1126" s="6">
        <v>72</v>
      </c>
      <c r="D1126" s="6">
        <v>110</v>
      </c>
      <c r="E1126" s="6">
        <v>182</v>
      </c>
      <c r="F1126" s="11"/>
    </row>
    <row r="1127" spans="1:6">
      <c r="A1127" s="5" t="str">
        <f t="shared" si="20"/>
        <v>202304</v>
      </c>
      <c r="B1127" s="5" t="str">
        <f>"23085013721"</f>
        <v>23085013721</v>
      </c>
      <c r="C1127" s="6">
        <v>66</v>
      </c>
      <c r="D1127" s="6">
        <v>114.5</v>
      </c>
      <c r="E1127" s="6">
        <v>180.5</v>
      </c>
      <c r="F1127" s="11"/>
    </row>
    <row r="1128" spans="1:6">
      <c r="A1128" s="5" t="str">
        <f t="shared" si="20"/>
        <v>202304</v>
      </c>
      <c r="B1128" s="5" t="str">
        <f>"23085013708"</f>
        <v>23085013708</v>
      </c>
      <c r="C1128" s="6">
        <v>72</v>
      </c>
      <c r="D1128" s="6">
        <v>105.5</v>
      </c>
      <c r="E1128" s="6">
        <v>177.5</v>
      </c>
      <c r="F1128" s="11"/>
    </row>
    <row r="1129" spans="1:6">
      <c r="A1129" s="5" t="str">
        <f t="shared" si="20"/>
        <v>202304</v>
      </c>
      <c r="B1129" s="5" t="str">
        <f>"23085013709"</f>
        <v>23085013709</v>
      </c>
      <c r="C1129" s="6">
        <v>66</v>
      </c>
      <c r="D1129" s="6">
        <v>106.5</v>
      </c>
      <c r="E1129" s="6">
        <v>172.5</v>
      </c>
      <c r="F1129" s="11"/>
    </row>
    <row r="1130" spans="1:6">
      <c r="A1130" s="5" t="str">
        <f t="shared" si="20"/>
        <v>202304</v>
      </c>
      <c r="B1130" s="5" t="str">
        <f>"23085013830"</f>
        <v>23085013830</v>
      </c>
      <c r="C1130" s="6">
        <v>43.5</v>
      </c>
      <c r="D1130" s="6">
        <v>55</v>
      </c>
      <c r="E1130" s="6">
        <v>98.5</v>
      </c>
      <c r="F1130" s="11"/>
    </row>
    <row r="1131" spans="1:6">
      <c r="A1131" s="5" t="str">
        <f t="shared" si="20"/>
        <v>202304</v>
      </c>
      <c r="B1131" s="5" t="str">
        <f>"23085013822"</f>
        <v>23085013822</v>
      </c>
      <c r="C1131" s="6">
        <v>0</v>
      </c>
      <c r="D1131" s="6">
        <v>0</v>
      </c>
      <c r="E1131" s="6">
        <v>0</v>
      </c>
      <c r="F1131" s="11" t="s">
        <v>7</v>
      </c>
    </row>
    <row r="1132" spans="1:6">
      <c r="A1132" s="5" t="str">
        <f t="shared" si="20"/>
        <v>202304</v>
      </c>
      <c r="B1132" s="5" t="str">
        <f>"23085013610"</f>
        <v>23085013610</v>
      </c>
      <c r="C1132" s="6">
        <v>0</v>
      </c>
      <c r="D1132" s="6">
        <v>0</v>
      </c>
      <c r="E1132" s="6">
        <v>0</v>
      </c>
      <c r="F1132" s="11" t="s">
        <v>7</v>
      </c>
    </row>
    <row r="1133" spans="1:6">
      <c r="A1133" s="5" t="str">
        <f t="shared" si="20"/>
        <v>202304</v>
      </c>
      <c r="B1133" s="5" t="str">
        <f>"23085013608"</f>
        <v>23085013608</v>
      </c>
      <c r="C1133" s="6">
        <v>0</v>
      </c>
      <c r="D1133" s="6">
        <v>0</v>
      </c>
      <c r="E1133" s="6">
        <v>0</v>
      </c>
      <c r="F1133" s="11" t="s">
        <v>7</v>
      </c>
    </row>
    <row r="1134" spans="1:6">
      <c r="A1134" s="5" t="str">
        <f t="shared" si="20"/>
        <v>202304</v>
      </c>
      <c r="B1134" s="5" t="str">
        <f>"23085013808"</f>
        <v>23085013808</v>
      </c>
      <c r="C1134" s="6">
        <v>0</v>
      </c>
      <c r="D1134" s="6">
        <v>0</v>
      </c>
      <c r="E1134" s="6">
        <v>0</v>
      </c>
      <c r="F1134" s="11" t="s">
        <v>7</v>
      </c>
    </row>
    <row r="1135" spans="1:6">
      <c r="A1135" s="5" t="str">
        <f t="shared" si="20"/>
        <v>202304</v>
      </c>
      <c r="B1135" s="5" t="str">
        <f>"23085013823"</f>
        <v>23085013823</v>
      </c>
      <c r="C1135" s="6">
        <v>0</v>
      </c>
      <c r="D1135" s="6">
        <v>0</v>
      </c>
      <c r="E1135" s="6">
        <v>0</v>
      </c>
      <c r="F1135" s="11" t="s">
        <v>7</v>
      </c>
    </row>
    <row r="1136" spans="1:6">
      <c r="A1136" s="5" t="str">
        <f t="shared" si="20"/>
        <v>202304</v>
      </c>
      <c r="B1136" s="5" t="str">
        <f>"23085013616"</f>
        <v>23085013616</v>
      </c>
      <c r="C1136" s="6">
        <v>0</v>
      </c>
      <c r="D1136" s="6">
        <v>0</v>
      </c>
      <c r="E1136" s="6">
        <v>0</v>
      </c>
      <c r="F1136" s="11" t="s">
        <v>7</v>
      </c>
    </row>
    <row r="1137" spans="1:6">
      <c r="A1137" s="5" t="str">
        <f t="shared" si="20"/>
        <v>202304</v>
      </c>
      <c r="B1137" s="5" t="str">
        <f>"23085013706"</f>
        <v>23085013706</v>
      </c>
      <c r="C1137" s="6">
        <v>0</v>
      </c>
      <c r="D1137" s="6">
        <v>0</v>
      </c>
      <c r="E1137" s="6">
        <v>0</v>
      </c>
      <c r="F1137" s="11" t="s">
        <v>7</v>
      </c>
    </row>
    <row r="1138" spans="1:6">
      <c r="A1138" s="5" t="str">
        <f t="shared" si="20"/>
        <v>202304</v>
      </c>
      <c r="B1138" s="5" t="str">
        <f>"23085013906"</f>
        <v>23085013906</v>
      </c>
      <c r="C1138" s="6">
        <v>0</v>
      </c>
      <c r="D1138" s="6">
        <v>0</v>
      </c>
      <c r="E1138" s="6">
        <v>0</v>
      </c>
      <c r="F1138" s="11" t="s">
        <v>7</v>
      </c>
    </row>
    <row r="1139" spans="1:6">
      <c r="A1139" s="5" t="str">
        <f t="shared" si="20"/>
        <v>202304</v>
      </c>
      <c r="B1139" s="5" t="str">
        <f>"23085013815"</f>
        <v>23085013815</v>
      </c>
      <c r="C1139" s="6">
        <v>0</v>
      </c>
      <c r="D1139" s="6">
        <v>0</v>
      </c>
      <c r="E1139" s="6">
        <v>0</v>
      </c>
      <c r="F1139" s="11" t="s">
        <v>7</v>
      </c>
    </row>
    <row r="1140" spans="1:6">
      <c r="A1140" s="5" t="str">
        <f t="shared" si="20"/>
        <v>202304</v>
      </c>
      <c r="B1140" s="5" t="str">
        <f>"23085013825"</f>
        <v>23085013825</v>
      </c>
      <c r="C1140" s="6">
        <v>0</v>
      </c>
      <c r="D1140" s="6">
        <v>0</v>
      </c>
      <c r="E1140" s="6">
        <v>0</v>
      </c>
      <c r="F1140" s="11" t="s">
        <v>7</v>
      </c>
    </row>
    <row r="1141" spans="1:6">
      <c r="A1141" s="5" t="str">
        <f t="shared" si="20"/>
        <v>202304</v>
      </c>
      <c r="B1141" s="5" t="str">
        <f>"23085013903"</f>
        <v>23085013903</v>
      </c>
      <c r="C1141" s="6">
        <v>0</v>
      </c>
      <c r="D1141" s="6">
        <v>0</v>
      </c>
      <c r="E1141" s="6">
        <v>0</v>
      </c>
      <c r="F1141" s="11" t="s">
        <v>7</v>
      </c>
    </row>
    <row r="1142" spans="1:6">
      <c r="A1142" s="5" t="str">
        <f t="shared" si="20"/>
        <v>202304</v>
      </c>
      <c r="B1142" s="5" t="str">
        <f>"23085013615"</f>
        <v>23085013615</v>
      </c>
      <c r="C1142" s="6">
        <v>0</v>
      </c>
      <c r="D1142" s="6">
        <v>0</v>
      </c>
      <c r="E1142" s="6">
        <v>0</v>
      </c>
      <c r="F1142" s="11" t="s">
        <v>7</v>
      </c>
    </row>
    <row r="1143" spans="1:6">
      <c r="A1143" s="5" t="str">
        <f t="shared" si="20"/>
        <v>202304</v>
      </c>
      <c r="B1143" s="5" t="str">
        <f>"23085013805"</f>
        <v>23085013805</v>
      </c>
      <c r="C1143" s="6">
        <v>0</v>
      </c>
      <c r="D1143" s="6">
        <v>0</v>
      </c>
      <c r="E1143" s="6">
        <v>0</v>
      </c>
      <c r="F1143" s="11" t="s">
        <v>7</v>
      </c>
    </row>
    <row r="1144" spans="1:6">
      <c r="A1144" s="5" t="str">
        <f t="shared" si="20"/>
        <v>202304</v>
      </c>
      <c r="B1144" s="5" t="str">
        <f>"23085013621"</f>
        <v>23085013621</v>
      </c>
      <c r="C1144" s="6">
        <v>0</v>
      </c>
      <c r="D1144" s="6">
        <v>0</v>
      </c>
      <c r="E1144" s="6">
        <v>0</v>
      </c>
      <c r="F1144" s="11" t="s">
        <v>7</v>
      </c>
    </row>
    <row r="1145" spans="1:6">
      <c r="A1145" s="5" t="str">
        <f t="shared" si="20"/>
        <v>202304</v>
      </c>
      <c r="B1145" s="5" t="str">
        <f>"23085013719"</f>
        <v>23085013719</v>
      </c>
      <c r="C1145" s="6">
        <v>0</v>
      </c>
      <c r="D1145" s="6">
        <v>0</v>
      </c>
      <c r="E1145" s="6">
        <v>0</v>
      </c>
      <c r="F1145" s="11" t="s">
        <v>7</v>
      </c>
    </row>
    <row r="1146" spans="1:6">
      <c r="A1146" s="5" t="str">
        <f t="shared" si="20"/>
        <v>202304</v>
      </c>
      <c r="B1146" s="5" t="str">
        <f>"23085013624"</f>
        <v>23085013624</v>
      </c>
      <c r="C1146" s="6">
        <v>0</v>
      </c>
      <c r="D1146" s="6">
        <v>0</v>
      </c>
      <c r="E1146" s="6">
        <v>0</v>
      </c>
      <c r="F1146" s="11" t="s">
        <v>7</v>
      </c>
    </row>
    <row r="1147" spans="1:6">
      <c r="A1147" s="5" t="str">
        <f t="shared" si="20"/>
        <v>202304</v>
      </c>
      <c r="B1147" s="5" t="str">
        <f>"23085013909"</f>
        <v>23085013909</v>
      </c>
      <c r="C1147" s="6">
        <v>0</v>
      </c>
      <c r="D1147" s="6">
        <v>0</v>
      </c>
      <c r="E1147" s="6">
        <v>0</v>
      </c>
      <c r="F1147" s="11" t="s">
        <v>7</v>
      </c>
    </row>
    <row r="1148" spans="1:6">
      <c r="A1148" s="5" t="str">
        <f t="shared" si="20"/>
        <v>202304</v>
      </c>
      <c r="B1148" s="5" t="str">
        <f>"23085013710"</f>
        <v>23085013710</v>
      </c>
      <c r="C1148" s="6">
        <v>0</v>
      </c>
      <c r="D1148" s="6">
        <v>0</v>
      </c>
      <c r="E1148" s="6">
        <v>0</v>
      </c>
      <c r="F1148" s="11" t="s">
        <v>7</v>
      </c>
    </row>
    <row r="1149" spans="1:6">
      <c r="A1149" s="5" t="str">
        <f t="shared" si="20"/>
        <v>202304</v>
      </c>
      <c r="B1149" s="5" t="str">
        <f>"23085013720"</f>
        <v>23085013720</v>
      </c>
      <c r="C1149" s="6">
        <v>0</v>
      </c>
      <c r="D1149" s="6">
        <v>0</v>
      </c>
      <c r="E1149" s="6">
        <v>0</v>
      </c>
      <c r="F1149" s="11" t="s">
        <v>7</v>
      </c>
    </row>
    <row r="1150" spans="1:6">
      <c r="A1150" s="5" t="str">
        <f t="shared" si="20"/>
        <v>202304</v>
      </c>
      <c r="B1150" s="5" t="str">
        <f>"23085013826"</f>
        <v>23085013826</v>
      </c>
      <c r="C1150" s="6">
        <v>0</v>
      </c>
      <c r="D1150" s="6">
        <v>0</v>
      </c>
      <c r="E1150" s="6">
        <v>0</v>
      </c>
      <c r="F1150" s="11" t="s">
        <v>7</v>
      </c>
    </row>
    <row r="1151" spans="1:6">
      <c r="A1151" s="5" t="str">
        <f t="shared" si="20"/>
        <v>202304</v>
      </c>
      <c r="B1151" s="5" t="str">
        <f>"23085013803"</f>
        <v>23085013803</v>
      </c>
      <c r="C1151" s="6">
        <v>0</v>
      </c>
      <c r="D1151" s="6">
        <v>0</v>
      </c>
      <c r="E1151" s="6">
        <v>0</v>
      </c>
      <c r="F1151" s="11" t="s">
        <v>7</v>
      </c>
    </row>
    <row r="1152" spans="1:6">
      <c r="A1152" s="5" t="str">
        <f t="shared" si="20"/>
        <v>202304</v>
      </c>
      <c r="B1152" s="5" t="str">
        <f>"23085013629"</f>
        <v>23085013629</v>
      </c>
      <c r="C1152" s="6">
        <v>0</v>
      </c>
      <c r="D1152" s="6">
        <v>0</v>
      </c>
      <c r="E1152" s="6">
        <v>0</v>
      </c>
      <c r="F1152" s="11" t="s">
        <v>7</v>
      </c>
    </row>
    <row r="1153" spans="1:6">
      <c r="A1153" s="5" t="str">
        <f t="shared" si="20"/>
        <v>202304</v>
      </c>
      <c r="B1153" s="5" t="str">
        <f>"23085013714"</f>
        <v>23085013714</v>
      </c>
      <c r="C1153" s="6">
        <v>0</v>
      </c>
      <c r="D1153" s="6">
        <v>0</v>
      </c>
      <c r="E1153" s="6">
        <v>0</v>
      </c>
      <c r="F1153" s="11" t="s">
        <v>7</v>
      </c>
    </row>
    <row r="1154" spans="1:6">
      <c r="A1154" s="5" t="str">
        <f t="shared" si="20"/>
        <v>202304</v>
      </c>
      <c r="B1154" s="5" t="str">
        <f>"23085013827"</f>
        <v>23085013827</v>
      </c>
      <c r="C1154" s="6">
        <v>0</v>
      </c>
      <c r="D1154" s="6">
        <v>0</v>
      </c>
      <c r="E1154" s="6">
        <v>0</v>
      </c>
      <c r="F1154" s="11" t="s">
        <v>7</v>
      </c>
    </row>
    <row r="1155" spans="1:6">
      <c r="A1155" s="5" t="str">
        <f t="shared" ref="A1155:A1218" si="21">"202305"</f>
        <v>202305</v>
      </c>
      <c r="B1155" s="5" t="str">
        <f>"23085014215"</f>
        <v>23085014215</v>
      </c>
      <c r="C1155" s="6">
        <v>114</v>
      </c>
      <c r="D1155" s="6">
        <v>122.5</v>
      </c>
      <c r="E1155" s="6">
        <v>236.5</v>
      </c>
      <c r="F1155" s="11"/>
    </row>
    <row r="1156" spans="1:6">
      <c r="A1156" s="5" t="str">
        <f t="shared" si="21"/>
        <v>202305</v>
      </c>
      <c r="B1156" s="5" t="str">
        <f>"23085014203"</f>
        <v>23085014203</v>
      </c>
      <c r="C1156" s="6">
        <v>114</v>
      </c>
      <c r="D1156" s="6">
        <v>122</v>
      </c>
      <c r="E1156" s="6">
        <v>236</v>
      </c>
      <c r="F1156" s="11"/>
    </row>
    <row r="1157" spans="1:6">
      <c r="A1157" s="5" t="str">
        <f t="shared" si="21"/>
        <v>202305</v>
      </c>
      <c r="B1157" s="5" t="str">
        <f>"23085014115"</f>
        <v>23085014115</v>
      </c>
      <c r="C1157" s="6">
        <v>114</v>
      </c>
      <c r="D1157" s="6">
        <v>117.5</v>
      </c>
      <c r="E1157" s="6">
        <v>231.5</v>
      </c>
      <c r="F1157" s="11"/>
    </row>
    <row r="1158" spans="1:6">
      <c r="A1158" s="5" t="str">
        <f t="shared" si="21"/>
        <v>202305</v>
      </c>
      <c r="B1158" s="5" t="str">
        <f>"23085014204"</f>
        <v>23085014204</v>
      </c>
      <c r="C1158" s="6">
        <v>106.5</v>
      </c>
      <c r="D1158" s="6">
        <v>122</v>
      </c>
      <c r="E1158" s="6">
        <v>228.5</v>
      </c>
      <c r="F1158" s="11"/>
    </row>
    <row r="1159" spans="1:6">
      <c r="A1159" s="5" t="str">
        <f t="shared" si="21"/>
        <v>202305</v>
      </c>
      <c r="B1159" s="5" t="str">
        <f>"23085014024"</f>
        <v>23085014024</v>
      </c>
      <c r="C1159" s="6">
        <v>115.5</v>
      </c>
      <c r="D1159" s="6">
        <v>110</v>
      </c>
      <c r="E1159" s="6">
        <v>225.5</v>
      </c>
      <c r="F1159" s="11"/>
    </row>
    <row r="1160" spans="1:6">
      <c r="A1160" s="5" t="str">
        <f t="shared" si="21"/>
        <v>202305</v>
      </c>
      <c r="B1160" s="5" t="str">
        <f>"23085014010"</f>
        <v>23085014010</v>
      </c>
      <c r="C1160" s="6">
        <v>114</v>
      </c>
      <c r="D1160" s="6">
        <v>111.5</v>
      </c>
      <c r="E1160" s="6">
        <v>225.5</v>
      </c>
      <c r="F1160" s="11"/>
    </row>
    <row r="1161" spans="1:6">
      <c r="A1161" s="5" t="str">
        <f t="shared" si="21"/>
        <v>202305</v>
      </c>
      <c r="B1161" s="5" t="str">
        <f>"23085014205"</f>
        <v>23085014205</v>
      </c>
      <c r="C1161" s="6">
        <v>106.5</v>
      </c>
      <c r="D1161" s="6">
        <v>117.5</v>
      </c>
      <c r="E1161" s="6">
        <v>224</v>
      </c>
      <c r="F1161" s="11"/>
    </row>
    <row r="1162" spans="1:6">
      <c r="A1162" s="5" t="str">
        <f t="shared" si="21"/>
        <v>202305</v>
      </c>
      <c r="B1162" s="5" t="str">
        <f>"23085014109"</f>
        <v>23085014109</v>
      </c>
      <c r="C1162" s="6">
        <v>103.5</v>
      </c>
      <c r="D1162" s="6">
        <v>115</v>
      </c>
      <c r="E1162" s="6">
        <v>218.5</v>
      </c>
      <c r="F1162" s="11"/>
    </row>
    <row r="1163" spans="1:6">
      <c r="A1163" s="5" t="str">
        <f t="shared" si="21"/>
        <v>202305</v>
      </c>
      <c r="B1163" s="5" t="str">
        <f>"23085014208"</f>
        <v>23085014208</v>
      </c>
      <c r="C1163" s="6">
        <v>100.5</v>
      </c>
      <c r="D1163" s="6">
        <v>117</v>
      </c>
      <c r="E1163" s="6">
        <v>217.5</v>
      </c>
      <c r="F1163" s="11"/>
    </row>
    <row r="1164" spans="1:6">
      <c r="A1164" s="5" t="str">
        <f t="shared" si="21"/>
        <v>202305</v>
      </c>
      <c r="B1164" s="5" t="str">
        <f>"23085014130"</f>
        <v>23085014130</v>
      </c>
      <c r="C1164" s="6">
        <v>100.5</v>
      </c>
      <c r="D1164" s="6">
        <v>117</v>
      </c>
      <c r="E1164" s="6">
        <v>217.5</v>
      </c>
      <c r="F1164" s="11"/>
    </row>
    <row r="1165" spans="1:6">
      <c r="A1165" s="5" t="str">
        <f t="shared" si="21"/>
        <v>202305</v>
      </c>
      <c r="B1165" s="5" t="str">
        <f>"23085014107"</f>
        <v>23085014107</v>
      </c>
      <c r="C1165" s="6">
        <v>103.5</v>
      </c>
      <c r="D1165" s="6">
        <v>113.5</v>
      </c>
      <c r="E1165" s="6">
        <v>217</v>
      </c>
      <c r="F1165" s="11"/>
    </row>
    <row r="1166" spans="1:6">
      <c r="A1166" s="5" t="str">
        <f t="shared" si="21"/>
        <v>202305</v>
      </c>
      <c r="B1166" s="5" t="str">
        <f>"23085014026"</f>
        <v>23085014026</v>
      </c>
      <c r="C1166" s="6">
        <v>100.5</v>
      </c>
      <c r="D1166" s="6">
        <v>116</v>
      </c>
      <c r="E1166" s="6">
        <v>216.5</v>
      </c>
      <c r="F1166" s="11"/>
    </row>
    <row r="1167" spans="1:6">
      <c r="A1167" s="5" t="str">
        <f t="shared" si="21"/>
        <v>202305</v>
      </c>
      <c r="B1167" s="5" t="str">
        <f>"23085013924"</f>
        <v>23085013924</v>
      </c>
      <c r="C1167" s="6">
        <v>100.5</v>
      </c>
      <c r="D1167" s="6">
        <v>115.5</v>
      </c>
      <c r="E1167" s="6">
        <v>216</v>
      </c>
      <c r="F1167" s="11"/>
    </row>
    <row r="1168" spans="1:6">
      <c r="A1168" s="5" t="str">
        <f t="shared" si="21"/>
        <v>202305</v>
      </c>
      <c r="B1168" s="5" t="str">
        <f>"23085013927"</f>
        <v>23085013927</v>
      </c>
      <c r="C1168" s="6">
        <v>102</v>
      </c>
      <c r="D1168" s="6">
        <v>113.5</v>
      </c>
      <c r="E1168" s="6">
        <v>215.5</v>
      </c>
      <c r="F1168" s="11"/>
    </row>
    <row r="1169" spans="1:6">
      <c r="A1169" s="5" t="str">
        <f t="shared" si="21"/>
        <v>202305</v>
      </c>
      <c r="B1169" s="5" t="str">
        <f>"23085014009"</f>
        <v>23085014009</v>
      </c>
      <c r="C1169" s="6">
        <v>99</v>
      </c>
      <c r="D1169" s="6">
        <v>116</v>
      </c>
      <c r="E1169" s="6">
        <v>215</v>
      </c>
      <c r="F1169" s="11"/>
    </row>
    <row r="1170" spans="1:6">
      <c r="A1170" s="5" t="str">
        <f t="shared" si="21"/>
        <v>202305</v>
      </c>
      <c r="B1170" s="5" t="str">
        <f>"23085013917"</f>
        <v>23085013917</v>
      </c>
      <c r="C1170" s="6">
        <v>96</v>
      </c>
      <c r="D1170" s="6">
        <v>119</v>
      </c>
      <c r="E1170" s="6">
        <v>215</v>
      </c>
      <c r="F1170" s="11"/>
    </row>
    <row r="1171" spans="1:6">
      <c r="A1171" s="5" t="str">
        <f t="shared" si="21"/>
        <v>202305</v>
      </c>
      <c r="B1171" s="5" t="str">
        <f>"23085014124"</f>
        <v>23085014124</v>
      </c>
      <c r="C1171" s="6">
        <v>97.5</v>
      </c>
      <c r="D1171" s="6">
        <v>117</v>
      </c>
      <c r="E1171" s="6">
        <v>214.5</v>
      </c>
      <c r="F1171" s="11"/>
    </row>
    <row r="1172" spans="1:6">
      <c r="A1172" s="5" t="str">
        <f t="shared" si="21"/>
        <v>202305</v>
      </c>
      <c r="B1172" s="5" t="str">
        <f>"23085014129"</f>
        <v>23085014129</v>
      </c>
      <c r="C1172" s="6">
        <v>97.5</v>
      </c>
      <c r="D1172" s="6">
        <v>117</v>
      </c>
      <c r="E1172" s="6">
        <v>214.5</v>
      </c>
      <c r="F1172" s="11"/>
    </row>
    <row r="1173" spans="1:6">
      <c r="A1173" s="5" t="str">
        <f t="shared" si="21"/>
        <v>202305</v>
      </c>
      <c r="B1173" s="5" t="str">
        <f>"23085013922"</f>
        <v>23085013922</v>
      </c>
      <c r="C1173" s="6">
        <v>97.5</v>
      </c>
      <c r="D1173" s="6">
        <v>116.5</v>
      </c>
      <c r="E1173" s="6">
        <v>214</v>
      </c>
      <c r="F1173" s="11"/>
    </row>
    <row r="1174" spans="1:6">
      <c r="A1174" s="5" t="str">
        <f t="shared" si="21"/>
        <v>202305</v>
      </c>
      <c r="B1174" s="5" t="str">
        <f>"23085014217"</f>
        <v>23085014217</v>
      </c>
      <c r="C1174" s="6">
        <v>102</v>
      </c>
      <c r="D1174" s="6">
        <v>112</v>
      </c>
      <c r="E1174" s="6">
        <v>214</v>
      </c>
      <c r="F1174" s="11"/>
    </row>
    <row r="1175" spans="1:6">
      <c r="A1175" s="5" t="str">
        <f t="shared" si="21"/>
        <v>202305</v>
      </c>
      <c r="B1175" s="5" t="str">
        <f>"23085014022"</f>
        <v>23085014022</v>
      </c>
      <c r="C1175" s="6">
        <v>106.5</v>
      </c>
      <c r="D1175" s="6">
        <v>107.5</v>
      </c>
      <c r="E1175" s="6">
        <v>214</v>
      </c>
      <c r="F1175" s="11"/>
    </row>
    <row r="1176" spans="1:6">
      <c r="A1176" s="5" t="str">
        <f t="shared" si="21"/>
        <v>202305</v>
      </c>
      <c r="B1176" s="5" t="str">
        <f>"23085014110"</f>
        <v>23085014110</v>
      </c>
      <c r="C1176" s="6">
        <v>97.5</v>
      </c>
      <c r="D1176" s="6">
        <v>116.5</v>
      </c>
      <c r="E1176" s="6">
        <v>214</v>
      </c>
      <c r="F1176" s="11"/>
    </row>
    <row r="1177" spans="1:6">
      <c r="A1177" s="5" t="str">
        <f t="shared" si="21"/>
        <v>202305</v>
      </c>
      <c r="B1177" s="5" t="str">
        <f>"23085014125"</f>
        <v>23085014125</v>
      </c>
      <c r="C1177" s="6">
        <v>100.5</v>
      </c>
      <c r="D1177" s="6">
        <v>113</v>
      </c>
      <c r="E1177" s="6">
        <v>213.5</v>
      </c>
      <c r="F1177" s="11"/>
    </row>
    <row r="1178" spans="1:6">
      <c r="A1178" s="5" t="str">
        <f t="shared" si="21"/>
        <v>202305</v>
      </c>
      <c r="B1178" s="5" t="str">
        <f>"23085014018"</f>
        <v>23085014018</v>
      </c>
      <c r="C1178" s="6">
        <v>100.5</v>
      </c>
      <c r="D1178" s="6">
        <v>112</v>
      </c>
      <c r="E1178" s="6">
        <v>212.5</v>
      </c>
      <c r="F1178" s="11"/>
    </row>
    <row r="1179" spans="1:6">
      <c r="A1179" s="5" t="str">
        <f t="shared" si="21"/>
        <v>202305</v>
      </c>
      <c r="B1179" s="5" t="str">
        <f>"23085014216"</f>
        <v>23085014216</v>
      </c>
      <c r="C1179" s="6">
        <v>102</v>
      </c>
      <c r="D1179" s="6">
        <v>110</v>
      </c>
      <c r="E1179" s="6">
        <v>212</v>
      </c>
      <c r="F1179" s="11"/>
    </row>
    <row r="1180" spans="1:6">
      <c r="A1180" s="5" t="str">
        <f t="shared" si="21"/>
        <v>202305</v>
      </c>
      <c r="B1180" s="5" t="str">
        <f>"23085014030"</f>
        <v>23085014030</v>
      </c>
      <c r="C1180" s="6">
        <v>96</v>
      </c>
      <c r="D1180" s="6">
        <v>116</v>
      </c>
      <c r="E1180" s="6">
        <v>212</v>
      </c>
      <c r="F1180" s="11"/>
    </row>
    <row r="1181" spans="1:6">
      <c r="A1181" s="5" t="str">
        <f t="shared" si="21"/>
        <v>202305</v>
      </c>
      <c r="B1181" s="5" t="str">
        <f>"23085014016"</f>
        <v>23085014016</v>
      </c>
      <c r="C1181" s="6">
        <v>90</v>
      </c>
      <c r="D1181" s="6">
        <v>122</v>
      </c>
      <c r="E1181" s="6">
        <v>212</v>
      </c>
      <c r="F1181" s="11"/>
    </row>
    <row r="1182" spans="1:6">
      <c r="A1182" s="5" t="str">
        <f t="shared" si="21"/>
        <v>202305</v>
      </c>
      <c r="B1182" s="5" t="str">
        <f>"23085014214"</f>
        <v>23085014214</v>
      </c>
      <c r="C1182" s="6">
        <v>97.5</v>
      </c>
      <c r="D1182" s="6">
        <v>114</v>
      </c>
      <c r="E1182" s="6">
        <v>211.5</v>
      </c>
      <c r="F1182" s="11"/>
    </row>
    <row r="1183" spans="1:6">
      <c r="A1183" s="5" t="str">
        <f t="shared" si="21"/>
        <v>202305</v>
      </c>
      <c r="B1183" s="5" t="str">
        <f>"23085014120"</f>
        <v>23085014120</v>
      </c>
      <c r="C1183" s="6">
        <v>93</v>
      </c>
      <c r="D1183" s="6">
        <v>118.5</v>
      </c>
      <c r="E1183" s="6">
        <v>211.5</v>
      </c>
      <c r="F1183" s="11"/>
    </row>
    <row r="1184" spans="1:6">
      <c r="A1184" s="5" t="str">
        <f t="shared" si="21"/>
        <v>202305</v>
      </c>
      <c r="B1184" s="5" t="str">
        <f>"23085014209"</f>
        <v>23085014209</v>
      </c>
      <c r="C1184" s="6">
        <v>97.5</v>
      </c>
      <c r="D1184" s="6">
        <v>113.5</v>
      </c>
      <c r="E1184" s="6">
        <v>211</v>
      </c>
      <c r="F1184" s="11"/>
    </row>
    <row r="1185" spans="1:6">
      <c r="A1185" s="5" t="str">
        <f t="shared" si="21"/>
        <v>202305</v>
      </c>
      <c r="B1185" s="5" t="str">
        <f>"23085013919"</f>
        <v>23085013919</v>
      </c>
      <c r="C1185" s="6">
        <v>102</v>
      </c>
      <c r="D1185" s="6">
        <v>109</v>
      </c>
      <c r="E1185" s="6">
        <v>211</v>
      </c>
      <c r="F1185" s="11"/>
    </row>
    <row r="1186" spans="1:6">
      <c r="A1186" s="5" t="str">
        <f t="shared" si="21"/>
        <v>202305</v>
      </c>
      <c r="B1186" s="5" t="str">
        <f>"23085013914"</f>
        <v>23085013914</v>
      </c>
      <c r="C1186" s="6">
        <v>90</v>
      </c>
      <c r="D1186" s="6">
        <v>120.5</v>
      </c>
      <c r="E1186" s="6">
        <v>210.5</v>
      </c>
      <c r="F1186" s="11"/>
    </row>
    <row r="1187" spans="1:6">
      <c r="A1187" s="5" t="str">
        <f t="shared" si="21"/>
        <v>202305</v>
      </c>
      <c r="B1187" s="5" t="str">
        <f>"23085014221"</f>
        <v>23085014221</v>
      </c>
      <c r="C1187" s="6">
        <v>100.5</v>
      </c>
      <c r="D1187" s="6">
        <v>108.5</v>
      </c>
      <c r="E1187" s="6">
        <v>209</v>
      </c>
      <c r="F1187" s="11"/>
    </row>
    <row r="1188" spans="1:6">
      <c r="A1188" s="5" t="str">
        <f t="shared" si="21"/>
        <v>202305</v>
      </c>
      <c r="B1188" s="5" t="str">
        <f>"23085014121"</f>
        <v>23085014121</v>
      </c>
      <c r="C1188" s="6">
        <v>94.5</v>
      </c>
      <c r="D1188" s="6">
        <v>114</v>
      </c>
      <c r="E1188" s="6">
        <v>208.5</v>
      </c>
      <c r="F1188" s="11"/>
    </row>
    <row r="1189" spans="1:6">
      <c r="A1189" s="5" t="str">
        <f t="shared" si="21"/>
        <v>202305</v>
      </c>
      <c r="B1189" s="5" t="str">
        <f>"23085014015"</f>
        <v>23085014015</v>
      </c>
      <c r="C1189" s="6">
        <v>94.5</v>
      </c>
      <c r="D1189" s="6">
        <v>114</v>
      </c>
      <c r="E1189" s="6">
        <v>208.5</v>
      </c>
      <c r="F1189" s="11"/>
    </row>
    <row r="1190" spans="1:6">
      <c r="A1190" s="5" t="str">
        <f t="shared" si="21"/>
        <v>202305</v>
      </c>
      <c r="B1190" s="5" t="str">
        <f>"23085014001"</f>
        <v>23085014001</v>
      </c>
      <c r="C1190" s="6">
        <v>100.5</v>
      </c>
      <c r="D1190" s="6">
        <v>107</v>
      </c>
      <c r="E1190" s="6">
        <v>207.5</v>
      </c>
      <c r="F1190" s="11"/>
    </row>
    <row r="1191" spans="1:6">
      <c r="A1191" s="5" t="str">
        <f t="shared" si="21"/>
        <v>202305</v>
      </c>
      <c r="B1191" s="5" t="str">
        <f>"23085014108"</f>
        <v>23085014108</v>
      </c>
      <c r="C1191" s="6">
        <v>99</v>
      </c>
      <c r="D1191" s="6">
        <v>108.5</v>
      </c>
      <c r="E1191" s="6">
        <v>207.5</v>
      </c>
      <c r="F1191" s="11"/>
    </row>
    <row r="1192" spans="1:6">
      <c r="A1192" s="5" t="str">
        <f t="shared" si="21"/>
        <v>202305</v>
      </c>
      <c r="B1192" s="5" t="str">
        <f>"23085014027"</f>
        <v>23085014027</v>
      </c>
      <c r="C1192" s="6">
        <v>97.5</v>
      </c>
      <c r="D1192" s="6">
        <v>110</v>
      </c>
      <c r="E1192" s="6">
        <v>207.5</v>
      </c>
      <c r="F1192" s="11"/>
    </row>
    <row r="1193" spans="1:6">
      <c r="A1193" s="5" t="str">
        <f t="shared" si="21"/>
        <v>202305</v>
      </c>
      <c r="B1193" s="5" t="str">
        <f>"23085014111"</f>
        <v>23085014111</v>
      </c>
      <c r="C1193" s="6">
        <v>85.5</v>
      </c>
      <c r="D1193" s="6">
        <v>121</v>
      </c>
      <c r="E1193" s="6">
        <v>206.5</v>
      </c>
      <c r="F1193" s="11"/>
    </row>
    <row r="1194" spans="1:6">
      <c r="A1194" s="5" t="str">
        <f t="shared" si="21"/>
        <v>202305</v>
      </c>
      <c r="B1194" s="5" t="str">
        <f>"23085014014"</f>
        <v>23085014014</v>
      </c>
      <c r="C1194" s="6">
        <v>105</v>
      </c>
      <c r="D1194" s="6">
        <v>101</v>
      </c>
      <c r="E1194" s="6">
        <v>206</v>
      </c>
      <c r="F1194" s="11"/>
    </row>
    <row r="1195" spans="1:6">
      <c r="A1195" s="5" t="str">
        <f t="shared" si="21"/>
        <v>202305</v>
      </c>
      <c r="B1195" s="5" t="str">
        <f>"23085014212"</f>
        <v>23085014212</v>
      </c>
      <c r="C1195" s="6">
        <v>99</v>
      </c>
      <c r="D1195" s="6">
        <v>106.5</v>
      </c>
      <c r="E1195" s="6">
        <v>205.5</v>
      </c>
      <c r="F1195" s="11"/>
    </row>
    <row r="1196" spans="1:6">
      <c r="A1196" s="5" t="str">
        <f t="shared" si="21"/>
        <v>202305</v>
      </c>
      <c r="B1196" s="5" t="str">
        <f>"23085014207"</f>
        <v>23085014207</v>
      </c>
      <c r="C1196" s="6">
        <v>88.5</v>
      </c>
      <c r="D1196" s="6">
        <v>116.5</v>
      </c>
      <c r="E1196" s="6">
        <v>205</v>
      </c>
      <c r="F1196" s="11"/>
    </row>
    <row r="1197" spans="1:6">
      <c r="A1197" s="5" t="str">
        <f t="shared" si="21"/>
        <v>202305</v>
      </c>
      <c r="B1197" s="5" t="str">
        <f>"23085014029"</f>
        <v>23085014029</v>
      </c>
      <c r="C1197" s="6">
        <v>88.5</v>
      </c>
      <c r="D1197" s="6">
        <v>115.5</v>
      </c>
      <c r="E1197" s="6">
        <v>204</v>
      </c>
      <c r="F1197" s="11"/>
    </row>
    <row r="1198" spans="1:6">
      <c r="A1198" s="5" t="str">
        <f t="shared" si="21"/>
        <v>202305</v>
      </c>
      <c r="B1198" s="5" t="str">
        <f>"23085014220"</f>
        <v>23085014220</v>
      </c>
      <c r="C1198" s="6">
        <v>88.5</v>
      </c>
      <c r="D1198" s="6">
        <v>115.5</v>
      </c>
      <c r="E1198" s="6">
        <v>204</v>
      </c>
      <c r="F1198" s="11"/>
    </row>
    <row r="1199" spans="1:6">
      <c r="A1199" s="5" t="str">
        <f t="shared" si="21"/>
        <v>202305</v>
      </c>
      <c r="B1199" s="5" t="str">
        <f>"23085013923"</f>
        <v>23085013923</v>
      </c>
      <c r="C1199" s="6">
        <v>96</v>
      </c>
      <c r="D1199" s="6">
        <v>107.5</v>
      </c>
      <c r="E1199" s="6">
        <v>203.5</v>
      </c>
      <c r="F1199" s="11"/>
    </row>
    <row r="1200" spans="1:6">
      <c r="A1200" s="5" t="str">
        <f t="shared" si="21"/>
        <v>202305</v>
      </c>
      <c r="B1200" s="5" t="str">
        <f>"23085013913"</f>
        <v>23085013913</v>
      </c>
      <c r="C1200" s="6">
        <v>93</v>
      </c>
      <c r="D1200" s="6">
        <v>109</v>
      </c>
      <c r="E1200" s="6">
        <v>202</v>
      </c>
      <c r="F1200" s="11"/>
    </row>
    <row r="1201" spans="1:6">
      <c r="A1201" s="5" t="str">
        <f t="shared" si="21"/>
        <v>202305</v>
      </c>
      <c r="B1201" s="5" t="str">
        <f>"23085013928"</f>
        <v>23085013928</v>
      </c>
      <c r="C1201" s="6">
        <v>87</v>
      </c>
      <c r="D1201" s="6">
        <v>114.5</v>
      </c>
      <c r="E1201" s="6">
        <v>201.5</v>
      </c>
      <c r="F1201" s="11"/>
    </row>
    <row r="1202" spans="1:6">
      <c r="A1202" s="5" t="str">
        <f t="shared" si="21"/>
        <v>202305</v>
      </c>
      <c r="B1202" s="5" t="str">
        <f>"23085014020"</f>
        <v>23085014020</v>
      </c>
      <c r="C1202" s="6">
        <v>85.5</v>
      </c>
      <c r="D1202" s="6">
        <v>115.5</v>
      </c>
      <c r="E1202" s="6">
        <v>201</v>
      </c>
      <c r="F1202" s="11"/>
    </row>
    <row r="1203" spans="1:6">
      <c r="A1203" s="5" t="str">
        <f t="shared" si="21"/>
        <v>202305</v>
      </c>
      <c r="B1203" s="5" t="str">
        <f>"23085014021"</f>
        <v>23085014021</v>
      </c>
      <c r="C1203" s="6">
        <v>91.5</v>
      </c>
      <c r="D1203" s="6">
        <v>109.5</v>
      </c>
      <c r="E1203" s="6">
        <v>201</v>
      </c>
      <c r="F1203" s="11"/>
    </row>
    <row r="1204" spans="1:6">
      <c r="A1204" s="5" t="str">
        <f t="shared" si="21"/>
        <v>202305</v>
      </c>
      <c r="B1204" s="5" t="str">
        <f>"23085013921"</f>
        <v>23085013921</v>
      </c>
      <c r="C1204" s="6">
        <v>81</v>
      </c>
      <c r="D1204" s="6">
        <v>118.5</v>
      </c>
      <c r="E1204" s="6">
        <v>199.5</v>
      </c>
      <c r="F1204" s="11"/>
    </row>
    <row r="1205" spans="1:6">
      <c r="A1205" s="5" t="str">
        <f t="shared" si="21"/>
        <v>202305</v>
      </c>
      <c r="B1205" s="5" t="str">
        <f>"23085014122"</f>
        <v>23085014122</v>
      </c>
      <c r="C1205" s="6">
        <v>87</v>
      </c>
      <c r="D1205" s="6">
        <v>112.5</v>
      </c>
      <c r="E1205" s="6">
        <v>199.5</v>
      </c>
      <c r="F1205" s="11"/>
    </row>
    <row r="1206" spans="1:6">
      <c r="A1206" s="5" t="str">
        <f t="shared" si="21"/>
        <v>202305</v>
      </c>
      <c r="B1206" s="5" t="str">
        <f>"23085014013"</f>
        <v>23085014013</v>
      </c>
      <c r="C1206" s="6">
        <v>81</v>
      </c>
      <c r="D1206" s="6">
        <v>117</v>
      </c>
      <c r="E1206" s="6">
        <v>198</v>
      </c>
      <c r="F1206" s="11"/>
    </row>
    <row r="1207" spans="1:6">
      <c r="A1207" s="5" t="str">
        <f t="shared" si="21"/>
        <v>202305</v>
      </c>
      <c r="B1207" s="5" t="str">
        <f>"23085014211"</f>
        <v>23085014211</v>
      </c>
      <c r="C1207" s="6">
        <v>94.5</v>
      </c>
      <c r="D1207" s="6">
        <v>102</v>
      </c>
      <c r="E1207" s="6">
        <v>196.5</v>
      </c>
      <c r="F1207" s="11"/>
    </row>
    <row r="1208" spans="1:6">
      <c r="A1208" s="5" t="str">
        <f t="shared" si="21"/>
        <v>202305</v>
      </c>
      <c r="B1208" s="5" t="str">
        <f>"23085014008"</f>
        <v>23085014008</v>
      </c>
      <c r="C1208" s="6">
        <v>87</v>
      </c>
      <c r="D1208" s="6">
        <v>109</v>
      </c>
      <c r="E1208" s="6">
        <v>196</v>
      </c>
      <c r="F1208" s="11"/>
    </row>
    <row r="1209" spans="1:6">
      <c r="A1209" s="5" t="str">
        <f t="shared" si="21"/>
        <v>202305</v>
      </c>
      <c r="B1209" s="5" t="str">
        <f>"23085014005"</f>
        <v>23085014005</v>
      </c>
      <c r="C1209" s="6">
        <v>82.5</v>
      </c>
      <c r="D1209" s="6">
        <v>111</v>
      </c>
      <c r="E1209" s="6">
        <v>193.5</v>
      </c>
      <c r="F1209" s="11"/>
    </row>
    <row r="1210" spans="1:6">
      <c r="A1210" s="5" t="str">
        <f t="shared" si="21"/>
        <v>202305</v>
      </c>
      <c r="B1210" s="5" t="str">
        <f>"23085014103"</f>
        <v>23085014103</v>
      </c>
      <c r="C1210" s="6">
        <v>78</v>
      </c>
      <c r="D1210" s="6">
        <v>115.5</v>
      </c>
      <c r="E1210" s="6">
        <v>193.5</v>
      </c>
      <c r="F1210" s="11"/>
    </row>
    <row r="1211" spans="1:6">
      <c r="A1211" s="5" t="str">
        <f t="shared" si="21"/>
        <v>202305</v>
      </c>
      <c r="B1211" s="5" t="str">
        <f>"23085013930"</f>
        <v>23085013930</v>
      </c>
      <c r="C1211" s="6">
        <v>78</v>
      </c>
      <c r="D1211" s="6">
        <v>115</v>
      </c>
      <c r="E1211" s="6">
        <v>193</v>
      </c>
      <c r="F1211" s="11"/>
    </row>
    <row r="1212" spans="1:6">
      <c r="A1212" s="5" t="str">
        <f t="shared" si="21"/>
        <v>202305</v>
      </c>
      <c r="B1212" s="5" t="str">
        <f>"23085013926"</f>
        <v>23085013926</v>
      </c>
      <c r="C1212" s="6">
        <v>84</v>
      </c>
      <c r="D1212" s="6">
        <v>109</v>
      </c>
      <c r="E1212" s="6">
        <v>193</v>
      </c>
      <c r="F1212" s="11"/>
    </row>
    <row r="1213" spans="1:6">
      <c r="A1213" s="5" t="str">
        <f t="shared" si="21"/>
        <v>202305</v>
      </c>
      <c r="B1213" s="5" t="str">
        <f>"23085013918"</f>
        <v>23085013918</v>
      </c>
      <c r="C1213" s="6">
        <v>93</v>
      </c>
      <c r="D1213" s="6">
        <v>100</v>
      </c>
      <c r="E1213" s="6">
        <v>193</v>
      </c>
      <c r="F1213" s="11"/>
    </row>
    <row r="1214" spans="1:6">
      <c r="A1214" s="5" t="str">
        <f t="shared" si="21"/>
        <v>202305</v>
      </c>
      <c r="B1214" s="5" t="str">
        <f>"23085014201"</f>
        <v>23085014201</v>
      </c>
      <c r="C1214" s="6">
        <v>87</v>
      </c>
      <c r="D1214" s="6">
        <v>104</v>
      </c>
      <c r="E1214" s="6">
        <v>191</v>
      </c>
      <c r="F1214" s="11"/>
    </row>
    <row r="1215" spans="1:6">
      <c r="A1215" s="5" t="str">
        <f t="shared" si="21"/>
        <v>202305</v>
      </c>
      <c r="B1215" s="5" t="str">
        <f>"23085014113"</f>
        <v>23085014113</v>
      </c>
      <c r="C1215" s="6">
        <v>99</v>
      </c>
      <c r="D1215" s="6">
        <v>91</v>
      </c>
      <c r="E1215" s="6">
        <v>190</v>
      </c>
      <c r="F1215" s="11"/>
    </row>
    <row r="1216" spans="1:6">
      <c r="A1216" s="5" t="str">
        <f t="shared" si="21"/>
        <v>202305</v>
      </c>
      <c r="B1216" s="5" t="str">
        <f>"23085014019"</f>
        <v>23085014019</v>
      </c>
      <c r="C1216" s="6">
        <v>78</v>
      </c>
      <c r="D1216" s="6">
        <v>109</v>
      </c>
      <c r="E1216" s="6">
        <v>187</v>
      </c>
      <c r="F1216" s="11"/>
    </row>
    <row r="1217" spans="1:6">
      <c r="A1217" s="5" t="str">
        <f t="shared" si="21"/>
        <v>202305</v>
      </c>
      <c r="B1217" s="5" t="str">
        <f>"23085014202"</f>
        <v>23085014202</v>
      </c>
      <c r="C1217" s="6">
        <v>70.5</v>
      </c>
      <c r="D1217" s="6">
        <v>115.5</v>
      </c>
      <c r="E1217" s="6">
        <v>186</v>
      </c>
      <c r="F1217" s="11"/>
    </row>
    <row r="1218" spans="1:6">
      <c r="A1218" s="5" t="str">
        <f t="shared" si="21"/>
        <v>202305</v>
      </c>
      <c r="B1218" s="5" t="str">
        <f>"23085014218"</f>
        <v>23085014218</v>
      </c>
      <c r="C1218" s="6">
        <v>76.5</v>
      </c>
      <c r="D1218" s="6">
        <v>109</v>
      </c>
      <c r="E1218" s="6">
        <v>185.5</v>
      </c>
      <c r="F1218" s="11"/>
    </row>
    <row r="1219" spans="1:6">
      <c r="A1219" s="5" t="str">
        <f t="shared" ref="A1219:A1257" si="22">"202305"</f>
        <v>202305</v>
      </c>
      <c r="B1219" s="5" t="str">
        <f>"23085013916"</f>
        <v>23085013916</v>
      </c>
      <c r="C1219" s="6">
        <v>85.5</v>
      </c>
      <c r="D1219" s="6">
        <v>99.5</v>
      </c>
      <c r="E1219" s="6">
        <v>185</v>
      </c>
      <c r="F1219" s="11"/>
    </row>
    <row r="1220" spans="1:6">
      <c r="A1220" s="5" t="str">
        <f t="shared" si="22"/>
        <v>202305</v>
      </c>
      <c r="B1220" s="5" t="str">
        <f>"23085014118"</f>
        <v>23085014118</v>
      </c>
      <c r="C1220" s="6">
        <v>70.5</v>
      </c>
      <c r="D1220" s="6">
        <v>114.5</v>
      </c>
      <c r="E1220" s="6">
        <v>185</v>
      </c>
      <c r="F1220" s="11"/>
    </row>
    <row r="1221" spans="1:6">
      <c r="A1221" s="5" t="str">
        <f t="shared" si="22"/>
        <v>202305</v>
      </c>
      <c r="B1221" s="5" t="str">
        <f>"23085014017"</f>
        <v>23085014017</v>
      </c>
      <c r="C1221" s="6">
        <v>85.5</v>
      </c>
      <c r="D1221" s="6">
        <v>98</v>
      </c>
      <c r="E1221" s="6">
        <v>183.5</v>
      </c>
      <c r="F1221" s="11"/>
    </row>
    <row r="1222" spans="1:6">
      <c r="A1222" s="5" t="str">
        <f t="shared" si="22"/>
        <v>202305</v>
      </c>
      <c r="B1222" s="5" t="str">
        <f>"23085014007"</f>
        <v>23085014007</v>
      </c>
      <c r="C1222" s="6">
        <v>70.5</v>
      </c>
      <c r="D1222" s="6">
        <v>113</v>
      </c>
      <c r="E1222" s="6">
        <v>183.5</v>
      </c>
      <c r="F1222" s="11"/>
    </row>
    <row r="1223" spans="1:6">
      <c r="A1223" s="5" t="str">
        <f t="shared" si="22"/>
        <v>202305</v>
      </c>
      <c r="B1223" s="5" t="str">
        <f>"23085014112"</f>
        <v>23085014112</v>
      </c>
      <c r="C1223" s="6">
        <v>82.5</v>
      </c>
      <c r="D1223" s="6">
        <v>101</v>
      </c>
      <c r="E1223" s="6">
        <v>183.5</v>
      </c>
      <c r="F1223" s="11"/>
    </row>
    <row r="1224" spans="1:6">
      <c r="A1224" s="5" t="str">
        <f t="shared" si="22"/>
        <v>202305</v>
      </c>
      <c r="B1224" s="5" t="str">
        <f>"23085014225"</f>
        <v>23085014225</v>
      </c>
      <c r="C1224" s="6">
        <v>82.5</v>
      </c>
      <c r="D1224" s="6">
        <v>99</v>
      </c>
      <c r="E1224" s="6">
        <v>181.5</v>
      </c>
      <c r="F1224" s="11"/>
    </row>
    <row r="1225" spans="1:6">
      <c r="A1225" s="5" t="str">
        <f t="shared" si="22"/>
        <v>202305</v>
      </c>
      <c r="B1225" s="5" t="str">
        <f>"23085014213"</f>
        <v>23085014213</v>
      </c>
      <c r="C1225" s="6">
        <v>69</v>
      </c>
      <c r="D1225" s="6">
        <v>111.5</v>
      </c>
      <c r="E1225" s="6">
        <v>180.5</v>
      </c>
      <c r="F1225" s="11"/>
    </row>
    <row r="1226" spans="1:6">
      <c r="A1226" s="5" t="str">
        <f t="shared" si="22"/>
        <v>202305</v>
      </c>
      <c r="B1226" s="5" t="str">
        <f>"23085014025"</f>
        <v>23085014025</v>
      </c>
      <c r="C1226" s="6">
        <v>72</v>
      </c>
      <c r="D1226" s="6">
        <v>108</v>
      </c>
      <c r="E1226" s="6">
        <v>180</v>
      </c>
      <c r="F1226" s="11"/>
    </row>
    <row r="1227" spans="1:6">
      <c r="A1227" s="5" t="str">
        <f t="shared" si="22"/>
        <v>202305</v>
      </c>
      <c r="B1227" s="5" t="str">
        <f>"23085014128"</f>
        <v>23085014128</v>
      </c>
      <c r="C1227" s="6">
        <v>70.5</v>
      </c>
      <c r="D1227" s="6">
        <v>109.5</v>
      </c>
      <c r="E1227" s="6">
        <v>180</v>
      </c>
      <c r="F1227" s="11"/>
    </row>
    <row r="1228" spans="1:6">
      <c r="A1228" s="5" t="str">
        <f t="shared" si="22"/>
        <v>202305</v>
      </c>
      <c r="B1228" s="5" t="str">
        <f>"23085014224"</f>
        <v>23085014224</v>
      </c>
      <c r="C1228" s="6">
        <v>76.5</v>
      </c>
      <c r="D1228" s="6">
        <v>102.5</v>
      </c>
      <c r="E1228" s="6">
        <v>179</v>
      </c>
      <c r="F1228" s="11"/>
    </row>
    <row r="1229" spans="1:6">
      <c r="A1229" s="5" t="str">
        <f t="shared" si="22"/>
        <v>202305</v>
      </c>
      <c r="B1229" s="5" t="str">
        <f>"23085014023"</f>
        <v>23085014023</v>
      </c>
      <c r="C1229" s="6">
        <v>82.5</v>
      </c>
      <c r="D1229" s="6">
        <v>92.5</v>
      </c>
      <c r="E1229" s="6">
        <v>175</v>
      </c>
      <c r="F1229" s="11"/>
    </row>
    <row r="1230" spans="1:6">
      <c r="A1230" s="5" t="str">
        <f t="shared" si="22"/>
        <v>202305</v>
      </c>
      <c r="B1230" s="5" t="str">
        <f>"23085014105"</f>
        <v>23085014105</v>
      </c>
      <c r="C1230" s="6">
        <v>81</v>
      </c>
      <c r="D1230" s="6">
        <v>92.5</v>
      </c>
      <c r="E1230" s="6">
        <v>173.5</v>
      </c>
      <c r="F1230" s="11"/>
    </row>
    <row r="1231" spans="1:6">
      <c r="A1231" s="5" t="str">
        <f t="shared" si="22"/>
        <v>202305</v>
      </c>
      <c r="B1231" s="5" t="str">
        <f>"23085013925"</f>
        <v>23085013925</v>
      </c>
      <c r="C1231" s="6">
        <v>70.5</v>
      </c>
      <c r="D1231" s="6">
        <v>100</v>
      </c>
      <c r="E1231" s="6">
        <v>170.5</v>
      </c>
      <c r="F1231" s="11"/>
    </row>
    <row r="1232" spans="1:6">
      <c r="A1232" s="5" t="str">
        <f t="shared" si="22"/>
        <v>202305</v>
      </c>
      <c r="B1232" s="5" t="str">
        <f>"23085014127"</f>
        <v>23085014127</v>
      </c>
      <c r="C1232" s="6">
        <v>63</v>
      </c>
      <c r="D1232" s="6">
        <v>102.5</v>
      </c>
      <c r="E1232" s="6">
        <v>165.5</v>
      </c>
      <c r="F1232" s="11"/>
    </row>
    <row r="1233" spans="1:6">
      <c r="A1233" s="5" t="str">
        <f t="shared" si="22"/>
        <v>202305</v>
      </c>
      <c r="B1233" s="5" t="str">
        <f>"23085014006"</f>
        <v>23085014006</v>
      </c>
      <c r="C1233" s="6">
        <v>48</v>
      </c>
      <c r="D1233" s="6">
        <v>94</v>
      </c>
      <c r="E1233" s="6">
        <v>142</v>
      </c>
      <c r="F1233" s="11"/>
    </row>
    <row r="1234" spans="1:6">
      <c r="A1234" s="5" t="str">
        <f t="shared" si="22"/>
        <v>202305</v>
      </c>
      <c r="B1234" s="5" t="str">
        <f>"23085014117"</f>
        <v>23085014117</v>
      </c>
      <c r="C1234" s="6">
        <v>0</v>
      </c>
      <c r="D1234" s="6">
        <v>0</v>
      </c>
      <c r="E1234" s="6">
        <v>0</v>
      </c>
      <c r="F1234" s="11" t="s">
        <v>7</v>
      </c>
    </row>
    <row r="1235" spans="1:6">
      <c r="A1235" s="5" t="str">
        <f t="shared" si="22"/>
        <v>202305</v>
      </c>
      <c r="B1235" s="5" t="str">
        <f>"23085014123"</f>
        <v>23085014123</v>
      </c>
      <c r="C1235" s="6">
        <v>0</v>
      </c>
      <c r="D1235" s="6">
        <v>0</v>
      </c>
      <c r="E1235" s="6">
        <v>0</v>
      </c>
      <c r="F1235" s="11" t="s">
        <v>7</v>
      </c>
    </row>
    <row r="1236" spans="1:6">
      <c r="A1236" s="5" t="str">
        <f t="shared" si="22"/>
        <v>202305</v>
      </c>
      <c r="B1236" s="5" t="str">
        <f>"23085014114"</f>
        <v>23085014114</v>
      </c>
      <c r="C1236" s="6">
        <v>0</v>
      </c>
      <c r="D1236" s="6">
        <v>0</v>
      </c>
      <c r="E1236" s="6">
        <v>0</v>
      </c>
      <c r="F1236" s="11" t="s">
        <v>7</v>
      </c>
    </row>
    <row r="1237" spans="1:6">
      <c r="A1237" s="5" t="str">
        <f t="shared" si="22"/>
        <v>202305</v>
      </c>
      <c r="B1237" s="5" t="str">
        <f>"23085014104"</f>
        <v>23085014104</v>
      </c>
      <c r="C1237" s="6">
        <v>0</v>
      </c>
      <c r="D1237" s="6">
        <v>0</v>
      </c>
      <c r="E1237" s="6">
        <v>0</v>
      </c>
      <c r="F1237" s="11" t="s">
        <v>7</v>
      </c>
    </row>
    <row r="1238" spans="1:6">
      <c r="A1238" s="5" t="str">
        <f t="shared" si="22"/>
        <v>202305</v>
      </c>
      <c r="B1238" s="5" t="str">
        <f>"23085014223"</f>
        <v>23085014223</v>
      </c>
      <c r="C1238" s="6">
        <v>0</v>
      </c>
      <c r="D1238" s="6">
        <v>0</v>
      </c>
      <c r="E1238" s="6">
        <v>0</v>
      </c>
      <c r="F1238" s="11" t="s">
        <v>7</v>
      </c>
    </row>
    <row r="1239" spans="1:6">
      <c r="A1239" s="5" t="str">
        <f t="shared" si="22"/>
        <v>202305</v>
      </c>
      <c r="B1239" s="5" t="str">
        <f>"23085014011"</f>
        <v>23085014011</v>
      </c>
      <c r="C1239" s="6">
        <v>0</v>
      </c>
      <c r="D1239" s="6">
        <v>0</v>
      </c>
      <c r="E1239" s="6">
        <v>0</v>
      </c>
      <c r="F1239" s="11" t="s">
        <v>7</v>
      </c>
    </row>
    <row r="1240" spans="1:6">
      <c r="A1240" s="5" t="str">
        <f t="shared" si="22"/>
        <v>202305</v>
      </c>
      <c r="B1240" s="5" t="str">
        <f>"23085014106"</f>
        <v>23085014106</v>
      </c>
      <c r="C1240" s="6">
        <v>0</v>
      </c>
      <c r="D1240" s="6">
        <v>0</v>
      </c>
      <c r="E1240" s="6">
        <v>0</v>
      </c>
      <c r="F1240" s="11" t="s">
        <v>7</v>
      </c>
    </row>
    <row r="1241" spans="1:6">
      <c r="A1241" s="5" t="str">
        <f t="shared" si="22"/>
        <v>202305</v>
      </c>
      <c r="B1241" s="5" t="str">
        <f>"23085014222"</f>
        <v>23085014222</v>
      </c>
      <c r="C1241" s="6">
        <v>0</v>
      </c>
      <c r="D1241" s="6">
        <v>0</v>
      </c>
      <c r="E1241" s="6">
        <v>0</v>
      </c>
      <c r="F1241" s="11" t="s">
        <v>7</v>
      </c>
    </row>
    <row r="1242" spans="1:6">
      <c r="A1242" s="5" t="str">
        <f t="shared" si="22"/>
        <v>202305</v>
      </c>
      <c r="B1242" s="5" t="str">
        <f>"23085014219"</f>
        <v>23085014219</v>
      </c>
      <c r="C1242" s="6">
        <v>0</v>
      </c>
      <c r="D1242" s="6">
        <v>0</v>
      </c>
      <c r="E1242" s="6">
        <v>0</v>
      </c>
      <c r="F1242" s="11" t="s">
        <v>7</v>
      </c>
    </row>
    <row r="1243" spans="1:6">
      <c r="A1243" s="5" t="str">
        <f t="shared" si="22"/>
        <v>202305</v>
      </c>
      <c r="B1243" s="5" t="str">
        <f>"23085014028"</f>
        <v>23085014028</v>
      </c>
      <c r="C1243" s="6">
        <v>0</v>
      </c>
      <c r="D1243" s="6">
        <v>0</v>
      </c>
      <c r="E1243" s="6">
        <v>0</v>
      </c>
      <c r="F1243" s="11" t="s">
        <v>7</v>
      </c>
    </row>
    <row r="1244" spans="1:6">
      <c r="A1244" s="5" t="str">
        <f t="shared" si="22"/>
        <v>202305</v>
      </c>
      <c r="B1244" s="5" t="str">
        <f>"23085014206"</f>
        <v>23085014206</v>
      </c>
      <c r="C1244" s="6">
        <v>0</v>
      </c>
      <c r="D1244" s="6">
        <v>0</v>
      </c>
      <c r="E1244" s="6">
        <v>0</v>
      </c>
      <c r="F1244" s="11" t="s">
        <v>7</v>
      </c>
    </row>
    <row r="1245" spans="1:6">
      <c r="A1245" s="5" t="str">
        <f t="shared" si="22"/>
        <v>202305</v>
      </c>
      <c r="B1245" s="5" t="str">
        <f>"23085014003"</f>
        <v>23085014003</v>
      </c>
      <c r="C1245" s="6">
        <v>0</v>
      </c>
      <c r="D1245" s="6">
        <v>0</v>
      </c>
      <c r="E1245" s="6">
        <v>0</v>
      </c>
      <c r="F1245" s="11" t="s">
        <v>7</v>
      </c>
    </row>
    <row r="1246" spans="1:6">
      <c r="A1246" s="5" t="str">
        <f t="shared" si="22"/>
        <v>202305</v>
      </c>
      <c r="B1246" s="5" t="str">
        <f>"23085014116"</f>
        <v>23085014116</v>
      </c>
      <c r="C1246" s="6">
        <v>0</v>
      </c>
      <c r="D1246" s="6">
        <v>0</v>
      </c>
      <c r="E1246" s="6">
        <v>0</v>
      </c>
      <c r="F1246" s="11" t="s">
        <v>7</v>
      </c>
    </row>
    <row r="1247" spans="1:6">
      <c r="A1247" s="5" t="str">
        <f t="shared" si="22"/>
        <v>202305</v>
      </c>
      <c r="B1247" s="5" t="str">
        <f>"23085013915"</f>
        <v>23085013915</v>
      </c>
      <c r="C1247" s="6">
        <v>0</v>
      </c>
      <c r="D1247" s="6">
        <v>0</v>
      </c>
      <c r="E1247" s="6">
        <v>0</v>
      </c>
      <c r="F1247" s="11" t="s">
        <v>7</v>
      </c>
    </row>
    <row r="1248" spans="1:6">
      <c r="A1248" s="5" t="str">
        <f t="shared" si="22"/>
        <v>202305</v>
      </c>
      <c r="B1248" s="5" t="str">
        <f>"23085014012"</f>
        <v>23085014012</v>
      </c>
      <c r="C1248" s="6">
        <v>0</v>
      </c>
      <c r="D1248" s="6">
        <v>0</v>
      </c>
      <c r="E1248" s="6">
        <v>0</v>
      </c>
      <c r="F1248" s="11" t="s">
        <v>7</v>
      </c>
    </row>
    <row r="1249" spans="1:6">
      <c r="A1249" s="5" t="str">
        <f t="shared" si="22"/>
        <v>202305</v>
      </c>
      <c r="B1249" s="5" t="str">
        <f>"23085014126"</f>
        <v>23085014126</v>
      </c>
      <c r="C1249" s="6">
        <v>0</v>
      </c>
      <c r="D1249" s="6">
        <v>0</v>
      </c>
      <c r="E1249" s="6">
        <v>0</v>
      </c>
      <c r="F1249" s="11" t="s">
        <v>7</v>
      </c>
    </row>
    <row r="1250" spans="1:6">
      <c r="A1250" s="5" t="str">
        <f t="shared" si="22"/>
        <v>202305</v>
      </c>
      <c r="B1250" s="5" t="str">
        <f>"23085014102"</f>
        <v>23085014102</v>
      </c>
      <c r="C1250" s="6">
        <v>0</v>
      </c>
      <c r="D1250" s="6">
        <v>0</v>
      </c>
      <c r="E1250" s="6">
        <v>0</v>
      </c>
      <c r="F1250" s="11" t="s">
        <v>7</v>
      </c>
    </row>
    <row r="1251" spans="1:6">
      <c r="A1251" s="5" t="str">
        <f t="shared" si="22"/>
        <v>202305</v>
      </c>
      <c r="B1251" s="5" t="str">
        <f>"23085014210"</f>
        <v>23085014210</v>
      </c>
      <c r="C1251" s="6">
        <v>0</v>
      </c>
      <c r="D1251" s="6">
        <v>0</v>
      </c>
      <c r="E1251" s="6">
        <v>0</v>
      </c>
      <c r="F1251" s="11" t="s">
        <v>7</v>
      </c>
    </row>
    <row r="1252" spans="1:6">
      <c r="A1252" s="5" t="str">
        <f t="shared" si="22"/>
        <v>202305</v>
      </c>
      <c r="B1252" s="5" t="str">
        <f>"23085013929"</f>
        <v>23085013929</v>
      </c>
      <c r="C1252" s="6">
        <v>0</v>
      </c>
      <c r="D1252" s="6">
        <v>0</v>
      </c>
      <c r="E1252" s="6">
        <v>0</v>
      </c>
      <c r="F1252" s="11" t="s">
        <v>7</v>
      </c>
    </row>
    <row r="1253" spans="1:6">
      <c r="A1253" s="5" t="str">
        <f t="shared" si="22"/>
        <v>202305</v>
      </c>
      <c r="B1253" s="5" t="str">
        <f>"23085013920"</f>
        <v>23085013920</v>
      </c>
      <c r="C1253" s="6">
        <v>0</v>
      </c>
      <c r="D1253" s="6">
        <v>0</v>
      </c>
      <c r="E1253" s="6">
        <v>0</v>
      </c>
      <c r="F1253" s="11" t="s">
        <v>7</v>
      </c>
    </row>
    <row r="1254" spans="1:6">
      <c r="A1254" s="5" t="str">
        <f t="shared" si="22"/>
        <v>202305</v>
      </c>
      <c r="B1254" s="5" t="str">
        <f>"23085014004"</f>
        <v>23085014004</v>
      </c>
      <c r="C1254" s="6">
        <v>0</v>
      </c>
      <c r="D1254" s="6">
        <v>0</v>
      </c>
      <c r="E1254" s="6">
        <v>0</v>
      </c>
      <c r="F1254" s="11" t="s">
        <v>7</v>
      </c>
    </row>
    <row r="1255" spans="1:6">
      <c r="A1255" s="5" t="str">
        <f t="shared" si="22"/>
        <v>202305</v>
      </c>
      <c r="B1255" s="5" t="str">
        <f>"23085014101"</f>
        <v>23085014101</v>
      </c>
      <c r="C1255" s="6">
        <v>0</v>
      </c>
      <c r="D1255" s="6">
        <v>0</v>
      </c>
      <c r="E1255" s="6">
        <v>0</v>
      </c>
      <c r="F1255" s="11" t="s">
        <v>7</v>
      </c>
    </row>
    <row r="1256" spans="1:6">
      <c r="A1256" s="5" t="str">
        <f t="shared" si="22"/>
        <v>202305</v>
      </c>
      <c r="B1256" s="5" t="str">
        <f>"23085014119"</f>
        <v>23085014119</v>
      </c>
      <c r="C1256" s="6">
        <v>0</v>
      </c>
      <c r="D1256" s="6">
        <v>0</v>
      </c>
      <c r="E1256" s="6">
        <v>0</v>
      </c>
      <c r="F1256" s="11" t="s">
        <v>7</v>
      </c>
    </row>
    <row r="1257" spans="1:6">
      <c r="A1257" s="5" t="str">
        <f t="shared" si="22"/>
        <v>202305</v>
      </c>
      <c r="B1257" s="5" t="str">
        <f>"23085014002"</f>
        <v>23085014002</v>
      </c>
      <c r="C1257" s="6">
        <v>0</v>
      </c>
      <c r="D1257" s="6">
        <v>0</v>
      </c>
      <c r="E1257" s="6">
        <v>0</v>
      </c>
      <c r="F1257" s="11" t="s">
        <v>7</v>
      </c>
    </row>
    <row r="1258" spans="1:6">
      <c r="A1258" s="5" t="str">
        <f t="shared" ref="A1258:A1321" si="23">"202306"</f>
        <v>202306</v>
      </c>
      <c r="B1258" s="5" t="str">
        <f>"23085014423"</f>
        <v>23085014423</v>
      </c>
      <c r="C1258" s="6">
        <v>121.5</v>
      </c>
      <c r="D1258" s="6">
        <v>118</v>
      </c>
      <c r="E1258" s="6">
        <v>239.5</v>
      </c>
      <c r="F1258" s="11"/>
    </row>
    <row r="1259" spans="1:6">
      <c r="A1259" s="5" t="str">
        <f t="shared" si="23"/>
        <v>202306</v>
      </c>
      <c r="B1259" s="5" t="str">
        <f>"23085014510"</f>
        <v>23085014510</v>
      </c>
      <c r="C1259" s="6">
        <v>121.5</v>
      </c>
      <c r="D1259" s="6">
        <v>117.5</v>
      </c>
      <c r="E1259" s="6">
        <v>239</v>
      </c>
      <c r="F1259" s="11"/>
    </row>
    <row r="1260" spans="1:6">
      <c r="A1260" s="5" t="str">
        <f t="shared" si="23"/>
        <v>202306</v>
      </c>
      <c r="B1260" s="5" t="str">
        <f>"23085014619"</f>
        <v>23085014619</v>
      </c>
      <c r="C1260" s="6">
        <v>118.5</v>
      </c>
      <c r="D1260" s="6">
        <v>120</v>
      </c>
      <c r="E1260" s="6">
        <v>238.5</v>
      </c>
      <c r="F1260" s="11"/>
    </row>
    <row r="1261" spans="1:6">
      <c r="A1261" s="5" t="str">
        <f t="shared" si="23"/>
        <v>202306</v>
      </c>
      <c r="B1261" s="5" t="str">
        <f>"23085014410"</f>
        <v>23085014410</v>
      </c>
      <c r="C1261" s="6">
        <v>117</v>
      </c>
      <c r="D1261" s="6">
        <v>120</v>
      </c>
      <c r="E1261" s="6">
        <v>237</v>
      </c>
      <c r="F1261" s="11"/>
    </row>
    <row r="1262" spans="1:6">
      <c r="A1262" s="5" t="str">
        <f t="shared" si="23"/>
        <v>202306</v>
      </c>
      <c r="B1262" s="5" t="str">
        <f>"23085014320"</f>
        <v>23085014320</v>
      </c>
      <c r="C1262" s="6">
        <v>117</v>
      </c>
      <c r="D1262" s="6">
        <v>115.5</v>
      </c>
      <c r="E1262" s="6">
        <v>232.5</v>
      </c>
      <c r="F1262" s="11"/>
    </row>
    <row r="1263" spans="1:6">
      <c r="A1263" s="5" t="str">
        <f t="shared" si="23"/>
        <v>202306</v>
      </c>
      <c r="B1263" s="5" t="str">
        <f>"23085014306"</f>
        <v>23085014306</v>
      </c>
      <c r="C1263" s="6">
        <v>121.5</v>
      </c>
      <c r="D1263" s="6">
        <v>110.5</v>
      </c>
      <c r="E1263" s="6">
        <v>232</v>
      </c>
      <c r="F1263" s="11"/>
    </row>
    <row r="1264" spans="1:6">
      <c r="A1264" s="5" t="str">
        <f t="shared" si="23"/>
        <v>202306</v>
      </c>
      <c r="B1264" s="5" t="str">
        <f>"23085014805"</f>
        <v>23085014805</v>
      </c>
      <c r="C1264" s="6">
        <v>115.5</v>
      </c>
      <c r="D1264" s="6">
        <v>116</v>
      </c>
      <c r="E1264" s="6">
        <v>231.5</v>
      </c>
      <c r="F1264" s="11"/>
    </row>
    <row r="1265" spans="1:6">
      <c r="A1265" s="5" t="str">
        <f t="shared" si="23"/>
        <v>202306</v>
      </c>
      <c r="B1265" s="5" t="str">
        <f>"23085014617"</f>
        <v>23085014617</v>
      </c>
      <c r="C1265" s="6">
        <v>115.5</v>
      </c>
      <c r="D1265" s="6">
        <v>115.5</v>
      </c>
      <c r="E1265" s="6">
        <v>231</v>
      </c>
      <c r="F1265" s="11"/>
    </row>
    <row r="1266" spans="1:6">
      <c r="A1266" s="5" t="str">
        <f t="shared" si="23"/>
        <v>202306</v>
      </c>
      <c r="B1266" s="5" t="str">
        <f>"23085014328"</f>
        <v>23085014328</v>
      </c>
      <c r="C1266" s="6">
        <v>115.5</v>
      </c>
      <c r="D1266" s="6">
        <v>115.5</v>
      </c>
      <c r="E1266" s="6">
        <v>231</v>
      </c>
      <c r="F1266" s="11"/>
    </row>
    <row r="1267" spans="1:6">
      <c r="A1267" s="5" t="str">
        <f t="shared" si="23"/>
        <v>202306</v>
      </c>
      <c r="B1267" s="5" t="str">
        <f>"23085014416"</f>
        <v>23085014416</v>
      </c>
      <c r="C1267" s="6">
        <v>111</v>
      </c>
      <c r="D1267" s="6">
        <v>119.5</v>
      </c>
      <c r="E1267" s="6">
        <v>230.5</v>
      </c>
      <c r="F1267" s="11"/>
    </row>
    <row r="1268" spans="1:6">
      <c r="A1268" s="5" t="str">
        <f t="shared" si="23"/>
        <v>202306</v>
      </c>
      <c r="B1268" s="5" t="str">
        <f>"23085014803"</f>
        <v>23085014803</v>
      </c>
      <c r="C1268" s="6">
        <v>117</v>
      </c>
      <c r="D1268" s="6">
        <v>113</v>
      </c>
      <c r="E1268" s="6">
        <v>230</v>
      </c>
      <c r="F1268" s="11"/>
    </row>
    <row r="1269" spans="1:6">
      <c r="A1269" s="5" t="str">
        <f t="shared" si="23"/>
        <v>202306</v>
      </c>
      <c r="B1269" s="5" t="str">
        <f>"23085014530"</f>
        <v>23085014530</v>
      </c>
      <c r="C1269" s="6">
        <v>111</v>
      </c>
      <c r="D1269" s="6">
        <v>119</v>
      </c>
      <c r="E1269" s="6">
        <v>230</v>
      </c>
      <c r="F1269" s="11"/>
    </row>
    <row r="1270" spans="1:6">
      <c r="A1270" s="5" t="str">
        <f t="shared" si="23"/>
        <v>202306</v>
      </c>
      <c r="B1270" s="5" t="str">
        <f>"23085014319"</f>
        <v>23085014319</v>
      </c>
      <c r="C1270" s="6">
        <v>109.5</v>
      </c>
      <c r="D1270" s="6">
        <v>118.5</v>
      </c>
      <c r="E1270" s="6">
        <v>228</v>
      </c>
      <c r="F1270" s="11"/>
    </row>
    <row r="1271" spans="1:6">
      <c r="A1271" s="5" t="str">
        <f t="shared" si="23"/>
        <v>202306</v>
      </c>
      <c r="B1271" s="5" t="str">
        <f>"23085014402"</f>
        <v>23085014402</v>
      </c>
      <c r="C1271" s="6">
        <v>108</v>
      </c>
      <c r="D1271" s="6">
        <v>120</v>
      </c>
      <c r="E1271" s="6">
        <v>228</v>
      </c>
      <c r="F1271" s="11"/>
    </row>
    <row r="1272" spans="1:6">
      <c r="A1272" s="5" t="str">
        <f t="shared" si="23"/>
        <v>202306</v>
      </c>
      <c r="B1272" s="5" t="str">
        <f>"23085014728"</f>
        <v>23085014728</v>
      </c>
      <c r="C1272" s="6">
        <v>114</v>
      </c>
      <c r="D1272" s="6">
        <v>114</v>
      </c>
      <c r="E1272" s="6">
        <v>228</v>
      </c>
      <c r="F1272" s="11"/>
    </row>
    <row r="1273" spans="1:6">
      <c r="A1273" s="5" t="str">
        <f t="shared" si="23"/>
        <v>202306</v>
      </c>
      <c r="B1273" s="5" t="str">
        <f>"23085014430"</f>
        <v>23085014430</v>
      </c>
      <c r="C1273" s="6">
        <v>112.5</v>
      </c>
      <c r="D1273" s="6">
        <v>115.5</v>
      </c>
      <c r="E1273" s="6">
        <v>228</v>
      </c>
      <c r="F1273" s="11"/>
    </row>
    <row r="1274" spans="1:6">
      <c r="A1274" s="5" t="str">
        <f t="shared" si="23"/>
        <v>202306</v>
      </c>
      <c r="B1274" s="5" t="str">
        <f>"23085014701"</f>
        <v>23085014701</v>
      </c>
      <c r="C1274" s="6">
        <v>108</v>
      </c>
      <c r="D1274" s="6">
        <v>119</v>
      </c>
      <c r="E1274" s="6">
        <v>227</v>
      </c>
      <c r="F1274" s="11"/>
    </row>
    <row r="1275" spans="1:6">
      <c r="A1275" s="5" t="str">
        <f t="shared" si="23"/>
        <v>202306</v>
      </c>
      <c r="B1275" s="5" t="str">
        <f>"23085014615"</f>
        <v>23085014615</v>
      </c>
      <c r="C1275" s="6">
        <v>114</v>
      </c>
      <c r="D1275" s="6">
        <v>112.5</v>
      </c>
      <c r="E1275" s="6">
        <v>226.5</v>
      </c>
      <c r="F1275" s="11"/>
    </row>
    <row r="1276" spans="1:6">
      <c r="A1276" s="5" t="str">
        <f t="shared" si="23"/>
        <v>202306</v>
      </c>
      <c r="B1276" s="5" t="str">
        <f>"23085014607"</f>
        <v>23085014607</v>
      </c>
      <c r="C1276" s="6">
        <v>114</v>
      </c>
      <c r="D1276" s="6">
        <v>112.5</v>
      </c>
      <c r="E1276" s="6">
        <v>226.5</v>
      </c>
      <c r="F1276" s="11"/>
    </row>
    <row r="1277" spans="1:6">
      <c r="A1277" s="5" t="str">
        <f t="shared" si="23"/>
        <v>202306</v>
      </c>
      <c r="B1277" s="5" t="str">
        <f>"23085014520"</f>
        <v>23085014520</v>
      </c>
      <c r="C1277" s="6">
        <v>109.5</v>
      </c>
      <c r="D1277" s="6">
        <v>116</v>
      </c>
      <c r="E1277" s="6">
        <v>225.5</v>
      </c>
      <c r="F1277" s="11"/>
    </row>
    <row r="1278" spans="1:6">
      <c r="A1278" s="5" t="str">
        <f t="shared" si="23"/>
        <v>202306</v>
      </c>
      <c r="B1278" s="5" t="str">
        <f>"23085014515"</f>
        <v>23085014515</v>
      </c>
      <c r="C1278" s="6">
        <v>115.5</v>
      </c>
      <c r="D1278" s="6">
        <v>109.5</v>
      </c>
      <c r="E1278" s="6">
        <v>225</v>
      </c>
      <c r="F1278" s="11"/>
    </row>
    <row r="1279" spans="1:6">
      <c r="A1279" s="5" t="str">
        <f t="shared" si="23"/>
        <v>202306</v>
      </c>
      <c r="B1279" s="5" t="str">
        <f>"23085014511"</f>
        <v>23085014511</v>
      </c>
      <c r="C1279" s="6">
        <v>108</v>
      </c>
      <c r="D1279" s="6">
        <v>116</v>
      </c>
      <c r="E1279" s="6">
        <v>224</v>
      </c>
      <c r="F1279" s="11"/>
    </row>
    <row r="1280" spans="1:6">
      <c r="A1280" s="5" t="str">
        <f t="shared" si="23"/>
        <v>202306</v>
      </c>
      <c r="B1280" s="5" t="str">
        <f>"23085014608"</f>
        <v>23085014608</v>
      </c>
      <c r="C1280" s="6">
        <v>109.5</v>
      </c>
      <c r="D1280" s="6">
        <v>114</v>
      </c>
      <c r="E1280" s="6">
        <v>223.5</v>
      </c>
      <c r="F1280" s="11"/>
    </row>
    <row r="1281" spans="1:6">
      <c r="A1281" s="5" t="str">
        <f t="shared" si="23"/>
        <v>202306</v>
      </c>
      <c r="B1281" s="5" t="str">
        <f>"23085014716"</f>
        <v>23085014716</v>
      </c>
      <c r="C1281" s="6">
        <v>112.5</v>
      </c>
      <c r="D1281" s="6">
        <v>111</v>
      </c>
      <c r="E1281" s="6">
        <v>223.5</v>
      </c>
      <c r="F1281" s="11"/>
    </row>
    <row r="1282" spans="1:6">
      <c r="A1282" s="5" t="str">
        <f t="shared" si="23"/>
        <v>202306</v>
      </c>
      <c r="B1282" s="5" t="str">
        <f>"23085014703"</f>
        <v>23085014703</v>
      </c>
      <c r="C1282" s="6">
        <v>108</v>
      </c>
      <c r="D1282" s="6">
        <v>115</v>
      </c>
      <c r="E1282" s="6">
        <v>223</v>
      </c>
      <c r="F1282" s="11"/>
    </row>
    <row r="1283" spans="1:6">
      <c r="A1283" s="5" t="str">
        <f t="shared" si="23"/>
        <v>202306</v>
      </c>
      <c r="B1283" s="5" t="str">
        <f>"23085014523"</f>
        <v>23085014523</v>
      </c>
      <c r="C1283" s="6">
        <v>111</v>
      </c>
      <c r="D1283" s="6">
        <v>111.5</v>
      </c>
      <c r="E1283" s="6">
        <v>222.5</v>
      </c>
      <c r="F1283" s="11"/>
    </row>
    <row r="1284" spans="1:6">
      <c r="A1284" s="5" t="str">
        <f t="shared" si="23"/>
        <v>202306</v>
      </c>
      <c r="B1284" s="5" t="str">
        <f>"23085014305"</f>
        <v>23085014305</v>
      </c>
      <c r="C1284" s="6">
        <v>106.5</v>
      </c>
      <c r="D1284" s="6">
        <v>115.5</v>
      </c>
      <c r="E1284" s="6">
        <v>222</v>
      </c>
      <c r="F1284" s="11"/>
    </row>
    <row r="1285" spans="1:6">
      <c r="A1285" s="5" t="str">
        <f t="shared" si="23"/>
        <v>202306</v>
      </c>
      <c r="B1285" s="5" t="str">
        <f>"23085014621"</f>
        <v>23085014621</v>
      </c>
      <c r="C1285" s="6">
        <v>106.5</v>
      </c>
      <c r="D1285" s="6">
        <v>115.5</v>
      </c>
      <c r="E1285" s="6">
        <v>222</v>
      </c>
      <c r="F1285" s="11"/>
    </row>
    <row r="1286" spans="1:6">
      <c r="A1286" s="5" t="str">
        <f t="shared" si="23"/>
        <v>202306</v>
      </c>
      <c r="B1286" s="5" t="str">
        <f>"23085014504"</f>
        <v>23085014504</v>
      </c>
      <c r="C1286" s="6">
        <v>103.5</v>
      </c>
      <c r="D1286" s="6">
        <v>118</v>
      </c>
      <c r="E1286" s="6">
        <v>221.5</v>
      </c>
      <c r="F1286" s="11"/>
    </row>
    <row r="1287" spans="1:6">
      <c r="A1287" s="5" t="str">
        <f t="shared" si="23"/>
        <v>202306</v>
      </c>
      <c r="B1287" s="5" t="str">
        <f>"23085014505"</f>
        <v>23085014505</v>
      </c>
      <c r="C1287" s="6">
        <v>109.5</v>
      </c>
      <c r="D1287" s="6">
        <v>111.5</v>
      </c>
      <c r="E1287" s="6">
        <v>221</v>
      </c>
      <c r="F1287" s="11"/>
    </row>
    <row r="1288" spans="1:6">
      <c r="A1288" s="5" t="str">
        <f t="shared" si="23"/>
        <v>202306</v>
      </c>
      <c r="B1288" s="5" t="str">
        <f>"23085014314"</f>
        <v>23085014314</v>
      </c>
      <c r="C1288" s="6">
        <v>112.5</v>
      </c>
      <c r="D1288" s="6">
        <v>108.5</v>
      </c>
      <c r="E1288" s="6">
        <v>221</v>
      </c>
      <c r="F1288" s="11"/>
    </row>
    <row r="1289" spans="1:6">
      <c r="A1289" s="5" t="str">
        <f t="shared" si="23"/>
        <v>202306</v>
      </c>
      <c r="B1289" s="5" t="str">
        <f>"23085014623"</f>
        <v>23085014623</v>
      </c>
      <c r="C1289" s="6">
        <v>108</v>
      </c>
      <c r="D1289" s="6">
        <v>113</v>
      </c>
      <c r="E1289" s="6">
        <v>221</v>
      </c>
      <c r="F1289" s="11"/>
    </row>
    <row r="1290" spans="1:6">
      <c r="A1290" s="5" t="str">
        <f t="shared" si="23"/>
        <v>202306</v>
      </c>
      <c r="B1290" s="5" t="str">
        <f>"23085014807"</f>
        <v>23085014807</v>
      </c>
      <c r="C1290" s="6">
        <v>111</v>
      </c>
      <c r="D1290" s="6">
        <v>109.5</v>
      </c>
      <c r="E1290" s="6">
        <v>220.5</v>
      </c>
      <c r="F1290" s="11"/>
    </row>
    <row r="1291" spans="1:6">
      <c r="A1291" s="5" t="str">
        <f t="shared" si="23"/>
        <v>202306</v>
      </c>
      <c r="B1291" s="5" t="str">
        <f>"23085014508"</f>
        <v>23085014508</v>
      </c>
      <c r="C1291" s="6">
        <v>111</v>
      </c>
      <c r="D1291" s="6">
        <v>109.5</v>
      </c>
      <c r="E1291" s="6">
        <v>220.5</v>
      </c>
      <c r="F1291" s="11"/>
    </row>
    <row r="1292" spans="1:6">
      <c r="A1292" s="5" t="str">
        <f t="shared" si="23"/>
        <v>202306</v>
      </c>
      <c r="B1292" s="5" t="str">
        <f>"23085014401"</f>
        <v>23085014401</v>
      </c>
      <c r="C1292" s="6">
        <v>103.5</v>
      </c>
      <c r="D1292" s="6">
        <v>117</v>
      </c>
      <c r="E1292" s="6">
        <v>220.5</v>
      </c>
      <c r="F1292" s="11"/>
    </row>
    <row r="1293" spans="1:6">
      <c r="A1293" s="5" t="str">
        <f t="shared" si="23"/>
        <v>202306</v>
      </c>
      <c r="B1293" s="5" t="str">
        <f>"23085014726"</f>
        <v>23085014726</v>
      </c>
      <c r="C1293" s="6">
        <v>103.5</v>
      </c>
      <c r="D1293" s="6">
        <v>116.5</v>
      </c>
      <c r="E1293" s="6">
        <v>220</v>
      </c>
      <c r="F1293" s="11"/>
    </row>
    <row r="1294" spans="1:6">
      <c r="A1294" s="5" t="str">
        <f t="shared" si="23"/>
        <v>202306</v>
      </c>
      <c r="B1294" s="5" t="str">
        <f>"23085014329"</f>
        <v>23085014329</v>
      </c>
      <c r="C1294" s="6">
        <v>103.5</v>
      </c>
      <c r="D1294" s="6">
        <v>116</v>
      </c>
      <c r="E1294" s="6">
        <v>219.5</v>
      </c>
      <c r="F1294" s="11"/>
    </row>
    <row r="1295" spans="1:6">
      <c r="A1295" s="5" t="str">
        <f t="shared" si="23"/>
        <v>202306</v>
      </c>
      <c r="B1295" s="5" t="str">
        <f>"23085014714"</f>
        <v>23085014714</v>
      </c>
      <c r="C1295" s="6">
        <v>105</v>
      </c>
      <c r="D1295" s="6">
        <v>114.5</v>
      </c>
      <c r="E1295" s="6">
        <v>219.5</v>
      </c>
      <c r="F1295" s="11"/>
    </row>
    <row r="1296" spans="1:6">
      <c r="A1296" s="5" t="str">
        <f t="shared" si="23"/>
        <v>202306</v>
      </c>
      <c r="B1296" s="5" t="str">
        <f>"23085014301"</f>
        <v>23085014301</v>
      </c>
      <c r="C1296" s="6">
        <v>103.5</v>
      </c>
      <c r="D1296" s="6">
        <v>115</v>
      </c>
      <c r="E1296" s="6">
        <v>218.5</v>
      </c>
      <c r="F1296" s="11"/>
    </row>
    <row r="1297" spans="1:6">
      <c r="A1297" s="5" t="str">
        <f t="shared" si="23"/>
        <v>202306</v>
      </c>
      <c r="B1297" s="5" t="str">
        <f>"23085014407"</f>
        <v>23085014407</v>
      </c>
      <c r="C1297" s="6">
        <v>109.5</v>
      </c>
      <c r="D1297" s="6">
        <v>109</v>
      </c>
      <c r="E1297" s="6">
        <v>218.5</v>
      </c>
      <c r="F1297" s="11"/>
    </row>
    <row r="1298" spans="1:6">
      <c r="A1298" s="5" t="str">
        <f t="shared" si="23"/>
        <v>202306</v>
      </c>
      <c r="B1298" s="5" t="str">
        <f>"23085014420"</f>
        <v>23085014420</v>
      </c>
      <c r="C1298" s="6">
        <v>102</v>
      </c>
      <c r="D1298" s="6">
        <v>116.5</v>
      </c>
      <c r="E1298" s="6">
        <v>218.5</v>
      </c>
      <c r="F1298" s="11"/>
    </row>
    <row r="1299" spans="1:6">
      <c r="A1299" s="5" t="str">
        <f t="shared" si="23"/>
        <v>202306</v>
      </c>
      <c r="B1299" s="5" t="str">
        <f>"23085014719"</f>
        <v>23085014719</v>
      </c>
      <c r="C1299" s="6">
        <v>109.5</v>
      </c>
      <c r="D1299" s="6">
        <v>108.5</v>
      </c>
      <c r="E1299" s="6">
        <v>218</v>
      </c>
      <c r="F1299" s="11"/>
    </row>
    <row r="1300" spans="1:6">
      <c r="A1300" s="5" t="str">
        <f t="shared" si="23"/>
        <v>202306</v>
      </c>
      <c r="B1300" s="5" t="str">
        <f>"23085014405"</f>
        <v>23085014405</v>
      </c>
      <c r="C1300" s="6">
        <v>105</v>
      </c>
      <c r="D1300" s="6">
        <v>113</v>
      </c>
      <c r="E1300" s="6">
        <v>218</v>
      </c>
      <c r="F1300" s="11"/>
    </row>
    <row r="1301" spans="1:6">
      <c r="A1301" s="5" t="str">
        <f t="shared" si="23"/>
        <v>202306</v>
      </c>
      <c r="B1301" s="5" t="str">
        <f>"23085014514"</f>
        <v>23085014514</v>
      </c>
      <c r="C1301" s="6">
        <v>103.5</v>
      </c>
      <c r="D1301" s="6">
        <v>114.5</v>
      </c>
      <c r="E1301" s="6">
        <v>218</v>
      </c>
      <c r="F1301" s="11"/>
    </row>
    <row r="1302" spans="1:6">
      <c r="A1302" s="5" t="str">
        <f t="shared" si="23"/>
        <v>202306</v>
      </c>
      <c r="B1302" s="5" t="str">
        <f>"23085014606"</f>
        <v>23085014606</v>
      </c>
      <c r="C1302" s="6">
        <v>108</v>
      </c>
      <c r="D1302" s="6">
        <v>110</v>
      </c>
      <c r="E1302" s="6">
        <v>218</v>
      </c>
      <c r="F1302" s="11"/>
    </row>
    <row r="1303" spans="1:6">
      <c r="A1303" s="5" t="str">
        <f t="shared" si="23"/>
        <v>202306</v>
      </c>
      <c r="B1303" s="5" t="str">
        <f>"23085014503"</f>
        <v>23085014503</v>
      </c>
      <c r="C1303" s="6">
        <v>111</v>
      </c>
      <c r="D1303" s="6">
        <v>107</v>
      </c>
      <c r="E1303" s="6">
        <v>218</v>
      </c>
      <c r="F1303" s="11"/>
    </row>
    <row r="1304" spans="1:6">
      <c r="A1304" s="5" t="str">
        <f t="shared" si="23"/>
        <v>202306</v>
      </c>
      <c r="B1304" s="5" t="str">
        <f>"23085014722"</f>
        <v>23085014722</v>
      </c>
      <c r="C1304" s="6">
        <v>109.5</v>
      </c>
      <c r="D1304" s="6">
        <v>107.5</v>
      </c>
      <c r="E1304" s="6">
        <v>217</v>
      </c>
      <c r="F1304" s="11"/>
    </row>
    <row r="1305" spans="1:6">
      <c r="A1305" s="5" t="str">
        <f t="shared" si="23"/>
        <v>202306</v>
      </c>
      <c r="B1305" s="5" t="str">
        <f>"23085014311"</f>
        <v>23085014311</v>
      </c>
      <c r="C1305" s="6">
        <v>99</v>
      </c>
      <c r="D1305" s="6">
        <v>118</v>
      </c>
      <c r="E1305" s="6">
        <v>217</v>
      </c>
      <c r="F1305" s="11"/>
    </row>
    <row r="1306" spans="1:6">
      <c r="A1306" s="5" t="str">
        <f t="shared" si="23"/>
        <v>202306</v>
      </c>
      <c r="B1306" s="5" t="str">
        <f>"23085014324"</f>
        <v>23085014324</v>
      </c>
      <c r="C1306" s="6">
        <v>103.5</v>
      </c>
      <c r="D1306" s="6">
        <v>113</v>
      </c>
      <c r="E1306" s="6">
        <v>216.5</v>
      </c>
      <c r="F1306" s="11"/>
    </row>
    <row r="1307" spans="1:6">
      <c r="A1307" s="5" t="str">
        <f t="shared" si="23"/>
        <v>202306</v>
      </c>
      <c r="B1307" s="5" t="str">
        <f>"23085014618"</f>
        <v>23085014618</v>
      </c>
      <c r="C1307" s="6">
        <v>100.5</v>
      </c>
      <c r="D1307" s="6">
        <v>115.5</v>
      </c>
      <c r="E1307" s="6">
        <v>216</v>
      </c>
      <c r="F1307" s="11"/>
    </row>
    <row r="1308" spans="1:6">
      <c r="A1308" s="5" t="str">
        <f t="shared" si="23"/>
        <v>202306</v>
      </c>
      <c r="B1308" s="5" t="str">
        <f>"23085014321"</f>
        <v>23085014321</v>
      </c>
      <c r="C1308" s="6">
        <v>99</v>
      </c>
      <c r="D1308" s="6">
        <v>117</v>
      </c>
      <c r="E1308" s="6">
        <v>216</v>
      </c>
      <c r="F1308" s="11"/>
    </row>
    <row r="1309" spans="1:6">
      <c r="A1309" s="5" t="str">
        <f t="shared" si="23"/>
        <v>202306</v>
      </c>
      <c r="B1309" s="5" t="str">
        <f>"23085014404"</f>
        <v>23085014404</v>
      </c>
      <c r="C1309" s="6">
        <v>100.5</v>
      </c>
      <c r="D1309" s="6">
        <v>115.5</v>
      </c>
      <c r="E1309" s="6">
        <v>216</v>
      </c>
      <c r="F1309" s="11"/>
    </row>
    <row r="1310" spans="1:6">
      <c r="A1310" s="5" t="str">
        <f t="shared" si="23"/>
        <v>202306</v>
      </c>
      <c r="B1310" s="5" t="str">
        <f>"23085014428"</f>
        <v>23085014428</v>
      </c>
      <c r="C1310" s="6">
        <v>106.5</v>
      </c>
      <c r="D1310" s="6">
        <v>109.5</v>
      </c>
      <c r="E1310" s="6">
        <v>216</v>
      </c>
      <c r="F1310" s="11"/>
    </row>
    <row r="1311" spans="1:6">
      <c r="A1311" s="5" t="str">
        <f t="shared" si="23"/>
        <v>202306</v>
      </c>
      <c r="B1311" s="5" t="str">
        <f>"23085014806"</f>
        <v>23085014806</v>
      </c>
      <c r="C1311" s="6">
        <v>105</v>
      </c>
      <c r="D1311" s="6">
        <v>111</v>
      </c>
      <c r="E1311" s="6">
        <v>216</v>
      </c>
      <c r="F1311" s="11"/>
    </row>
    <row r="1312" spans="1:6">
      <c r="A1312" s="5" t="str">
        <f t="shared" si="23"/>
        <v>202306</v>
      </c>
      <c r="B1312" s="5" t="str">
        <f>"23085014429"</f>
        <v>23085014429</v>
      </c>
      <c r="C1312" s="6">
        <v>108</v>
      </c>
      <c r="D1312" s="6">
        <v>107.5</v>
      </c>
      <c r="E1312" s="6">
        <v>215.5</v>
      </c>
      <c r="F1312" s="11"/>
    </row>
    <row r="1313" spans="1:6">
      <c r="A1313" s="5" t="str">
        <f t="shared" si="23"/>
        <v>202306</v>
      </c>
      <c r="B1313" s="5" t="str">
        <f>"23085014610"</f>
        <v>23085014610</v>
      </c>
      <c r="C1313" s="6">
        <v>100.5</v>
      </c>
      <c r="D1313" s="6">
        <v>115</v>
      </c>
      <c r="E1313" s="6">
        <v>215.5</v>
      </c>
      <c r="F1313" s="11"/>
    </row>
    <row r="1314" spans="1:6">
      <c r="A1314" s="5" t="str">
        <f t="shared" si="23"/>
        <v>202306</v>
      </c>
      <c r="B1314" s="5" t="str">
        <f>"23085014327"</f>
        <v>23085014327</v>
      </c>
      <c r="C1314" s="6">
        <v>108</v>
      </c>
      <c r="D1314" s="6">
        <v>107</v>
      </c>
      <c r="E1314" s="6">
        <v>215</v>
      </c>
      <c r="F1314" s="11"/>
    </row>
    <row r="1315" spans="1:6">
      <c r="A1315" s="5" t="str">
        <f t="shared" si="23"/>
        <v>202306</v>
      </c>
      <c r="B1315" s="5" t="str">
        <f>"23085014609"</f>
        <v>23085014609</v>
      </c>
      <c r="C1315" s="6">
        <v>102</v>
      </c>
      <c r="D1315" s="6">
        <v>112.5</v>
      </c>
      <c r="E1315" s="6">
        <v>214.5</v>
      </c>
      <c r="F1315" s="11"/>
    </row>
    <row r="1316" spans="1:6">
      <c r="A1316" s="5" t="str">
        <f t="shared" si="23"/>
        <v>202306</v>
      </c>
      <c r="B1316" s="5" t="str">
        <f>"23085014326"</f>
        <v>23085014326</v>
      </c>
      <c r="C1316" s="6">
        <v>103.5</v>
      </c>
      <c r="D1316" s="6">
        <v>111</v>
      </c>
      <c r="E1316" s="6">
        <v>214.5</v>
      </c>
      <c r="F1316" s="11"/>
    </row>
    <row r="1317" spans="1:6">
      <c r="A1317" s="5" t="str">
        <f t="shared" si="23"/>
        <v>202306</v>
      </c>
      <c r="B1317" s="5" t="str">
        <f>"23085014708"</f>
        <v>23085014708</v>
      </c>
      <c r="C1317" s="6">
        <v>102</v>
      </c>
      <c r="D1317" s="6">
        <v>112.5</v>
      </c>
      <c r="E1317" s="6">
        <v>214.5</v>
      </c>
      <c r="F1317" s="11"/>
    </row>
    <row r="1318" spans="1:6">
      <c r="A1318" s="5" t="str">
        <f t="shared" si="23"/>
        <v>202306</v>
      </c>
      <c r="B1318" s="5" t="str">
        <f>"23085014622"</f>
        <v>23085014622</v>
      </c>
      <c r="C1318" s="6">
        <v>109.5</v>
      </c>
      <c r="D1318" s="6">
        <v>105</v>
      </c>
      <c r="E1318" s="6">
        <v>214.5</v>
      </c>
      <c r="F1318" s="11"/>
    </row>
    <row r="1319" spans="1:6">
      <c r="A1319" s="5" t="str">
        <f t="shared" si="23"/>
        <v>202306</v>
      </c>
      <c r="B1319" s="5" t="str">
        <f>"23085014411"</f>
        <v>23085014411</v>
      </c>
      <c r="C1319" s="6">
        <v>105</v>
      </c>
      <c r="D1319" s="6">
        <v>109</v>
      </c>
      <c r="E1319" s="6">
        <v>214</v>
      </c>
      <c r="F1319" s="11"/>
    </row>
    <row r="1320" spans="1:6">
      <c r="A1320" s="5" t="str">
        <f t="shared" si="23"/>
        <v>202306</v>
      </c>
      <c r="B1320" s="5" t="str">
        <f>"23085014725"</f>
        <v>23085014725</v>
      </c>
      <c r="C1320" s="6">
        <v>96</v>
      </c>
      <c r="D1320" s="6">
        <v>117.5</v>
      </c>
      <c r="E1320" s="6">
        <v>213.5</v>
      </c>
      <c r="F1320" s="11"/>
    </row>
    <row r="1321" spans="1:6">
      <c r="A1321" s="5" t="str">
        <f t="shared" si="23"/>
        <v>202306</v>
      </c>
      <c r="B1321" s="5" t="str">
        <f>"23085014303"</f>
        <v>23085014303</v>
      </c>
      <c r="C1321" s="6">
        <v>91.5</v>
      </c>
      <c r="D1321" s="6">
        <v>122</v>
      </c>
      <c r="E1321" s="6">
        <v>213.5</v>
      </c>
      <c r="F1321" s="11"/>
    </row>
    <row r="1322" spans="1:6">
      <c r="A1322" s="5" t="str">
        <f t="shared" ref="A1322:A1385" si="24">"202306"</f>
        <v>202306</v>
      </c>
      <c r="B1322" s="5" t="str">
        <f>"23085014424"</f>
        <v>23085014424</v>
      </c>
      <c r="C1322" s="6">
        <v>100.5</v>
      </c>
      <c r="D1322" s="6">
        <v>113</v>
      </c>
      <c r="E1322" s="6">
        <v>213.5</v>
      </c>
      <c r="F1322" s="11"/>
    </row>
    <row r="1323" spans="1:6">
      <c r="A1323" s="5" t="str">
        <f t="shared" si="24"/>
        <v>202306</v>
      </c>
      <c r="B1323" s="5" t="str">
        <f>"23085014727"</f>
        <v>23085014727</v>
      </c>
      <c r="C1323" s="6">
        <v>102</v>
      </c>
      <c r="D1323" s="6">
        <v>111.5</v>
      </c>
      <c r="E1323" s="6">
        <v>213.5</v>
      </c>
      <c r="F1323" s="11"/>
    </row>
    <row r="1324" spans="1:6">
      <c r="A1324" s="5" t="str">
        <f t="shared" si="24"/>
        <v>202306</v>
      </c>
      <c r="B1324" s="5" t="str">
        <f>"23085014526"</f>
        <v>23085014526</v>
      </c>
      <c r="C1324" s="6">
        <v>99</v>
      </c>
      <c r="D1324" s="6">
        <v>114.5</v>
      </c>
      <c r="E1324" s="6">
        <v>213.5</v>
      </c>
      <c r="F1324" s="11"/>
    </row>
    <row r="1325" spans="1:6">
      <c r="A1325" s="5" t="str">
        <f t="shared" si="24"/>
        <v>202306</v>
      </c>
      <c r="B1325" s="5" t="str">
        <f>"23085014502"</f>
        <v>23085014502</v>
      </c>
      <c r="C1325" s="6">
        <v>94.5</v>
      </c>
      <c r="D1325" s="6">
        <v>118.5</v>
      </c>
      <c r="E1325" s="6">
        <v>213</v>
      </c>
      <c r="F1325" s="11"/>
    </row>
    <row r="1326" spans="1:6">
      <c r="A1326" s="5" t="str">
        <f t="shared" si="24"/>
        <v>202306</v>
      </c>
      <c r="B1326" s="5" t="str">
        <f>"23085014801"</f>
        <v>23085014801</v>
      </c>
      <c r="C1326" s="6">
        <v>100.5</v>
      </c>
      <c r="D1326" s="6">
        <v>112.5</v>
      </c>
      <c r="E1326" s="6">
        <v>213</v>
      </c>
      <c r="F1326" s="11"/>
    </row>
    <row r="1327" spans="1:6">
      <c r="A1327" s="5" t="str">
        <f t="shared" si="24"/>
        <v>202306</v>
      </c>
      <c r="B1327" s="5" t="str">
        <f>"23085014724"</f>
        <v>23085014724</v>
      </c>
      <c r="C1327" s="6">
        <v>99</v>
      </c>
      <c r="D1327" s="6">
        <v>114</v>
      </c>
      <c r="E1327" s="6">
        <v>213</v>
      </c>
      <c r="F1327" s="11"/>
    </row>
    <row r="1328" spans="1:6">
      <c r="A1328" s="5" t="str">
        <f t="shared" si="24"/>
        <v>202306</v>
      </c>
      <c r="B1328" s="5" t="str">
        <f>"23085014611"</f>
        <v>23085014611</v>
      </c>
      <c r="C1328" s="6">
        <v>103.5</v>
      </c>
      <c r="D1328" s="6">
        <v>109.5</v>
      </c>
      <c r="E1328" s="6">
        <v>213</v>
      </c>
      <c r="F1328" s="11"/>
    </row>
    <row r="1329" spans="1:6">
      <c r="A1329" s="5" t="str">
        <f t="shared" si="24"/>
        <v>202306</v>
      </c>
      <c r="B1329" s="5" t="str">
        <f>"23085014715"</f>
        <v>23085014715</v>
      </c>
      <c r="C1329" s="6">
        <v>102</v>
      </c>
      <c r="D1329" s="6">
        <v>110</v>
      </c>
      <c r="E1329" s="6">
        <v>212</v>
      </c>
      <c r="F1329" s="11"/>
    </row>
    <row r="1330" spans="1:6">
      <c r="A1330" s="5" t="str">
        <f t="shared" si="24"/>
        <v>202306</v>
      </c>
      <c r="B1330" s="5" t="str">
        <f>"23085014308"</f>
        <v>23085014308</v>
      </c>
      <c r="C1330" s="6">
        <v>106.5</v>
      </c>
      <c r="D1330" s="6">
        <v>105.5</v>
      </c>
      <c r="E1330" s="6">
        <v>212</v>
      </c>
      <c r="F1330" s="11"/>
    </row>
    <row r="1331" spans="1:6">
      <c r="A1331" s="5" t="str">
        <f t="shared" si="24"/>
        <v>202306</v>
      </c>
      <c r="B1331" s="5" t="str">
        <f>"23085014517"</f>
        <v>23085014517</v>
      </c>
      <c r="C1331" s="6">
        <v>99</v>
      </c>
      <c r="D1331" s="6">
        <v>112</v>
      </c>
      <c r="E1331" s="6">
        <v>211</v>
      </c>
      <c r="F1331" s="11"/>
    </row>
    <row r="1332" spans="1:6">
      <c r="A1332" s="5" t="str">
        <f t="shared" si="24"/>
        <v>202306</v>
      </c>
      <c r="B1332" s="5" t="str">
        <f>"23085014721"</f>
        <v>23085014721</v>
      </c>
      <c r="C1332" s="6">
        <v>100.5</v>
      </c>
      <c r="D1332" s="6">
        <v>110.5</v>
      </c>
      <c r="E1332" s="6">
        <v>211</v>
      </c>
      <c r="F1332" s="11"/>
    </row>
    <row r="1333" spans="1:6">
      <c r="A1333" s="5" t="str">
        <f t="shared" si="24"/>
        <v>202306</v>
      </c>
      <c r="B1333" s="5" t="str">
        <f>"23085014414"</f>
        <v>23085014414</v>
      </c>
      <c r="C1333" s="6">
        <v>100.5</v>
      </c>
      <c r="D1333" s="6">
        <v>110.5</v>
      </c>
      <c r="E1333" s="6">
        <v>211</v>
      </c>
      <c r="F1333" s="11"/>
    </row>
    <row r="1334" spans="1:6">
      <c r="A1334" s="5" t="str">
        <f t="shared" si="24"/>
        <v>202306</v>
      </c>
      <c r="B1334" s="5" t="str">
        <f>"23085014507"</f>
        <v>23085014507</v>
      </c>
      <c r="C1334" s="6">
        <v>91.5</v>
      </c>
      <c r="D1334" s="6">
        <v>119</v>
      </c>
      <c r="E1334" s="6">
        <v>210.5</v>
      </c>
      <c r="F1334" s="11"/>
    </row>
    <row r="1335" spans="1:6">
      <c r="A1335" s="5" t="str">
        <f t="shared" si="24"/>
        <v>202306</v>
      </c>
      <c r="B1335" s="5" t="str">
        <f>"23085014625"</f>
        <v>23085014625</v>
      </c>
      <c r="C1335" s="6">
        <v>99</v>
      </c>
      <c r="D1335" s="6">
        <v>111</v>
      </c>
      <c r="E1335" s="6">
        <v>210</v>
      </c>
      <c r="F1335" s="11"/>
    </row>
    <row r="1336" spans="1:6">
      <c r="A1336" s="5" t="str">
        <f t="shared" si="24"/>
        <v>202306</v>
      </c>
      <c r="B1336" s="5" t="str">
        <f>"23085014317"</f>
        <v>23085014317</v>
      </c>
      <c r="C1336" s="6">
        <v>103.5</v>
      </c>
      <c r="D1336" s="6">
        <v>106</v>
      </c>
      <c r="E1336" s="6">
        <v>209.5</v>
      </c>
      <c r="F1336" s="11"/>
    </row>
    <row r="1337" spans="1:6">
      <c r="A1337" s="5" t="str">
        <f t="shared" si="24"/>
        <v>202306</v>
      </c>
      <c r="B1337" s="5" t="str">
        <f>"23085014227"</f>
        <v>23085014227</v>
      </c>
      <c r="C1337" s="6">
        <v>94.5</v>
      </c>
      <c r="D1337" s="6">
        <v>114.5</v>
      </c>
      <c r="E1337" s="6">
        <v>209</v>
      </c>
      <c r="F1337" s="11"/>
    </row>
    <row r="1338" spans="1:6">
      <c r="A1338" s="5" t="str">
        <f t="shared" si="24"/>
        <v>202306</v>
      </c>
      <c r="B1338" s="5" t="str">
        <f>"23085014422"</f>
        <v>23085014422</v>
      </c>
      <c r="C1338" s="6">
        <v>100.5</v>
      </c>
      <c r="D1338" s="6">
        <v>107.5</v>
      </c>
      <c r="E1338" s="6">
        <v>208</v>
      </c>
      <c r="F1338" s="11"/>
    </row>
    <row r="1339" spans="1:6">
      <c r="A1339" s="5" t="str">
        <f t="shared" si="24"/>
        <v>202306</v>
      </c>
      <c r="B1339" s="5" t="str">
        <f>"23085014720"</f>
        <v>23085014720</v>
      </c>
      <c r="C1339" s="6">
        <v>96</v>
      </c>
      <c r="D1339" s="6">
        <v>112</v>
      </c>
      <c r="E1339" s="6">
        <v>208</v>
      </c>
      <c r="F1339" s="11"/>
    </row>
    <row r="1340" spans="1:6">
      <c r="A1340" s="5" t="str">
        <f t="shared" si="24"/>
        <v>202306</v>
      </c>
      <c r="B1340" s="5" t="str">
        <f>"23085014630"</f>
        <v>23085014630</v>
      </c>
      <c r="C1340" s="6">
        <v>96</v>
      </c>
      <c r="D1340" s="6">
        <v>112</v>
      </c>
      <c r="E1340" s="6">
        <v>208</v>
      </c>
      <c r="F1340" s="11"/>
    </row>
    <row r="1341" spans="1:6">
      <c r="A1341" s="5" t="str">
        <f t="shared" si="24"/>
        <v>202306</v>
      </c>
      <c r="B1341" s="5" t="str">
        <f>"23085014603"</f>
        <v>23085014603</v>
      </c>
      <c r="C1341" s="6">
        <v>109.5</v>
      </c>
      <c r="D1341" s="6">
        <v>98.5</v>
      </c>
      <c r="E1341" s="6">
        <v>208</v>
      </c>
      <c r="F1341" s="11"/>
    </row>
    <row r="1342" spans="1:6">
      <c r="A1342" s="5" t="str">
        <f t="shared" si="24"/>
        <v>202306</v>
      </c>
      <c r="B1342" s="5" t="str">
        <f>"23085014426"</f>
        <v>23085014426</v>
      </c>
      <c r="C1342" s="6">
        <v>103.5</v>
      </c>
      <c r="D1342" s="6">
        <v>104.5</v>
      </c>
      <c r="E1342" s="6">
        <v>208</v>
      </c>
      <c r="F1342" s="11"/>
    </row>
    <row r="1343" spans="1:6">
      <c r="A1343" s="5" t="str">
        <f t="shared" si="24"/>
        <v>202306</v>
      </c>
      <c r="B1343" s="5" t="str">
        <f>"23085014417"</f>
        <v>23085014417</v>
      </c>
      <c r="C1343" s="6">
        <v>93</v>
      </c>
      <c r="D1343" s="6">
        <v>114.5</v>
      </c>
      <c r="E1343" s="6">
        <v>207.5</v>
      </c>
      <c r="F1343" s="11"/>
    </row>
    <row r="1344" spans="1:6">
      <c r="A1344" s="5" t="str">
        <f t="shared" si="24"/>
        <v>202306</v>
      </c>
      <c r="B1344" s="5" t="str">
        <f>"23085014302"</f>
        <v>23085014302</v>
      </c>
      <c r="C1344" s="6">
        <v>105</v>
      </c>
      <c r="D1344" s="6">
        <v>102</v>
      </c>
      <c r="E1344" s="6">
        <v>207</v>
      </c>
      <c r="F1344" s="11"/>
    </row>
    <row r="1345" spans="1:6">
      <c r="A1345" s="5" t="str">
        <f t="shared" si="24"/>
        <v>202306</v>
      </c>
      <c r="B1345" s="5" t="str">
        <f>"23085014605"</f>
        <v>23085014605</v>
      </c>
      <c r="C1345" s="6">
        <v>96</v>
      </c>
      <c r="D1345" s="6">
        <v>109.5</v>
      </c>
      <c r="E1345" s="6">
        <v>205.5</v>
      </c>
      <c r="F1345" s="11"/>
    </row>
    <row r="1346" spans="1:6">
      <c r="A1346" s="5" t="str">
        <f t="shared" si="24"/>
        <v>202306</v>
      </c>
      <c r="B1346" s="5" t="str">
        <f>"23085014524"</f>
        <v>23085014524</v>
      </c>
      <c r="C1346" s="6">
        <v>102</v>
      </c>
      <c r="D1346" s="6">
        <v>102.5</v>
      </c>
      <c r="E1346" s="6">
        <v>204.5</v>
      </c>
      <c r="F1346" s="11"/>
    </row>
    <row r="1347" spans="1:6">
      <c r="A1347" s="5" t="str">
        <f t="shared" si="24"/>
        <v>202306</v>
      </c>
      <c r="B1347" s="5" t="str">
        <f>"23085014723"</f>
        <v>23085014723</v>
      </c>
      <c r="C1347" s="6">
        <v>94.5</v>
      </c>
      <c r="D1347" s="6">
        <v>110</v>
      </c>
      <c r="E1347" s="6">
        <v>204.5</v>
      </c>
      <c r="F1347" s="11"/>
    </row>
    <row r="1348" spans="1:6">
      <c r="A1348" s="5" t="str">
        <f t="shared" si="24"/>
        <v>202306</v>
      </c>
      <c r="B1348" s="5" t="str">
        <f>"23085014521"</f>
        <v>23085014521</v>
      </c>
      <c r="C1348" s="6">
        <v>94.5</v>
      </c>
      <c r="D1348" s="6">
        <v>109</v>
      </c>
      <c r="E1348" s="6">
        <v>203.5</v>
      </c>
      <c r="F1348" s="11"/>
    </row>
    <row r="1349" spans="1:6">
      <c r="A1349" s="5" t="str">
        <f t="shared" si="24"/>
        <v>202306</v>
      </c>
      <c r="B1349" s="5" t="str">
        <f>"23085014604"</f>
        <v>23085014604</v>
      </c>
      <c r="C1349" s="6">
        <v>103.5</v>
      </c>
      <c r="D1349" s="6">
        <v>99.5</v>
      </c>
      <c r="E1349" s="6">
        <v>203</v>
      </c>
      <c r="F1349" s="11"/>
    </row>
    <row r="1350" spans="1:6">
      <c r="A1350" s="5" t="str">
        <f t="shared" si="24"/>
        <v>202306</v>
      </c>
      <c r="B1350" s="5" t="str">
        <f>"23085014330"</f>
        <v>23085014330</v>
      </c>
      <c r="C1350" s="6">
        <v>88.5</v>
      </c>
      <c r="D1350" s="6">
        <v>114</v>
      </c>
      <c r="E1350" s="6">
        <v>202.5</v>
      </c>
      <c r="F1350" s="11"/>
    </row>
    <row r="1351" spans="1:6">
      <c r="A1351" s="5" t="str">
        <f t="shared" si="24"/>
        <v>202306</v>
      </c>
      <c r="B1351" s="5" t="str">
        <f>"23085014509"</f>
        <v>23085014509</v>
      </c>
      <c r="C1351" s="6">
        <v>85.5</v>
      </c>
      <c r="D1351" s="6">
        <v>116</v>
      </c>
      <c r="E1351" s="6">
        <v>201.5</v>
      </c>
      <c r="F1351" s="11"/>
    </row>
    <row r="1352" spans="1:6">
      <c r="A1352" s="5" t="str">
        <f t="shared" si="24"/>
        <v>202306</v>
      </c>
      <c r="B1352" s="5" t="str">
        <f>"23085014512"</f>
        <v>23085014512</v>
      </c>
      <c r="C1352" s="6">
        <v>87</v>
      </c>
      <c r="D1352" s="6">
        <v>114.5</v>
      </c>
      <c r="E1352" s="6">
        <v>201.5</v>
      </c>
      <c r="F1352" s="11"/>
    </row>
    <row r="1353" spans="1:6">
      <c r="A1353" s="5" t="str">
        <f t="shared" si="24"/>
        <v>202306</v>
      </c>
      <c r="B1353" s="5" t="str">
        <f>"23085014620"</f>
        <v>23085014620</v>
      </c>
      <c r="C1353" s="6">
        <v>90</v>
      </c>
      <c r="D1353" s="6">
        <v>111</v>
      </c>
      <c r="E1353" s="6">
        <v>201</v>
      </c>
      <c r="F1353" s="11"/>
    </row>
    <row r="1354" spans="1:6">
      <c r="A1354" s="5" t="str">
        <f t="shared" si="24"/>
        <v>202306</v>
      </c>
      <c r="B1354" s="5" t="str">
        <f>"23085014729"</f>
        <v>23085014729</v>
      </c>
      <c r="C1354" s="6">
        <v>96</v>
      </c>
      <c r="D1354" s="6">
        <v>104.5</v>
      </c>
      <c r="E1354" s="6">
        <v>200.5</v>
      </c>
      <c r="F1354" s="11"/>
    </row>
    <row r="1355" spans="1:6">
      <c r="A1355" s="5" t="str">
        <f t="shared" si="24"/>
        <v>202306</v>
      </c>
      <c r="B1355" s="5" t="str">
        <f>"23085014519"</f>
        <v>23085014519</v>
      </c>
      <c r="C1355" s="6">
        <v>84</v>
      </c>
      <c r="D1355" s="6">
        <v>116</v>
      </c>
      <c r="E1355" s="6">
        <v>200</v>
      </c>
      <c r="F1355" s="11"/>
    </row>
    <row r="1356" spans="1:6">
      <c r="A1356" s="5" t="str">
        <f t="shared" si="24"/>
        <v>202306</v>
      </c>
      <c r="B1356" s="5" t="str">
        <f>"23085014323"</f>
        <v>23085014323</v>
      </c>
      <c r="C1356" s="6">
        <v>91.5</v>
      </c>
      <c r="D1356" s="6">
        <v>108.5</v>
      </c>
      <c r="E1356" s="6">
        <v>200</v>
      </c>
      <c r="F1356" s="11"/>
    </row>
    <row r="1357" spans="1:6">
      <c r="A1357" s="5" t="str">
        <f t="shared" si="24"/>
        <v>202306</v>
      </c>
      <c r="B1357" s="5" t="str">
        <f>"23085014427"</f>
        <v>23085014427</v>
      </c>
      <c r="C1357" s="6">
        <v>96</v>
      </c>
      <c r="D1357" s="6">
        <v>104</v>
      </c>
      <c r="E1357" s="6">
        <v>200</v>
      </c>
      <c r="F1357" s="11"/>
    </row>
    <row r="1358" spans="1:6">
      <c r="A1358" s="5" t="str">
        <f t="shared" si="24"/>
        <v>202306</v>
      </c>
      <c r="B1358" s="5" t="str">
        <f>"23085014315"</f>
        <v>23085014315</v>
      </c>
      <c r="C1358" s="6">
        <v>85.5</v>
      </c>
      <c r="D1358" s="6">
        <v>114</v>
      </c>
      <c r="E1358" s="6">
        <v>199.5</v>
      </c>
      <c r="F1358" s="11"/>
    </row>
    <row r="1359" spans="1:6">
      <c r="A1359" s="5" t="str">
        <f t="shared" si="24"/>
        <v>202306</v>
      </c>
      <c r="B1359" s="5" t="str">
        <f>"23085014602"</f>
        <v>23085014602</v>
      </c>
      <c r="C1359" s="6">
        <v>93</v>
      </c>
      <c r="D1359" s="6">
        <v>106.5</v>
      </c>
      <c r="E1359" s="6">
        <v>199.5</v>
      </c>
      <c r="F1359" s="11"/>
    </row>
    <row r="1360" spans="1:6">
      <c r="A1360" s="5" t="str">
        <f t="shared" si="24"/>
        <v>202306</v>
      </c>
      <c r="B1360" s="5" t="str">
        <f>"23085014809"</f>
        <v>23085014809</v>
      </c>
      <c r="C1360" s="6">
        <v>85.5</v>
      </c>
      <c r="D1360" s="6">
        <v>114</v>
      </c>
      <c r="E1360" s="6">
        <v>199.5</v>
      </c>
      <c r="F1360" s="11"/>
    </row>
    <row r="1361" spans="1:6">
      <c r="A1361" s="5" t="str">
        <f t="shared" si="24"/>
        <v>202306</v>
      </c>
      <c r="B1361" s="5" t="str">
        <f>"23085014506"</f>
        <v>23085014506</v>
      </c>
      <c r="C1361" s="6">
        <v>85.5</v>
      </c>
      <c r="D1361" s="6">
        <v>113.5</v>
      </c>
      <c r="E1361" s="6">
        <v>199</v>
      </c>
      <c r="F1361" s="11"/>
    </row>
    <row r="1362" spans="1:6">
      <c r="A1362" s="5" t="str">
        <f t="shared" si="24"/>
        <v>202306</v>
      </c>
      <c r="B1362" s="5" t="str">
        <f>"23085014409"</f>
        <v>23085014409</v>
      </c>
      <c r="C1362" s="6">
        <v>84</v>
      </c>
      <c r="D1362" s="6">
        <v>115</v>
      </c>
      <c r="E1362" s="6">
        <v>199</v>
      </c>
      <c r="F1362" s="11"/>
    </row>
    <row r="1363" spans="1:6">
      <c r="A1363" s="5" t="str">
        <f t="shared" si="24"/>
        <v>202306</v>
      </c>
      <c r="B1363" s="5" t="str">
        <f>"23085014318"</f>
        <v>23085014318</v>
      </c>
      <c r="C1363" s="6">
        <v>91.5</v>
      </c>
      <c r="D1363" s="6">
        <v>105</v>
      </c>
      <c r="E1363" s="6">
        <v>196.5</v>
      </c>
      <c r="F1363" s="11"/>
    </row>
    <row r="1364" spans="1:6">
      <c r="A1364" s="5" t="str">
        <f t="shared" si="24"/>
        <v>202306</v>
      </c>
      <c r="B1364" s="5" t="str">
        <f>"23085014601"</f>
        <v>23085014601</v>
      </c>
      <c r="C1364" s="6">
        <v>84</v>
      </c>
      <c r="D1364" s="6">
        <v>112.5</v>
      </c>
      <c r="E1364" s="6">
        <v>196.5</v>
      </c>
      <c r="F1364" s="11"/>
    </row>
    <row r="1365" spans="1:6">
      <c r="A1365" s="5" t="str">
        <f t="shared" si="24"/>
        <v>202306</v>
      </c>
      <c r="B1365" s="5" t="str">
        <f>"23085014522"</f>
        <v>23085014522</v>
      </c>
      <c r="C1365" s="6">
        <v>76.5</v>
      </c>
      <c r="D1365" s="6">
        <v>119.5</v>
      </c>
      <c r="E1365" s="6">
        <v>196</v>
      </c>
      <c r="F1365" s="11"/>
    </row>
    <row r="1366" spans="1:6">
      <c r="A1366" s="5" t="str">
        <f t="shared" si="24"/>
        <v>202306</v>
      </c>
      <c r="B1366" s="5" t="str">
        <f>"23085014226"</f>
        <v>23085014226</v>
      </c>
      <c r="C1366" s="6">
        <v>84</v>
      </c>
      <c r="D1366" s="6">
        <v>111.5</v>
      </c>
      <c r="E1366" s="6">
        <v>195.5</v>
      </c>
      <c r="F1366" s="11"/>
    </row>
    <row r="1367" spans="1:6">
      <c r="A1367" s="5" t="str">
        <f t="shared" si="24"/>
        <v>202306</v>
      </c>
      <c r="B1367" s="5" t="str">
        <f>"23085014419"</f>
        <v>23085014419</v>
      </c>
      <c r="C1367" s="6">
        <v>91.5</v>
      </c>
      <c r="D1367" s="6">
        <v>103.5</v>
      </c>
      <c r="E1367" s="6">
        <v>195</v>
      </c>
      <c r="F1367" s="11"/>
    </row>
    <row r="1368" spans="1:6">
      <c r="A1368" s="5" t="str">
        <f t="shared" si="24"/>
        <v>202306</v>
      </c>
      <c r="B1368" s="5" t="str">
        <f>"23085014312"</f>
        <v>23085014312</v>
      </c>
      <c r="C1368" s="6">
        <v>82.5</v>
      </c>
      <c r="D1368" s="6">
        <v>112.5</v>
      </c>
      <c r="E1368" s="6">
        <v>195</v>
      </c>
      <c r="F1368" s="11"/>
    </row>
    <row r="1369" spans="1:6">
      <c r="A1369" s="5" t="str">
        <f t="shared" si="24"/>
        <v>202306</v>
      </c>
      <c r="B1369" s="5" t="str">
        <f>"23085014616"</f>
        <v>23085014616</v>
      </c>
      <c r="C1369" s="6">
        <v>88.5</v>
      </c>
      <c r="D1369" s="6">
        <v>106</v>
      </c>
      <c r="E1369" s="6">
        <v>194.5</v>
      </c>
      <c r="F1369" s="11"/>
    </row>
    <row r="1370" spans="1:6">
      <c r="A1370" s="5" t="str">
        <f t="shared" si="24"/>
        <v>202306</v>
      </c>
      <c r="B1370" s="5" t="str">
        <f>"23085014705"</f>
        <v>23085014705</v>
      </c>
      <c r="C1370" s="6">
        <v>90</v>
      </c>
      <c r="D1370" s="6">
        <v>104.5</v>
      </c>
      <c r="E1370" s="6">
        <v>194.5</v>
      </c>
      <c r="F1370" s="11"/>
    </row>
    <row r="1371" spans="1:6">
      <c r="A1371" s="5" t="str">
        <f t="shared" si="24"/>
        <v>202306</v>
      </c>
      <c r="B1371" s="5" t="str">
        <f>"23085014229"</f>
        <v>23085014229</v>
      </c>
      <c r="C1371" s="6">
        <v>81</v>
      </c>
      <c r="D1371" s="6">
        <v>113</v>
      </c>
      <c r="E1371" s="6">
        <v>194</v>
      </c>
      <c r="F1371" s="11"/>
    </row>
    <row r="1372" spans="1:6">
      <c r="A1372" s="5" t="str">
        <f t="shared" si="24"/>
        <v>202306</v>
      </c>
      <c r="B1372" s="5" t="str">
        <f>"23085014627"</f>
        <v>23085014627</v>
      </c>
      <c r="C1372" s="6">
        <v>94.5</v>
      </c>
      <c r="D1372" s="6">
        <v>99</v>
      </c>
      <c r="E1372" s="6">
        <v>193.5</v>
      </c>
      <c r="F1372" s="11"/>
    </row>
    <row r="1373" spans="1:6">
      <c r="A1373" s="5" t="str">
        <f t="shared" si="24"/>
        <v>202306</v>
      </c>
      <c r="B1373" s="5" t="str">
        <f>"23085014413"</f>
        <v>23085014413</v>
      </c>
      <c r="C1373" s="6">
        <v>87</v>
      </c>
      <c r="D1373" s="6">
        <v>106</v>
      </c>
      <c r="E1373" s="6">
        <v>193</v>
      </c>
      <c r="F1373" s="11"/>
    </row>
    <row r="1374" spans="1:6">
      <c r="A1374" s="5" t="str">
        <f t="shared" si="24"/>
        <v>202306</v>
      </c>
      <c r="B1374" s="5" t="str">
        <f>"23085014718"</f>
        <v>23085014718</v>
      </c>
      <c r="C1374" s="6">
        <v>85.5</v>
      </c>
      <c r="D1374" s="6">
        <v>107.5</v>
      </c>
      <c r="E1374" s="6">
        <v>193</v>
      </c>
      <c r="F1374" s="11"/>
    </row>
    <row r="1375" spans="1:6">
      <c r="A1375" s="5" t="str">
        <f t="shared" si="24"/>
        <v>202306</v>
      </c>
      <c r="B1375" s="5" t="str">
        <f>"23085014516"</f>
        <v>23085014516</v>
      </c>
      <c r="C1375" s="6">
        <v>96</v>
      </c>
      <c r="D1375" s="6">
        <v>95.5</v>
      </c>
      <c r="E1375" s="6">
        <v>191.5</v>
      </c>
      <c r="F1375" s="11"/>
    </row>
    <row r="1376" spans="1:6">
      <c r="A1376" s="5" t="str">
        <f t="shared" si="24"/>
        <v>202306</v>
      </c>
      <c r="B1376" s="5" t="str">
        <f>"23085014624"</f>
        <v>23085014624</v>
      </c>
      <c r="C1376" s="6">
        <v>85.5</v>
      </c>
      <c r="D1376" s="6">
        <v>102.5</v>
      </c>
      <c r="E1376" s="6">
        <v>188</v>
      </c>
      <c r="F1376" s="11"/>
    </row>
    <row r="1377" spans="1:6">
      <c r="A1377" s="5" t="str">
        <f t="shared" si="24"/>
        <v>202306</v>
      </c>
      <c r="B1377" s="5" t="str">
        <f>"23085014711"</f>
        <v>23085014711</v>
      </c>
      <c r="C1377" s="6">
        <v>81</v>
      </c>
      <c r="D1377" s="6">
        <v>106.5</v>
      </c>
      <c r="E1377" s="6">
        <v>187.5</v>
      </c>
      <c r="F1377" s="11"/>
    </row>
    <row r="1378" spans="1:6">
      <c r="A1378" s="5" t="str">
        <f t="shared" si="24"/>
        <v>202306</v>
      </c>
      <c r="B1378" s="5" t="str">
        <f>"23085014310"</f>
        <v>23085014310</v>
      </c>
      <c r="C1378" s="6">
        <v>84</v>
      </c>
      <c r="D1378" s="6">
        <v>102</v>
      </c>
      <c r="E1378" s="6">
        <v>186</v>
      </c>
      <c r="F1378" s="11"/>
    </row>
    <row r="1379" spans="1:6">
      <c r="A1379" s="5" t="str">
        <f t="shared" si="24"/>
        <v>202306</v>
      </c>
      <c r="B1379" s="5" t="str">
        <f>"23085014406"</f>
        <v>23085014406</v>
      </c>
      <c r="C1379" s="6">
        <v>85.5</v>
      </c>
      <c r="D1379" s="6">
        <v>96.5</v>
      </c>
      <c r="E1379" s="6">
        <v>182</v>
      </c>
      <c r="F1379" s="11"/>
    </row>
    <row r="1380" spans="1:6">
      <c r="A1380" s="5" t="str">
        <f t="shared" si="24"/>
        <v>202306</v>
      </c>
      <c r="B1380" s="5" t="str">
        <f>"23085014307"</f>
        <v>23085014307</v>
      </c>
      <c r="C1380" s="6">
        <v>84</v>
      </c>
      <c r="D1380" s="6">
        <v>97.5</v>
      </c>
      <c r="E1380" s="6">
        <v>181.5</v>
      </c>
      <c r="F1380" s="11"/>
    </row>
    <row r="1381" spans="1:6">
      <c r="A1381" s="5" t="str">
        <f t="shared" si="24"/>
        <v>202306</v>
      </c>
      <c r="B1381" s="5" t="str">
        <f>"23085014712"</f>
        <v>23085014712</v>
      </c>
      <c r="C1381" s="6">
        <v>79.5</v>
      </c>
      <c r="D1381" s="6">
        <v>99</v>
      </c>
      <c r="E1381" s="6">
        <v>178.5</v>
      </c>
      <c r="F1381" s="11"/>
    </row>
    <row r="1382" spans="1:6">
      <c r="A1382" s="5" t="str">
        <f t="shared" si="24"/>
        <v>202306</v>
      </c>
      <c r="B1382" s="5" t="str">
        <f>"23085014706"</f>
        <v>23085014706</v>
      </c>
      <c r="C1382" s="6">
        <v>73.5</v>
      </c>
      <c r="D1382" s="6">
        <v>104.5</v>
      </c>
      <c r="E1382" s="6">
        <v>178</v>
      </c>
      <c r="F1382" s="11"/>
    </row>
    <row r="1383" spans="1:6">
      <c r="A1383" s="5" t="str">
        <f t="shared" si="24"/>
        <v>202306</v>
      </c>
      <c r="B1383" s="5" t="str">
        <f>"23085014316"</f>
        <v>23085014316</v>
      </c>
      <c r="C1383" s="6">
        <v>78</v>
      </c>
      <c r="D1383" s="6">
        <v>98.5</v>
      </c>
      <c r="E1383" s="6">
        <v>176.5</v>
      </c>
      <c r="F1383" s="11"/>
    </row>
    <row r="1384" spans="1:6">
      <c r="A1384" s="5" t="str">
        <f t="shared" si="24"/>
        <v>202306</v>
      </c>
      <c r="B1384" s="5" t="str">
        <f>"23085014710"</f>
        <v>23085014710</v>
      </c>
      <c r="C1384" s="6">
        <v>69</v>
      </c>
      <c r="D1384" s="6">
        <v>105</v>
      </c>
      <c r="E1384" s="6">
        <v>174</v>
      </c>
      <c r="F1384" s="11"/>
    </row>
    <row r="1385" spans="1:6">
      <c r="A1385" s="5" t="str">
        <f t="shared" si="24"/>
        <v>202306</v>
      </c>
      <c r="B1385" s="5" t="str">
        <f>"23085014415"</f>
        <v>23085014415</v>
      </c>
      <c r="C1385" s="6">
        <v>69</v>
      </c>
      <c r="D1385" s="6">
        <v>105</v>
      </c>
      <c r="E1385" s="6">
        <v>174</v>
      </c>
      <c r="F1385" s="11"/>
    </row>
    <row r="1386" spans="1:6">
      <c r="A1386" s="5" t="str">
        <f t="shared" ref="A1386:A1421" si="25">"202306"</f>
        <v>202306</v>
      </c>
      <c r="B1386" s="5" t="str">
        <f>"23085014804"</f>
        <v>23085014804</v>
      </c>
      <c r="C1386" s="6">
        <v>69</v>
      </c>
      <c r="D1386" s="6">
        <v>103</v>
      </c>
      <c r="E1386" s="6">
        <v>172</v>
      </c>
      <c r="F1386" s="11"/>
    </row>
    <row r="1387" spans="1:6">
      <c r="A1387" s="5" t="str">
        <f t="shared" si="25"/>
        <v>202306</v>
      </c>
      <c r="B1387" s="5" t="str">
        <f>"23085014525"</f>
        <v>23085014525</v>
      </c>
      <c r="C1387" s="6">
        <v>69</v>
      </c>
      <c r="D1387" s="6">
        <v>101.5</v>
      </c>
      <c r="E1387" s="6">
        <v>170.5</v>
      </c>
      <c r="F1387" s="11"/>
    </row>
    <row r="1388" spans="1:6">
      <c r="A1388" s="5" t="str">
        <f t="shared" si="25"/>
        <v>202306</v>
      </c>
      <c r="B1388" s="5" t="str">
        <f>"23085014730"</f>
        <v>23085014730</v>
      </c>
      <c r="C1388" s="6">
        <v>66</v>
      </c>
      <c r="D1388" s="6">
        <v>103.5</v>
      </c>
      <c r="E1388" s="6">
        <v>169.5</v>
      </c>
      <c r="F1388" s="11"/>
    </row>
    <row r="1389" spans="1:6">
      <c r="A1389" s="5" t="str">
        <f t="shared" si="25"/>
        <v>202306</v>
      </c>
      <c r="B1389" s="5" t="str">
        <f>"23085014527"</f>
        <v>23085014527</v>
      </c>
      <c r="C1389" s="6">
        <v>78</v>
      </c>
      <c r="D1389" s="6">
        <v>90.5</v>
      </c>
      <c r="E1389" s="6">
        <v>168.5</v>
      </c>
      <c r="F1389" s="11"/>
    </row>
    <row r="1390" spans="1:6">
      <c r="A1390" s="5" t="str">
        <f t="shared" si="25"/>
        <v>202306</v>
      </c>
      <c r="B1390" s="5" t="str">
        <f>"23085014808"</f>
        <v>23085014808</v>
      </c>
      <c r="C1390" s="6">
        <v>94.5</v>
      </c>
      <c r="D1390" s="6">
        <v>62.5</v>
      </c>
      <c r="E1390" s="6">
        <v>157</v>
      </c>
      <c r="F1390" s="11"/>
    </row>
    <row r="1391" spans="1:6">
      <c r="A1391" s="5" t="str">
        <f t="shared" si="25"/>
        <v>202306</v>
      </c>
      <c r="B1391" s="5" t="str">
        <f>"23085014230"</f>
        <v>23085014230</v>
      </c>
      <c r="C1391" s="6">
        <v>76.5</v>
      </c>
      <c r="D1391" s="6">
        <v>74</v>
      </c>
      <c r="E1391" s="6">
        <v>150.5</v>
      </c>
      <c r="F1391" s="11"/>
    </row>
    <row r="1392" spans="1:6">
      <c r="A1392" s="5" t="str">
        <f t="shared" si="25"/>
        <v>202306</v>
      </c>
      <c r="B1392" s="5" t="str">
        <f>"23085014629"</f>
        <v>23085014629</v>
      </c>
      <c r="C1392" s="6">
        <v>0</v>
      </c>
      <c r="D1392" s="6">
        <v>0</v>
      </c>
      <c r="E1392" s="6">
        <v>0</v>
      </c>
      <c r="F1392" s="11" t="s">
        <v>7</v>
      </c>
    </row>
    <row r="1393" spans="1:6">
      <c r="A1393" s="5" t="str">
        <f t="shared" si="25"/>
        <v>202306</v>
      </c>
      <c r="B1393" s="5" t="str">
        <f>"23085014228"</f>
        <v>23085014228</v>
      </c>
      <c r="C1393" s="6">
        <v>0</v>
      </c>
      <c r="D1393" s="6">
        <v>0</v>
      </c>
      <c r="E1393" s="6">
        <v>0</v>
      </c>
      <c r="F1393" s="11" t="s">
        <v>7</v>
      </c>
    </row>
    <row r="1394" spans="1:6">
      <c r="A1394" s="5" t="str">
        <f t="shared" si="25"/>
        <v>202306</v>
      </c>
      <c r="B1394" s="5" t="str">
        <f>"23085014304"</f>
        <v>23085014304</v>
      </c>
      <c r="C1394" s="6">
        <v>0</v>
      </c>
      <c r="D1394" s="6">
        <v>0</v>
      </c>
      <c r="E1394" s="6">
        <v>0</v>
      </c>
      <c r="F1394" s="11" t="s">
        <v>7</v>
      </c>
    </row>
    <row r="1395" spans="1:6">
      <c r="A1395" s="5" t="str">
        <f t="shared" si="25"/>
        <v>202306</v>
      </c>
      <c r="B1395" s="5" t="str">
        <f>"23085014612"</f>
        <v>23085014612</v>
      </c>
      <c r="C1395" s="6">
        <v>0</v>
      </c>
      <c r="D1395" s="6">
        <v>0</v>
      </c>
      <c r="E1395" s="6">
        <v>0</v>
      </c>
      <c r="F1395" s="11" t="s">
        <v>7</v>
      </c>
    </row>
    <row r="1396" spans="1:6">
      <c r="A1396" s="5" t="str">
        <f t="shared" si="25"/>
        <v>202306</v>
      </c>
      <c r="B1396" s="5" t="str">
        <f>"23085014408"</f>
        <v>23085014408</v>
      </c>
      <c r="C1396" s="6">
        <v>0</v>
      </c>
      <c r="D1396" s="6">
        <v>0</v>
      </c>
      <c r="E1396" s="6">
        <v>0</v>
      </c>
      <c r="F1396" s="11" t="s">
        <v>7</v>
      </c>
    </row>
    <row r="1397" spans="1:6">
      <c r="A1397" s="5" t="str">
        <f t="shared" si="25"/>
        <v>202306</v>
      </c>
      <c r="B1397" s="5" t="str">
        <f>"23085014513"</f>
        <v>23085014513</v>
      </c>
      <c r="C1397" s="6">
        <v>0</v>
      </c>
      <c r="D1397" s="6">
        <v>0</v>
      </c>
      <c r="E1397" s="6">
        <v>0</v>
      </c>
      <c r="F1397" s="11" t="s">
        <v>7</v>
      </c>
    </row>
    <row r="1398" spans="1:6">
      <c r="A1398" s="5" t="str">
        <f t="shared" si="25"/>
        <v>202306</v>
      </c>
      <c r="B1398" s="5" t="str">
        <f>"23085014518"</f>
        <v>23085014518</v>
      </c>
      <c r="C1398" s="6">
        <v>0</v>
      </c>
      <c r="D1398" s="6">
        <v>0</v>
      </c>
      <c r="E1398" s="6">
        <v>0</v>
      </c>
      <c r="F1398" s="11" t="s">
        <v>7</v>
      </c>
    </row>
    <row r="1399" spans="1:6">
      <c r="A1399" s="5" t="str">
        <f t="shared" si="25"/>
        <v>202306</v>
      </c>
      <c r="B1399" s="5" t="str">
        <f>"23085014717"</f>
        <v>23085014717</v>
      </c>
      <c r="C1399" s="6">
        <v>0</v>
      </c>
      <c r="D1399" s="6">
        <v>0</v>
      </c>
      <c r="E1399" s="6">
        <v>0</v>
      </c>
      <c r="F1399" s="11" t="s">
        <v>7</v>
      </c>
    </row>
    <row r="1400" spans="1:6">
      <c r="A1400" s="5" t="str">
        <f t="shared" si="25"/>
        <v>202306</v>
      </c>
      <c r="B1400" s="5" t="str">
        <f>"23085014702"</f>
        <v>23085014702</v>
      </c>
      <c r="C1400" s="6">
        <v>0</v>
      </c>
      <c r="D1400" s="6">
        <v>0</v>
      </c>
      <c r="E1400" s="6">
        <v>0</v>
      </c>
      <c r="F1400" s="11" t="s">
        <v>7</v>
      </c>
    </row>
    <row r="1401" spans="1:6">
      <c r="A1401" s="5" t="str">
        <f t="shared" si="25"/>
        <v>202306</v>
      </c>
      <c r="B1401" s="5" t="str">
        <f>"23085014322"</f>
        <v>23085014322</v>
      </c>
      <c r="C1401" s="6">
        <v>0</v>
      </c>
      <c r="D1401" s="6">
        <v>0</v>
      </c>
      <c r="E1401" s="6">
        <v>0</v>
      </c>
      <c r="F1401" s="11" t="s">
        <v>7</v>
      </c>
    </row>
    <row r="1402" spans="1:6">
      <c r="A1402" s="5" t="str">
        <f t="shared" si="25"/>
        <v>202306</v>
      </c>
      <c r="B1402" s="5" t="str">
        <f>"23085014628"</f>
        <v>23085014628</v>
      </c>
      <c r="C1402" s="6">
        <v>0</v>
      </c>
      <c r="D1402" s="6">
        <v>0</v>
      </c>
      <c r="E1402" s="6">
        <v>0</v>
      </c>
      <c r="F1402" s="11" t="s">
        <v>7</v>
      </c>
    </row>
    <row r="1403" spans="1:6">
      <c r="A1403" s="5" t="str">
        <f t="shared" si="25"/>
        <v>202306</v>
      </c>
      <c r="B1403" s="5" t="str">
        <f>"23085014626"</f>
        <v>23085014626</v>
      </c>
      <c r="C1403" s="6">
        <v>0</v>
      </c>
      <c r="D1403" s="6">
        <v>0</v>
      </c>
      <c r="E1403" s="6">
        <v>0</v>
      </c>
      <c r="F1403" s="11" t="s">
        <v>7</v>
      </c>
    </row>
    <row r="1404" spans="1:6">
      <c r="A1404" s="5" t="str">
        <f t="shared" si="25"/>
        <v>202306</v>
      </c>
      <c r="B1404" s="5" t="str">
        <f>"23085014528"</f>
        <v>23085014528</v>
      </c>
      <c r="C1404" s="6">
        <v>0</v>
      </c>
      <c r="D1404" s="6">
        <v>0</v>
      </c>
      <c r="E1404" s="6">
        <v>0</v>
      </c>
      <c r="F1404" s="11" t="s">
        <v>7</v>
      </c>
    </row>
    <row r="1405" spans="1:6">
      <c r="A1405" s="5" t="str">
        <f t="shared" si="25"/>
        <v>202306</v>
      </c>
      <c r="B1405" s="5" t="str">
        <f>"23085014421"</f>
        <v>23085014421</v>
      </c>
      <c r="C1405" s="6">
        <v>0</v>
      </c>
      <c r="D1405" s="6">
        <v>0</v>
      </c>
      <c r="E1405" s="6">
        <v>0</v>
      </c>
      <c r="F1405" s="11" t="s">
        <v>7</v>
      </c>
    </row>
    <row r="1406" spans="1:6">
      <c r="A1406" s="5" t="str">
        <f t="shared" si="25"/>
        <v>202306</v>
      </c>
      <c r="B1406" s="5" t="str">
        <f>"23085014709"</f>
        <v>23085014709</v>
      </c>
      <c r="C1406" s="6">
        <v>0</v>
      </c>
      <c r="D1406" s="6">
        <v>0</v>
      </c>
      <c r="E1406" s="6">
        <v>0</v>
      </c>
      <c r="F1406" s="11" t="s">
        <v>7</v>
      </c>
    </row>
    <row r="1407" spans="1:6">
      <c r="A1407" s="5" t="str">
        <f t="shared" si="25"/>
        <v>202306</v>
      </c>
      <c r="B1407" s="5" t="str">
        <f>"23085014313"</f>
        <v>23085014313</v>
      </c>
      <c r="C1407" s="6">
        <v>0</v>
      </c>
      <c r="D1407" s="6">
        <v>0</v>
      </c>
      <c r="E1407" s="6">
        <v>0</v>
      </c>
      <c r="F1407" s="11" t="s">
        <v>7</v>
      </c>
    </row>
    <row r="1408" spans="1:6">
      <c r="A1408" s="5" t="str">
        <f t="shared" si="25"/>
        <v>202306</v>
      </c>
      <c r="B1408" s="5" t="str">
        <f>"23085014425"</f>
        <v>23085014425</v>
      </c>
      <c r="C1408" s="6">
        <v>0</v>
      </c>
      <c r="D1408" s="6">
        <v>0</v>
      </c>
      <c r="E1408" s="6">
        <v>0</v>
      </c>
      <c r="F1408" s="11" t="s">
        <v>7</v>
      </c>
    </row>
    <row r="1409" spans="1:6">
      <c r="A1409" s="5" t="str">
        <f t="shared" si="25"/>
        <v>202306</v>
      </c>
      <c r="B1409" s="5" t="str">
        <f>"23085014501"</f>
        <v>23085014501</v>
      </c>
      <c r="C1409" s="6">
        <v>0</v>
      </c>
      <c r="D1409" s="6">
        <v>0</v>
      </c>
      <c r="E1409" s="6">
        <v>0</v>
      </c>
      <c r="F1409" s="11" t="s">
        <v>7</v>
      </c>
    </row>
    <row r="1410" spans="1:6">
      <c r="A1410" s="5" t="str">
        <f t="shared" si="25"/>
        <v>202306</v>
      </c>
      <c r="B1410" s="5" t="str">
        <f>"23085014403"</f>
        <v>23085014403</v>
      </c>
      <c r="C1410" s="6">
        <v>0</v>
      </c>
      <c r="D1410" s="6">
        <v>0</v>
      </c>
      <c r="E1410" s="6">
        <v>0</v>
      </c>
      <c r="F1410" s="11" t="s">
        <v>7</v>
      </c>
    </row>
    <row r="1411" spans="1:6">
      <c r="A1411" s="5" t="str">
        <f t="shared" si="25"/>
        <v>202306</v>
      </c>
      <c r="B1411" s="5" t="str">
        <f>"23085014309"</f>
        <v>23085014309</v>
      </c>
      <c r="C1411" s="6">
        <v>0</v>
      </c>
      <c r="D1411" s="6">
        <v>0</v>
      </c>
      <c r="E1411" s="6">
        <v>0</v>
      </c>
      <c r="F1411" s="11" t="s">
        <v>7</v>
      </c>
    </row>
    <row r="1412" spans="1:6">
      <c r="A1412" s="5" t="str">
        <f t="shared" si="25"/>
        <v>202306</v>
      </c>
      <c r="B1412" s="5" t="str">
        <f>"23085014418"</f>
        <v>23085014418</v>
      </c>
      <c r="C1412" s="6">
        <v>0</v>
      </c>
      <c r="D1412" s="6">
        <v>0</v>
      </c>
      <c r="E1412" s="6">
        <v>0</v>
      </c>
      <c r="F1412" s="11" t="s">
        <v>7</v>
      </c>
    </row>
    <row r="1413" spans="1:6">
      <c r="A1413" s="5" t="str">
        <f t="shared" si="25"/>
        <v>202306</v>
      </c>
      <c r="B1413" s="5" t="str">
        <f>"23085014614"</f>
        <v>23085014614</v>
      </c>
      <c r="C1413" s="6">
        <v>0</v>
      </c>
      <c r="D1413" s="6">
        <v>0</v>
      </c>
      <c r="E1413" s="6">
        <v>0</v>
      </c>
      <c r="F1413" s="11" t="s">
        <v>7</v>
      </c>
    </row>
    <row r="1414" spans="1:6">
      <c r="A1414" s="5" t="str">
        <f t="shared" si="25"/>
        <v>202306</v>
      </c>
      <c r="B1414" s="5" t="str">
        <f>"23085014613"</f>
        <v>23085014613</v>
      </c>
      <c r="C1414" s="6">
        <v>0</v>
      </c>
      <c r="D1414" s="6">
        <v>0</v>
      </c>
      <c r="E1414" s="6">
        <v>0</v>
      </c>
      <c r="F1414" s="11" t="s">
        <v>7</v>
      </c>
    </row>
    <row r="1415" spans="1:6">
      <c r="A1415" s="5" t="str">
        <f t="shared" si="25"/>
        <v>202306</v>
      </c>
      <c r="B1415" s="5" t="str">
        <f>"23085014325"</f>
        <v>23085014325</v>
      </c>
      <c r="C1415" s="6">
        <v>0</v>
      </c>
      <c r="D1415" s="6">
        <v>0</v>
      </c>
      <c r="E1415" s="6">
        <v>0</v>
      </c>
      <c r="F1415" s="11" t="s">
        <v>7</v>
      </c>
    </row>
    <row r="1416" spans="1:6">
      <c r="A1416" s="5" t="str">
        <f t="shared" si="25"/>
        <v>202306</v>
      </c>
      <c r="B1416" s="5" t="str">
        <f>"23085014802"</f>
        <v>23085014802</v>
      </c>
      <c r="C1416" s="6">
        <v>0</v>
      </c>
      <c r="D1416" s="6">
        <v>0</v>
      </c>
      <c r="E1416" s="6">
        <v>0</v>
      </c>
      <c r="F1416" s="11" t="s">
        <v>7</v>
      </c>
    </row>
    <row r="1417" spans="1:6">
      <c r="A1417" s="5" t="str">
        <f t="shared" si="25"/>
        <v>202306</v>
      </c>
      <c r="B1417" s="5" t="str">
        <f>"23085014529"</f>
        <v>23085014529</v>
      </c>
      <c r="C1417" s="6">
        <v>0</v>
      </c>
      <c r="D1417" s="6">
        <v>0</v>
      </c>
      <c r="E1417" s="6">
        <v>0</v>
      </c>
      <c r="F1417" s="11" t="s">
        <v>7</v>
      </c>
    </row>
    <row r="1418" spans="1:6">
      <c r="A1418" s="5" t="str">
        <f t="shared" si="25"/>
        <v>202306</v>
      </c>
      <c r="B1418" s="5" t="str">
        <f>"23085014704"</f>
        <v>23085014704</v>
      </c>
      <c r="C1418" s="6">
        <v>0</v>
      </c>
      <c r="D1418" s="6">
        <v>0</v>
      </c>
      <c r="E1418" s="6">
        <v>0</v>
      </c>
      <c r="F1418" s="11" t="s">
        <v>7</v>
      </c>
    </row>
    <row r="1419" spans="1:6">
      <c r="A1419" s="5" t="str">
        <f t="shared" si="25"/>
        <v>202306</v>
      </c>
      <c r="B1419" s="5" t="str">
        <f>"23085014713"</f>
        <v>23085014713</v>
      </c>
      <c r="C1419" s="6">
        <v>0</v>
      </c>
      <c r="D1419" s="6">
        <v>0</v>
      </c>
      <c r="E1419" s="6">
        <v>0</v>
      </c>
      <c r="F1419" s="11" t="s">
        <v>7</v>
      </c>
    </row>
    <row r="1420" spans="1:6">
      <c r="A1420" s="5" t="str">
        <f t="shared" si="25"/>
        <v>202306</v>
      </c>
      <c r="B1420" s="5" t="str">
        <f>"23085014412"</f>
        <v>23085014412</v>
      </c>
      <c r="C1420" s="6">
        <v>0</v>
      </c>
      <c r="D1420" s="6">
        <v>0</v>
      </c>
      <c r="E1420" s="6">
        <v>0</v>
      </c>
      <c r="F1420" s="11" t="s">
        <v>7</v>
      </c>
    </row>
    <row r="1421" spans="1:6">
      <c r="A1421" s="5" t="str">
        <f t="shared" si="25"/>
        <v>202306</v>
      </c>
      <c r="B1421" s="5" t="str">
        <f>"23085014707"</f>
        <v>23085014707</v>
      </c>
      <c r="C1421" s="6">
        <v>0</v>
      </c>
      <c r="D1421" s="6">
        <v>0</v>
      </c>
      <c r="E1421" s="6">
        <v>0</v>
      </c>
      <c r="F1421" s="11" t="s">
        <v>7</v>
      </c>
    </row>
    <row r="1422" spans="1:6">
      <c r="A1422" s="5" t="str">
        <f t="shared" ref="A1422:A1485" si="26">"202307"</f>
        <v>202307</v>
      </c>
      <c r="B1422" s="5" t="str">
        <f>"23085015001"</f>
        <v>23085015001</v>
      </c>
      <c r="C1422" s="6">
        <v>120</v>
      </c>
      <c r="D1422" s="6">
        <v>116</v>
      </c>
      <c r="E1422" s="6">
        <v>236</v>
      </c>
      <c r="F1422" s="11"/>
    </row>
    <row r="1423" spans="1:6">
      <c r="A1423" s="5" t="str">
        <f t="shared" si="26"/>
        <v>202307</v>
      </c>
      <c r="B1423" s="5" t="str">
        <f>"23085014905"</f>
        <v>23085014905</v>
      </c>
      <c r="C1423" s="6">
        <v>115.5</v>
      </c>
      <c r="D1423" s="6">
        <v>119</v>
      </c>
      <c r="E1423" s="6">
        <v>234.5</v>
      </c>
      <c r="F1423" s="11"/>
    </row>
    <row r="1424" spans="1:6">
      <c r="A1424" s="5" t="str">
        <f t="shared" si="26"/>
        <v>202307</v>
      </c>
      <c r="B1424" s="5" t="str">
        <f>"23085015017"</f>
        <v>23085015017</v>
      </c>
      <c r="C1424" s="6">
        <v>112.5</v>
      </c>
      <c r="D1424" s="6">
        <v>121.5</v>
      </c>
      <c r="E1424" s="6">
        <v>234</v>
      </c>
      <c r="F1424" s="11"/>
    </row>
    <row r="1425" spans="1:6">
      <c r="A1425" s="5" t="str">
        <f t="shared" si="26"/>
        <v>202307</v>
      </c>
      <c r="B1425" s="5" t="str">
        <f>"23085014929"</f>
        <v>23085014929</v>
      </c>
      <c r="C1425" s="6">
        <v>115.5</v>
      </c>
      <c r="D1425" s="6">
        <v>114.5</v>
      </c>
      <c r="E1425" s="6">
        <v>230</v>
      </c>
      <c r="F1425" s="11"/>
    </row>
    <row r="1426" spans="1:6">
      <c r="A1426" s="5" t="str">
        <f t="shared" si="26"/>
        <v>202307</v>
      </c>
      <c r="B1426" s="5" t="str">
        <f>"23085014827"</f>
        <v>23085014827</v>
      </c>
      <c r="C1426" s="6">
        <v>114</v>
      </c>
      <c r="D1426" s="6">
        <v>112.5</v>
      </c>
      <c r="E1426" s="6">
        <v>226.5</v>
      </c>
      <c r="F1426" s="11"/>
    </row>
    <row r="1427" spans="1:6">
      <c r="A1427" s="5" t="str">
        <f t="shared" si="26"/>
        <v>202307</v>
      </c>
      <c r="B1427" s="5" t="str">
        <f>"23085014813"</f>
        <v>23085014813</v>
      </c>
      <c r="C1427" s="6">
        <v>105</v>
      </c>
      <c r="D1427" s="6">
        <v>121</v>
      </c>
      <c r="E1427" s="6">
        <v>226</v>
      </c>
      <c r="F1427" s="11"/>
    </row>
    <row r="1428" spans="1:6">
      <c r="A1428" s="5" t="str">
        <f t="shared" si="26"/>
        <v>202307</v>
      </c>
      <c r="B1428" s="5" t="str">
        <f>"23085014904"</f>
        <v>23085014904</v>
      </c>
      <c r="C1428" s="6">
        <v>111</v>
      </c>
      <c r="D1428" s="6">
        <v>115</v>
      </c>
      <c r="E1428" s="6">
        <v>226</v>
      </c>
      <c r="F1428" s="11"/>
    </row>
    <row r="1429" spans="1:6">
      <c r="A1429" s="5" t="str">
        <f t="shared" si="26"/>
        <v>202307</v>
      </c>
      <c r="B1429" s="5" t="str">
        <f>"23085014921"</f>
        <v>23085014921</v>
      </c>
      <c r="C1429" s="6">
        <v>111</v>
      </c>
      <c r="D1429" s="6">
        <v>113</v>
      </c>
      <c r="E1429" s="6">
        <v>224</v>
      </c>
      <c r="F1429" s="11"/>
    </row>
    <row r="1430" spans="1:6">
      <c r="A1430" s="5" t="str">
        <f t="shared" si="26"/>
        <v>202307</v>
      </c>
      <c r="B1430" s="5" t="str">
        <f>"23085014903"</f>
        <v>23085014903</v>
      </c>
      <c r="C1430" s="6">
        <v>105</v>
      </c>
      <c r="D1430" s="6">
        <v>117.5</v>
      </c>
      <c r="E1430" s="6">
        <v>222.5</v>
      </c>
      <c r="F1430" s="11"/>
    </row>
    <row r="1431" spans="1:6">
      <c r="A1431" s="5" t="str">
        <f t="shared" si="26"/>
        <v>202307</v>
      </c>
      <c r="B1431" s="5" t="str">
        <f>"23085015009"</f>
        <v>23085015009</v>
      </c>
      <c r="C1431" s="6">
        <v>109.5</v>
      </c>
      <c r="D1431" s="6">
        <v>111.5</v>
      </c>
      <c r="E1431" s="6">
        <v>221</v>
      </c>
      <c r="F1431" s="11"/>
    </row>
    <row r="1432" spans="1:6">
      <c r="A1432" s="5" t="str">
        <f t="shared" si="26"/>
        <v>202307</v>
      </c>
      <c r="B1432" s="5" t="str">
        <f>"23085015015"</f>
        <v>23085015015</v>
      </c>
      <c r="C1432" s="6">
        <v>111</v>
      </c>
      <c r="D1432" s="6">
        <v>109</v>
      </c>
      <c r="E1432" s="6">
        <v>220</v>
      </c>
      <c r="F1432" s="11"/>
    </row>
    <row r="1433" spans="1:6">
      <c r="A1433" s="5" t="str">
        <f t="shared" si="26"/>
        <v>202307</v>
      </c>
      <c r="B1433" s="5" t="str">
        <f>"23085014822"</f>
        <v>23085014822</v>
      </c>
      <c r="C1433" s="6">
        <v>103.5</v>
      </c>
      <c r="D1433" s="6">
        <v>116</v>
      </c>
      <c r="E1433" s="6">
        <v>219.5</v>
      </c>
      <c r="F1433" s="11"/>
    </row>
    <row r="1434" spans="1:6">
      <c r="A1434" s="5" t="str">
        <f t="shared" si="26"/>
        <v>202307</v>
      </c>
      <c r="B1434" s="5" t="str">
        <f>"23085014915"</f>
        <v>23085014915</v>
      </c>
      <c r="C1434" s="6">
        <v>96</v>
      </c>
      <c r="D1434" s="6">
        <v>121.5</v>
      </c>
      <c r="E1434" s="6">
        <v>217.5</v>
      </c>
      <c r="F1434" s="11"/>
    </row>
    <row r="1435" spans="1:6">
      <c r="A1435" s="5" t="str">
        <f t="shared" si="26"/>
        <v>202307</v>
      </c>
      <c r="B1435" s="5" t="str">
        <f>"23085014902"</f>
        <v>23085014902</v>
      </c>
      <c r="C1435" s="6">
        <v>100.5</v>
      </c>
      <c r="D1435" s="6">
        <v>117</v>
      </c>
      <c r="E1435" s="6">
        <v>217.5</v>
      </c>
      <c r="F1435" s="11"/>
    </row>
    <row r="1436" spans="1:6">
      <c r="A1436" s="5" t="str">
        <f t="shared" si="26"/>
        <v>202307</v>
      </c>
      <c r="B1436" s="5" t="str">
        <f>"23085015002"</f>
        <v>23085015002</v>
      </c>
      <c r="C1436" s="6">
        <v>97.5</v>
      </c>
      <c r="D1436" s="6">
        <v>119</v>
      </c>
      <c r="E1436" s="6">
        <v>216.5</v>
      </c>
      <c r="F1436" s="11"/>
    </row>
    <row r="1437" spans="1:6">
      <c r="A1437" s="5" t="str">
        <f t="shared" si="26"/>
        <v>202307</v>
      </c>
      <c r="B1437" s="5" t="str">
        <f>"23085014816"</f>
        <v>23085014816</v>
      </c>
      <c r="C1437" s="6">
        <v>100.5</v>
      </c>
      <c r="D1437" s="6">
        <v>116</v>
      </c>
      <c r="E1437" s="6">
        <v>216.5</v>
      </c>
      <c r="F1437" s="11"/>
    </row>
    <row r="1438" spans="1:6">
      <c r="A1438" s="5" t="str">
        <f t="shared" si="26"/>
        <v>202307</v>
      </c>
      <c r="B1438" s="5" t="str">
        <f>"23085014914"</f>
        <v>23085014914</v>
      </c>
      <c r="C1438" s="6">
        <v>102</v>
      </c>
      <c r="D1438" s="6">
        <v>114.5</v>
      </c>
      <c r="E1438" s="6">
        <v>216.5</v>
      </c>
      <c r="F1438" s="11"/>
    </row>
    <row r="1439" spans="1:6">
      <c r="A1439" s="5" t="str">
        <f t="shared" si="26"/>
        <v>202307</v>
      </c>
      <c r="B1439" s="5" t="str">
        <f>"23085014913"</f>
        <v>23085014913</v>
      </c>
      <c r="C1439" s="6">
        <v>100.5</v>
      </c>
      <c r="D1439" s="6">
        <v>116</v>
      </c>
      <c r="E1439" s="6">
        <v>216.5</v>
      </c>
      <c r="F1439" s="11"/>
    </row>
    <row r="1440" spans="1:6">
      <c r="A1440" s="5" t="str">
        <f t="shared" si="26"/>
        <v>202307</v>
      </c>
      <c r="B1440" s="5" t="str">
        <f>"23085014923"</f>
        <v>23085014923</v>
      </c>
      <c r="C1440" s="6">
        <v>103.5</v>
      </c>
      <c r="D1440" s="6">
        <v>112</v>
      </c>
      <c r="E1440" s="6">
        <v>215.5</v>
      </c>
      <c r="F1440" s="11"/>
    </row>
    <row r="1441" spans="1:6">
      <c r="A1441" s="5" t="str">
        <f t="shared" si="26"/>
        <v>202307</v>
      </c>
      <c r="B1441" s="5" t="str">
        <f>"23085015003"</f>
        <v>23085015003</v>
      </c>
      <c r="C1441" s="6">
        <v>100.5</v>
      </c>
      <c r="D1441" s="6">
        <v>114</v>
      </c>
      <c r="E1441" s="6">
        <v>214.5</v>
      </c>
      <c r="F1441" s="11"/>
    </row>
    <row r="1442" spans="1:6">
      <c r="A1442" s="5" t="str">
        <f t="shared" si="26"/>
        <v>202307</v>
      </c>
      <c r="B1442" s="5" t="str">
        <f>"23085014928"</f>
        <v>23085014928</v>
      </c>
      <c r="C1442" s="6">
        <v>99</v>
      </c>
      <c r="D1442" s="6">
        <v>113.5</v>
      </c>
      <c r="E1442" s="6">
        <v>212.5</v>
      </c>
      <c r="F1442" s="11"/>
    </row>
    <row r="1443" spans="1:6">
      <c r="A1443" s="5" t="str">
        <f t="shared" si="26"/>
        <v>202307</v>
      </c>
      <c r="B1443" s="5" t="str">
        <f>"23085015008"</f>
        <v>23085015008</v>
      </c>
      <c r="C1443" s="6">
        <v>94.5</v>
      </c>
      <c r="D1443" s="6">
        <v>117.5</v>
      </c>
      <c r="E1443" s="6">
        <v>212</v>
      </c>
      <c r="F1443" s="11"/>
    </row>
    <row r="1444" spans="1:6">
      <c r="A1444" s="5" t="str">
        <f t="shared" si="26"/>
        <v>202307</v>
      </c>
      <c r="B1444" s="5" t="str">
        <f>"23085014910"</f>
        <v>23085014910</v>
      </c>
      <c r="C1444" s="6">
        <v>96</v>
      </c>
      <c r="D1444" s="6">
        <v>114.5</v>
      </c>
      <c r="E1444" s="6">
        <v>210.5</v>
      </c>
      <c r="F1444" s="11"/>
    </row>
    <row r="1445" spans="1:6">
      <c r="A1445" s="5" t="str">
        <f t="shared" si="26"/>
        <v>202307</v>
      </c>
      <c r="B1445" s="5" t="str">
        <f>"23085015013"</f>
        <v>23085015013</v>
      </c>
      <c r="C1445" s="6">
        <v>97.5</v>
      </c>
      <c r="D1445" s="6">
        <v>112.5</v>
      </c>
      <c r="E1445" s="6">
        <v>210</v>
      </c>
      <c r="F1445" s="11"/>
    </row>
    <row r="1446" spans="1:6">
      <c r="A1446" s="5" t="str">
        <f t="shared" si="26"/>
        <v>202307</v>
      </c>
      <c r="B1446" s="5" t="str">
        <f>"23085014825"</f>
        <v>23085014825</v>
      </c>
      <c r="C1446" s="6">
        <v>90</v>
      </c>
      <c r="D1446" s="6">
        <v>120</v>
      </c>
      <c r="E1446" s="6">
        <v>210</v>
      </c>
      <c r="F1446" s="11"/>
    </row>
    <row r="1447" spans="1:6">
      <c r="A1447" s="5" t="str">
        <f t="shared" si="26"/>
        <v>202307</v>
      </c>
      <c r="B1447" s="5" t="str">
        <f>"23085015010"</f>
        <v>23085015010</v>
      </c>
      <c r="C1447" s="6">
        <v>91.5</v>
      </c>
      <c r="D1447" s="6">
        <v>118</v>
      </c>
      <c r="E1447" s="6">
        <v>209.5</v>
      </c>
      <c r="F1447" s="11"/>
    </row>
    <row r="1448" spans="1:6">
      <c r="A1448" s="5" t="str">
        <f t="shared" si="26"/>
        <v>202307</v>
      </c>
      <c r="B1448" s="5" t="str">
        <f>"23085014922"</f>
        <v>23085014922</v>
      </c>
      <c r="C1448" s="6">
        <v>94.5</v>
      </c>
      <c r="D1448" s="6">
        <v>114</v>
      </c>
      <c r="E1448" s="6">
        <v>208.5</v>
      </c>
      <c r="F1448" s="11"/>
    </row>
    <row r="1449" spans="1:6">
      <c r="A1449" s="5" t="str">
        <f t="shared" si="26"/>
        <v>202307</v>
      </c>
      <c r="B1449" s="5" t="str">
        <f>"23085014819"</f>
        <v>23085014819</v>
      </c>
      <c r="C1449" s="6">
        <v>93</v>
      </c>
      <c r="D1449" s="6">
        <v>115.5</v>
      </c>
      <c r="E1449" s="6">
        <v>208.5</v>
      </c>
      <c r="F1449" s="11"/>
    </row>
    <row r="1450" spans="1:6">
      <c r="A1450" s="5" t="str">
        <f t="shared" si="26"/>
        <v>202307</v>
      </c>
      <c r="B1450" s="5" t="str">
        <f>"23085014919"</f>
        <v>23085014919</v>
      </c>
      <c r="C1450" s="6">
        <v>90</v>
      </c>
      <c r="D1450" s="6">
        <v>117</v>
      </c>
      <c r="E1450" s="6">
        <v>207</v>
      </c>
      <c r="F1450" s="11"/>
    </row>
    <row r="1451" spans="1:6">
      <c r="A1451" s="5" t="str">
        <f t="shared" si="26"/>
        <v>202307</v>
      </c>
      <c r="B1451" s="5" t="str">
        <f>"23085015020"</f>
        <v>23085015020</v>
      </c>
      <c r="C1451" s="6">
        <v>99</v>
      </c>
      <c r="D1451" s="6">
        <v>107.5</v>
      </c>
      <c r="E1451" s="6">
        <v>206.5</v>
      </c>
      <c r="F1451" s="11"/>
    </row>
    <row r="1452" spans="1:6">
      <c r="A1452" s="5" t="str">
        <f t="shared" si="26"/>
        <v>202307</v>
      </c>
      <c r="B1452" s="5" t="str">
        <f>"23085015007"</f>
        <v>23085015007</v>
      </c>
      <c r="C1452" s="6">
        <v>88.5</v>
      </c>
      <c r="D1452" s="6">
        <v>115.5</v>
      </c>
      <c r="E1452" s="6">
        <v>204</v>
      </c>
      <c r="F1452" s="11"/>
    </row>
    <row r="1453" spans="1:6">
      <c r="A1453" s="5" t="str">
        <f t="shared" si="26"/>
        <v>202307</v>
      </c>
      <c r="B1453" s="5" t="str">
        <f>"23085014912"</f>
        <v>23085014912</v>
      </c>
      <c r="C1453" s="6">
        <v>87</v>
      </c>
      <c r="D1453" s="6">
        <v>116.5</v>
      </c>
      <c r="E1453" s="6">
        <v>203.5</v>
      </c>
      <c r="F1453" s="11"/>
    </row>
    <row r="1454" spans="1:6">
      <c r="A1454" s="5" t="str">
        <f t="shared" si="26"/>
        <v>202307</v>
      </c>
      <c r="B1454" s="5" t="str">
        <f>"23085014829"</f>
        <v>23085014829</v>
      </c>
      <c r="C1454" s="6">
        <v>97.5</v>
      </c>
      <c r="D1454" s="6">
        <v>105.5</v>
      </c>
      <c r="E1454" s="6">
        <v>203</v>
      </c>
      <c r="F1454" s="11"/>
    </row>
    <row r="1455" spans="1:6">
      <c r="A1455" s="5" t="str">
        <f t="shared" si="26"/>
        <v>202307</v>
      </c>
      <c r="B1455" s="5" t="str">
        <f>"23085014817"</f>
        <v>23085014817</v>
      </c>
      <c r="C1455" s="6">
        <v>88.5</v>
      </c>
      <c r="D1455" s="6">
        <v>114</v>
      </c>
      <c r="E1455" s="6">
        <v>202.5</v>
      </c>
      <c r="F1455" s="11"/>
    </row>
    <row r="1456" spans="1:6">
      <c r="A1456" s="5" t="str">
        <f t="shared" si="26"/>
        <v>202307</v>
      </c>
      <c r="B1456" s="5" t="str">
        <f>"23085014828"</f>
        <v>23085014828</v>
      </c>
      <c r="C1456" s="6">
        <v>84</v>
      </c>
      <c r="D1456" s="6">
        <v>116.5</v>
      </c>
      <c r="E1456" s="6">
        <v>200.5</v>
      </c>
      <c r="F1456" s="11"/>
    </row>
    <row r="1457" spans="1:6">
      <c r="A1457" s="5" t="str">
        <f t="shared" si="26"/>
        <v>202307</v>
      </c>
      <c r="B1457" s="5" t="str">
        <f>"23085014826"</f>
        <v>23085014826</v>
      </c>
      <c r="C1457" s="6">
        <v>84</v>
      </c>
      <c r="D1457" s="6">
        <v>116.5</v>
      </c>
      <c r="E1457" s="6">
        <v>200.5</v>
      </c>
      <c r="F1457" s="11"/>
    </row>
    <row r="1458" spans="1:6">
      <c r="A1458" s="5" t="str">
        <f t="shared" si="26"/>
        <v>202307</v>
      </c>
      <c r="B1458" s="5" t="str">
        <f>"23085014924"</f>
        <v>23085014924</v>
      </c>
      <c r="C1458" s="6">
        <v>81</v>
      </c>
      <c r="D1458" s="6">
        <v>119.5</v>
      </c>
      <c r="E1458" s="6">
        <v>200.5</v>
      </c>
      <c r="F1458" s="11"/>
    </row>
    <row r="1459" spans="1:6">
      <c r="A1459" s="5" t="str">
        <f t="shared" si="26"/>
        <v>202307</v>
      </c>
      <c r="B1459" s="5" t="str">
        <f>"23085014901"</f>
        <v>23085014901</v>
      </c>
      <c r="C1459" s="6">
        <v>93</v>
      </c>
      <c r="D1459" s="6">
        <v>106</v>
      </c>
      <c r="E1459" s="6">
        <v>199</v>
      </c>
      <c r="F1459" s="11"/>
    </row>
    <row r="1460" spans="1:6">
      <c r="A1460" s="5" t="str">
        <f t="shared" si="26"/>
        <v>202307</v>
      </c>
      <c r="B1460" s="5" t="str">
        <f>"23085014823"</f>
        <v>23085014823</v>
      </c>
      <c r="C1460" s="6">
        <v>87</v>
      </c>
      <c r="D1460" s="6">
        <v>111</v>
      </c>
      <c r="E1460" s="6">
        <v>198</v>
      </c>
      <c r="F1460" s="11"/>
    </row>
    <row r="1461" spans="1:6">
      <c r="A1461" s="5" t="str">
        <f t="shared" si="26"/>
        <v>202307</v>
      </c>
      <c r="B1461" s="5" t="str">
        <f>"23085015021"</f>
        <v>23085015021</v>
      </c>
      <c r="C1461" s="6">
        <v>94.5</v>
      </c>
      <c r="D1461" s="6">
        <v>103</v>
      </c>
      <c r="E1461" s="6">
        <v>197.5</v>
      </c>
      <c r="F1461" s="11"/>
    </row>
    <row r="1462" spans="1:6">
      <c r="A1462" s="5" t="str">
        <f t="shared" si="26"/>
        <v>202307</v>
      </c>
      <c r="B1462" s="5" t="str">
        <f>"23085014818"</f>
        <v>23085014818</v>
      </c>
      <c r="C1462" s="6">
        <v>88.5</v>
      </c>
      <c r="D1462" s="6">
        <v>107.5</v>
      </c>
      <c r="E1462" s="6">
        <v>196</v>
      </c>
      <c r="F1462" s="11"/>
    </row>
    <row r="1463" spans="1:6">
      <c r="A1463" s="5" t="str">
        <f t="shared" si="26"/>
        <v>202307</v>
      </c>
      <c r="B1463" s="5" t="str">
        <f>"23085015006"</f>
        <v>23085015006</v>
      </c>
      <c r="C1463" s="6">
        <v>88.5</v>
      </c>
      <c r="D1463" s="6">
        <v>107</v>
      </c>
      <c r="E1463" s="6">
        <v>195.5</v>
      </c>
      <c r="F1463" s="11"/>
    </row>
    <row r="1464" spans="1:6">
      <c r="A1464" s="5" t="str">
        <f t="shared" si="26"/>
        <v>202307</v>
      </c>
      <c r="B1464" s="5" t="str">
        <f>"23085014908"</f>
        <v>23085014908</v>
      </c>
      <c r="C1464" s="6">
        <v>84</v>
      </c>
      <c r="D1464" s="6">
        <v>106</v>
      </c>
      <c r="E1464" s="6">
        <v>190</v>
      </c>
      <c r="F1464" s="11"/>
    </row>
    <row r="1465" spans="1:6">
      <c r="A1465" s="5" t="str">
        <f t="shared" si="26"/>
        <v>202307</v>
      </c>
      <c r="B1465" s="5" t="str">
        <f>"23085014821"</f>
        <v>23085014821</v>
      </c>
      <c r="C1465" s="6">
        <v>84</v>
      </c>
      <c r="D1465" s="6">
        <v>106</v>
      </c>
      <c r="E1465" s="6">
        <v>190</v>
      </c>
      <c r="F1465" s="11"/>
    </row>
    <row r="1466" spans="1:6">
      <c r="A1466" s="5" t="str">
        <f t="shared" si="26"/>
        <v>202307</v>
      </c>
      <c r="B1466" s="5" t="str">
        <f>"23085014907"</f>
        <v>23085014907</v>
      </c>
      <c r="C1466" s="6">
        <v>67.5</v>
      </c>
      <c r="D1466" s="6">
        <v>122.5</v>
      </c>
      <c r="E1466" s="6">
        <v>190</v>
      </c>
      <c r="F1466" s="11"/>
    </row>
    <row r="1467" spans="1:6">
      <c r="A1467" s="5" t="str">
        <f t="shared" si="26"/>
        <v>202307</v>
      </c>
      <c r="B1467" s="5" t="str">
        <f>"23085015004"</f>
        <v>23085015004</v>
      </c>
      <c r="C1467" s="6">
        <v>85.5</v>
      </c>
      <c r="D1467" s="6">
        <v>104</v>
      </c>
      <c r="E1467" s="6">
        <v>189.5</v>
      </c>
      <c r="F1467" s="11"/>
    </row>
    <row r="1468" spans="1:6">
      <c r="A1468" s="5" t="str">
        <f t="shared" si="26"/>
        <v>202307</v>
      </c>
      <c r="B1468" s="5" t="str">
        <f>"23085015005"</f>
        <v>23085015005</v>
      </c>
      <c r="C1468" s="6">
        <v>79.5</v>
      </c>
      <c r="D1468" s="6">
        <v>107</v>
      </c>
      <c r="E1468" s="6">
        <v>186.5</v>
      </c>
      <c r="F1468" s="11"/>
    </row>
    <row r="1469" spans="1:6">
      <c r="A1469" s="5" t="str">
        <f t="shared" si="26"/>
        <v>202307</v>
      </c>
      <c r="B1469" s="5" t="str">
        <f>"23085014918"</f>
        <v>23085014918</v>
      </c>
      <c r="C1469" s="6">
        <v>73.5</v>
      </c>
      <c r="D1469" s="6">
        <v>109</v>
      </c>
      <c r="E1469" s="6">
        <v>182.5</v>
      </c>
      <c r="F1469" s="11"/>
    </row>
    <row r="1470" spans="1:6">
      <c r="A1470" s="5" t="str">
        <f t="shared" si="26"/>
        <v>202307</v>
      </c>
      <c r="B1470" s="5" t="str">
        <f>"23085014820"</f>
        <v>23085014820</v>
      </c>
      <c r="C1470" s="6">
        <v>66</v>
      </c>
      <c r="D1470" s="6">
        <v>114.5</v>
      </c>
      <c r="E1470" s="6">
        <v>180.5</v>
      </c>
      <c r="F1470" s="11"/>
    </row>
    <row r="1471" spans="1:6">
      <c r="A1471" s="5" t="str">
        <f t="shared" si="26"/>
        <v>202307</v>
      </c>
      <c r="B1471" s="5" t="str">
        <f>"23085014815"</f>
        <v>23085014815</v>
      </c>
      <c r="C1471" s="6">
        <v>69</v>
      </c>
      <c r="D1471" s="6">
        <v>111.5</v>
      </c>
      <c r="E1471" s="6">
        <v>180.5</v>
      </c>
      <c r="F1471" s="11"/>
    </row>
    <row r="1472" spans="1:6">
      <c r="A1472" s="5" t="str">
        <f t="shared" si="26"/>
        <v>202307</v>
      </c>
      <c r="B1472" s="5" t="str">
        <f>"23085014911"</f>
        <v>23085014911</v>
      </c>
      <c r="C1472" s="6">
        <v>73.5</v>
      </c>
      <c r="D1472" s="6">
        <v>106.5</v>
      </c>
      <c r="E1472" s="6">
        <v>180</v>
      </c>
      <c r="F1472" s="11"/>
    </row>
    <row r="1473" spans="1:6">
      <c r="A1473" s="5" t="str">
        <f t="shared" si="26"/>
        <v>202307</v>
      </c>
      <c r="B1473" s="5" t="str">
        <f>"23085014930"</f>
        <v>23085014930</v>
      </c>
      <c r="C1473" s="6">
        <v>67.5</v>
      </c>
      <c r="D1473" s="6">
        <v>112</v>
      </c>
      <c r="E1473" s="6">
        <v>179.5</v>
      </c>
      <c r="F1473" s="11"/>
    </row>
    <row r="1474" spans="1:6">
      <c r="A1474" s="5" t="str">
        <f t="shared" si="26"/>
        <v>202307</v>
      </c>
      <c r="B1474" s="5" t="str">
        <f>"23085014812"</f>
        <v>23085014812</v>
      </c>
      <c r="C1474" s="6">
        <v>66</v>
      </c>
      <c r="D1474" s="6">
        <v>111.5</v>
      </c>
      <c r="E1474" s="6">
        <v>177.5</v>
      </c>
      <c r="F1474" s="11"/>
    </row>
    <row r="1475" spans="1:6">
      <c r="A1475" s="5" t="str">
        <f t="shared" si="26"/>
        <v>202307</v>
      </c>
      <c r="B1475" s="5" t="str">
        <f>"23085014811"</f>
        <v>23085014811</v>
      </c>
      <c r="C1475" s="6">
        <v>63</v>
      </c>
      <c r="D1475" s="6">
        <v>110</v>
      </c>
      <c r="E1475" s="6">
        <v>173</v>
      </c>
      <c r="F1475" s="11"/>
    </row>
    <row r="1476" spans="1:6">
      <c r="A1476" s="5" t="str">
        <f t="shared" si="26"/>
        <v>202307</v>
      </c>
      <c r="B1476" s="5" t="str">
        <f>"23085014824"</f>
        <v>23085014824</v>
      </c>
      <c r="C1476" s="6">
        <v>69</v>
      </c>
      <c r="D1476" s="6">
        <v>94</v>
      </c>
      <c r="E1476" s="6">
        <v>163</v>
      </c>
      <c r="F1476" s="11"/>
    </row>
    <row r="1477" spans="1:6">
      <c r="A1477" s="5" t="str">
        <f t="shared" si="26"/>
        <v>202307</v>
      </c>
      <c r="B1477" s="5" t="str">
        <f>"23085014926"</f>
        <v>23085014926</v>
      </c>
      <c r="C1477" s="6">
        <v>105</v>
      </c>
      <c r="D1477" s="6">
        <v>36.5</v>
      </c>
      <c r="E1477" s="6">
        <v>141.5</v>
      </c>
      <c r="F1477" s="11"/>
    </row>
    <row r="1478" spans="1:6">
      <c r="A1478" s="5" t="str">
        <f t="shared" si="26"/>
        <v>202307</v>
      </c>
      <c r="B1478" s="5" t="str">
        <f>"23085015018"</f>
        <v>23085015018</v>
      </c>
      <c r="C1478" s="6">
        <v>63</v>
      </c>
      <c r="D1478" s="6">
        <v>62</v>
      </c>
      <c r="E1478" s="6">
        <v>125</v>
      </c>
      <c r="F1478" s="11"/>
    </row>
    <row r="1479" spans="1:6">
      <c r="A1479" s="5" t="str">
        <f t="shared" si="26"/>
        <v>202307</v>
      </c>
      <c r="B1479" s="5" t="str">
        <f>"23085015012"</f>
        <v>23085015012</v>
      </c>
      <c r="C1479" s="6">
        <v>0</v>
      </c>
      <c r="D1479" s="6">
        <v>0</v>
      </c>
      <c r="E1479" s="6">
        <v>0</v>
      </c>
      <c r="F1479" s="11" t="s">
        <v>7</v>
      </c>
    </row>
    <row r="1480" spans="1:6">
      <c r="A1480" s="5" t="str">
        <f t="shared" si="26"/>
        <v>202307</v>
      </c>
      <c r="B1480" s="5" t="str">
        <f>"23085014917"</f>
        <v>23085014917</v>
      </c>
      <c r="C1480" s="6">
        <v>0</v>
      </c>
      <c r="D1480" s="6">
        <v>0</v>
      </c>
      <c r="E1480" s="6">
        <v>0</v>
      </c>
      <c r="F1480" s="11" t="s">
        <v>7</v>
      </c>
    </row>
    <row r="1481" spans="1:6">
      <c r="A1481" s="5" t="str">
        <f t="shared" si="26"/>
        <v>202307</v>
      </c>
      <c r="B1481" s="5" t="str">
        <f>"23085015011"</f>
        <v>23085015011</v>
      </c>
      <c r="C1481" s="6">
        <v>0</v>
      </c>
      <c r="D1481" s="6">
        <v>0</v>
      </c>
      <c r="E1481" s="6">
        <v>0</v>
      </c>
      <c r="F1481" s="11" t="s">
        <v>7</v>
      </c>
    </row>
    <row r="1482" spans="1:6">
      <c r="A1482" s="5" t="str">
        <f t="shared" si="26"/>
        <v>202307</v>
      </c>
      <c r="B1482" s="5" t="str">
        <f>"23085015016"</f>
        <v>23085015016</v>
      </c>
      <c r="C1482" s="6">
        <v>0</v>
      </c>
      <c r="D1482" s="6">
        <v>0</v>
      </c>
      <c r="E1482" s="6">
        <v>0</v>
      </c>
      <c r="F1482" s="11" t="s">
        <v>7</v>
      </c>
    </row>
    <row r="1483" spans="1:6">
      <c r="A1483" s="5" t="str">
        <f t="shared" si="26"/>
        <v>202307</v>
      </c>
      <c r="B1483" s="5" t="str">
        <f>"23085014830"</f>
        <v>23085014830</v>
      </c>
      <c r="C1483" s="6">
        <v>0</v>
      </c>
      <c r="D1483" s="6">
        <v>0</v>
      </c>
      <c r="E1483" s="6">
        <v>0</v>
      </c>
      <c r="F1483" s="11" t="s">
        <v>7</v>
      </c>
    </row>
    <row r="1484" spans="1:6">
      <c r="A1484" s="5" t="str">
        <f t="shared" si="26"/>
        <v>202307</v>
      </c>
      <c r="B1484" s="5" t="str">
        <f>"23085014909"</f>
        <v>23085014909</v>
      </c>
      <c r="C1484" s="6">
        <v>0</v>
      </c>
      <c r="D1484" s="6">
        <v>0</v>
      </c>
      <c r="E1484" s="6">
        <v>0</v>
      </c>
      <c r="F1484" s="11" t="s">
        <v>7</v>
      </c>
    </row>
    <row r="1485" spans="1:6">
      <c r="A1485" s="5" t="str">
        <f t="shared" si="26"/>
        <v>202307</v>
      </c>
      <c r="B1485" s="5" t="str">
        <f>"23085014927"</f>
        <v>23085014927</v>
      </c>
      <c r="C1485" s="6">
        <v>0</v>
      </c>
      <c r="D1485" s="6">
        <v>0</v>
      </c>
      <c r="E1485" s="6">
        <v>0</v>
      </c>
      <c r="F1485" s="11" t="s">
        <v>7</v>
      </c>
    </row>
    <row r="1486" spans="1:6">
      <c r="A1486" s="5" t="str">
        <f t="shared" ref="A1486:A1493" si="27">"202307"</f>
        <v>202307</v>
      </c>
      <c r="B1486" s="5" t="str">
        <f>"23085014814"</f>
        <v>23085014814</v>
      </c>
      <c r="C1486" s="6">
        <v>0</v>
      </c>
      <c r="D1486" s="6">
        <v>0</v>
      </c>
      <c r="E1486" s="6">
        <v>0</v>
      </c>
      <c r="F1486" s="11" t="s">
        <v>7</v>
      </c>
    </row>
    <row r="1487" spans="1:6">
      <c r="A1487" s="5" t="str">
        <f t="shared" si="27"/>
        <v>202307</v>
      </c>
      <c r="B1487" s="5" t="str">
        <f>"23085014810"</f>
        <v>23085014810</v>
      </c>
      <c r="C1487" s="6">
        <v>0</v>
      </c>
      <c r="D1487" s="6">
        <v>0</v>
      </c>
      <c r="E1487" s="6">
        <v>0</v>
      </c>
      <c r="F1487" s="11" t="s">
        <v>7</v>
      </c>
    </row>
    <row r="1488" spans="1:6">
      <c r="A1488" s="5" t="str">
        <f t="shared" si="27"/>
        <v>202307</v>
      </c>
      <c r="B1488" s="5" t="str">
        <f>"23085015014"</f>
        <v>23085015014</v>
      </c>
      <c r="C1488" s="6">
        <v>0</v>
      </c>
      <c r="D1488" s="6">
        <v>0</v>
      </c>
      <c r="E1488" s="6">
        <v>0</v>
      </c>
      <c r="F1488" s="11" t="s">
        <v>7</v>
      </c>
    </row>
    <row r="1489" spans="1:6">
      <c r="A1489" s="5" t="str">
        <f t="shared" si="27"/>
        <v>202307</v>
      </c>
      <c r="B1489" s="5" t="str">
        <f>"23085014925"</f>
        <v>23085014925</v>
      </c>
      <c r="C1489" s="6">
        <v>0</v>
      </c>
      <c r="D1489" s="6">
        <v>0</v>
      </c>
      <c r="E1489" s="6">
        <v>0</v>
      </c>
      <c r="F1489" s="11" t="s">
        <v>7</v>
      </c>
    </row>
    <row r="1490" spans="1:6">
      <c r="A1490" s="5" t="str">
        <f t="shared" si="27"/>
        <v>202307</v>
      </c>
      <c r="B1490" s="5" t="str">
        <f>"23085014916"</f>
        <v>23085014916</v>
      </c>
      <c r="C1490" s="6">
        <v>0</v>
      </c>
      <c r="D1490" s="6">
        <v>0</v>
      </c>
      <c r="E1490" s="6">
        <v>0</v>
      </c>
      <c r="F1490" s="11" t="s">
        <v>7</v>
      </c>
    </row>
    <row r="1491" spans="1:6">
      <c r="A1491" s="5" t="str">
        <f t="shared" si="27"/>
        <v>202307</v>
      </c>
      <c r="B1491" s="5" t="str">
        <f>"23085014906"</f>
        <v>23085014906</v>
      </c>
      <c r="C1491" s="6">
        <v>0</v>
      </c>
      <c r="D1491" s="6">
        <v>0</v>
      </c>
      <c r="E1491" s="6">
        <v>0</v>
      </c>
      <c r="F1491" s="11" t="s">
        <v>7</v>
      </c>
    </row>
    <row r="1492" spans="1:6">
      <c r="A1492" s="5" t="str">
        <f t="shared" si="27"/>
        <v>202307</v>
      </c>
      <c r="B1492" s="5" t="str">
        <f>"23085015019"</f>
        <v>23085015019</v>
      </c>
      <c r="C1492" s="6">
        <v>0</v>
      </c>
      <c r="D1492" s="6">
        <v>0</v>
      </c>
      <c r="E1492" s="6">
        <v>0</v>
      </c>
      <c r="F1492" s="11" t="s">
        <v>7</v>
      </c>
    </row>
    <row r="1493" spans="1:6">
      <c r="A1493" s="5" t="str">
        <f t="shared" si="27"/>
        <v>202307</v>
      </c>
      <c r="B1493" s="5" t="str">
        <f>"23085014920"</f>
        <v>23085014920</v>
      </c>
      <c r="C1493" s="6">
        <v>0</v>
      </c>
      <c r="D1493" s="6">
        <v>0</v>
      </c>
      <c r="E1493" s="6">
        <v>0</v>
      </c>
      <c r="F1493" s="11" t="s">
        <v>7</v>
      </c>
    </row>
    <row r="1494" spans="1:6">
      <c r="A1494" s="5" t="str">
        <f t="shared" ref="A1494:A1557" si="28">"202308"</f>
        <v>202308</v>
      </c>
      <c r="B1494" s="5" t="str">
        <f>"23085015805"</f>
        <v>23085015805</v>
      </c>
      <c r="C1494" s="6">
        <v>129</v>
      </c>
      <c r="D1494" s="6">
        <v>120</v>
      </c>
      <c r="E1494" s="6">
        <v>249</v>
      </c>
      <c r="F1494" s="11"/>
    </row>
    <row r="1495" spans="1:6">
      <c r="A1495" s="5" t="str">
        <f t="shared" si="28"/>
        <v>202308</v>
      </c>
      <c r="B1495" s="5" t="str">
        <f>"23085015605"</f>
        <v>23085015605</v>
      </c>
      <c r="C1495" s="6">
        <v>127.5</v>
      </c>
      <c r="D1495" s="6">
        <v>117</v>
      </c>
      <c r="E1495" s="6">
        <v>244.5</v>
      </c>
      <c r="F1495" s="11"/>
    </row>
    <row r="1496" spans="1:6">
      <c r="A1496" s="5" t="str">
        <f t="shared" si="28"/>
        <v>202308</v>
      </c>
      <c r="B1496" s="5" t="str">
        <f>"23085015207"</f>
        <v>23085015207</v>
      </c>
      <c r="C1496" s="6">
        <v>126</v>
      </c>
      <c r="D1496" s="6">
        <v>116</v>
      </c>
      <c r="E1496" s="6">
        <v>242</v>
      </c>
      <c r="F1496" s="11"/>
    </row>
    <row r="1497" spans="1:6">
      <c r="A1497" s="5" t="str">
        <f t="shared" si="28"/>
        <v>202308</v>
      </c>
      <c r="B1497" s="5" t="str">
        <f>"23085015522"</f>
        <v>23085015522</v>
      </c>
      <c r="C1497" s="6">
        <v>120</v>
      </c>
      <c r="D1497" s="6">
        <v>119</v>
      </c>
      <c r="E1497" s="6">
        <v>239</v>
      </c>
      <c r="F1497" s="11"/>
    </row>
    <row r="1498" spans="1:6">
      <c r="A1498" s="5" t="str">
        <f t="shared" si="28"/>
        <v>202308</v>
      </c>
      <c r="B1498" s="5" t="str">
        <f>"23085015912"</f>
        <v>23085015912</v>
      </c>
      <c r="C1498" s="6">
        <v>123</v>
      </c>
      <c r="D1498" s="6">
        <v>115</v>
      </c>
      <c r="E1498" s="6">
        <v>238</v>
      </c>
      <c r="F1498" s="11"/>
    </row>
    <row r="1499" spans="1:6">
      <c r="A1499" s="5" t="str">
        <f t="shared" si="28"/>
        <v>202308</v>
      </c>
      <c r="B1499" s="5" t="str">
        <f>"23085015311"</f>
        <v>23085015311</v>
      </c>
      <c r="C1499" s="6">
        <v>120</v>
      </c>
      <c r="D1499" s="6">
        <v>117</v>
      </c>
      <c r="E1499" s="6">
        <v>237</v>
      </c>
      <c r="F1499" s="11"/>
    </row>
    <row r="1500" spans="1:6">
      <c r="A1500" s="5" t="str">
        <f t="shared" si="28"/>
        <v>202308</v>
      </c>
      <c r="B1500" s="5" t="str">
        <f>"23085015128"</f>
        <v>23085015128</v>
      </c>
      <c r="C1500" s="6">
        <v>121.5</v>
      </c>
      <c r="D1500" s="6">
        <v>113.5</v>
      </c>
      <c r="E1500" s="6">
        <v>235</v>
      </c>
      <c r="F1500" s="11"/>
    </row>
    <row r="1501" spans="1:6">
      <c r="A1501" s="5" t="str">
        <f t="shared" si="28"/>
        <v>202308</v>
      </c>
      <c r="B1501" s="5" t="str">
        <f>"23085016015"</f>
        <v>23085016015</v>
      </c>
      <c r="C1501" s="6">
        <v>118.5</v>
      </c>
      <c r="D1501" s="6">
        <v>115.5</v>
      </c>
      <c r="E1501" s="6">
        <v>234</v>
      </c>
      <c r="F1501" s="11"/>
    </row>
    <row r="1502" spans="1:6">
      <c r="A1502" s="5" t="str">
        <f t="shared" si="28"/>
        <v>202308</v>
      </c>
      <c r="B1502" s="5" t="str">
        <f>"23085016207"</f>
        <v>23085016207</v>
      </c>
      <c r="C1502" s="6">
        <v>118.5</v>
      </c>
      <c r="D1502" s="6">
        <v>115</v>
      </c>
      <c r="E1502" s="6">
        <v>233.5</v>
      </c>
      <c r="F1502" s="11"/>
    </row>
    <row r="1503" spans="1:6">
      <c r="A1503" s="5" t="str">
        <f t="shared" si="28"/>
        <v>202308</v>
      </c>
      <c r="B1503" s="5" t="str">
        <f>"23085015229"</f>
        <v>23085015229</v>
      </c>
      <c r="C1503" s="6">
        <v>117</v>
      </c>
      <c r="D1503" s="6">
        <v>116</v>
      </c>
      <c r="E1503" s="6">
        <v>233</v>
      </c>
      <c r="F1503" s="11"/>
    </row>
    <row r="1504" spans="1:6">
      <c r="A1504" s="5" t="str">
        <f t="shared" si="28"/>
        <v>202308</v>
      </c>
      <c r="B1504" s="5" t="str">
        <f>"23085015116"</f>
        <v>23085015116</v>
      </c>
      <c r="C1504" s="6">
        <v>117</v>
      </c>
      <c r="D1504" s="6">
        <v>115</v>
      </c>
      <c r="E1504" s="6">
        <v>232</v>
      </c>
      <c r="F1504" s="11"/>
    </row>
    <row r="1505" spans="1:6">
      <c r="A1505" s="5" t="str">
        <f t="shared" si="28"/>
        <v>202308</v>
      </c>
      <c r="B1505" s="5" t="str">
        <f>"23085015105"</f>
        <v>23085015105</v>
      </c>
      <c r="C1505" s="6">
        <v>111</v>
      </c>
      <c r="D1505" s="6">
        <v>121</v>
      </c>
      <c r="E1505" s="6">
        <v>232</v>
      </c>
      <c r="F1505" s="11"/>
    </row>
    <row r="1506" spans="1:6">
      <c r="A1506" s="5" t="str">
        <f t="shared" si="28"/>
        <v>202308</v>
      </c>
      <c r="B1506" s="5" t="str">
        <f>"23085016022"</f>
        <v>23085016022</v>
      </c>
      <c r="C1506" s="6">
        <v>112.5</v>
      </c>
      <c r="D1506" s="6">
        <v>119</v>
      </c>
      <c r="E1506" s="6">
        <v>231.5</v>
      </c>
      <c r="F1506" s="11"/>
    </row>
    <row r="1507" spans="1:6">
      <c r="A1507" s="5" t="str">
        <f t="shared" si="28"/>
        <v>202308</v>
      </c>
      <c r="B1507" s="5" t="str">
        <f>"23085015112"</f>
        <v>23085015112</v>
      </c>
      <c r="C1507" s="6">
        <v>118.5</v>
      </c>
      <c r="D1507" s="6">
        <v>113</v>
      </c>
      <c r="E1507" s="6">
        <v>231.5</v>
      </c>
      <c r="F1507" s="11"/>
    </row>
    <row r="1508" spans="1:6">
      <c r="A1508" s="5" t="str">
        <f t="shared" si="28"/>
        <v>202308</v>
      </c>
      <c r="B1508" s="5" t="str">
        <f>"23085016028"</f>
        <v>23085016028</v>
      </c>
      <c r="C1508" s="6">
        <v>114</v>
      </c>
      <c r="D1508" s="6">
        <v>117.5</v>
      </c>
      <c r="E1508" s="6">
        <v>231.5</v>
      </c>
      <c r="F1508" s="11"/>
    </row>
    <row r="1509" spans="1:6">
      <c r="A1509" s="5" t="str">
        <f t="shared" si="28"/>
        <v>202308</v>
      </c>
      <c r="B1509" s="5" t="str">
        <f>"23085015317"</f>
        <v>23085015317</v>
      </c>
      <c r="C1509" s="6">
        <v>117</v>
      </c>
      <c r="D1509" s="6">
        <v>114</v>
      </c>
      <c r="E1509" s="6">
        <v>231</v>
      </c>
      <c r="F1509" s="11"/>
    </row>
    <row r="1510" spans="1:6">
      <c r="A1510" s="5" t="str">
        <f t="shared" si="28"/>
        <v>202308</v>
      </c>
      <c r="B1510" s="5" t="str">
        <f>"23085016029"</f>
        <v>23085016029</v>
      </c>
      <c r="C1510" s="6">
        <v>114</v>
      </c>
      <c r="D1510" s="6">
        <v>117</v>
      </c>
      <c r="E1510" s="6">
        <v>231</v>
      </c>
      <c r="F1510" s="11"/>
    </row>
    <row r="1511" spans="1:6">
      <c r="A1511" s="5" t="str">
        <f t="shared" si="28"/>
        <v>202308</v>
      </c>
      <c r="B1511" s="5" t="str">
        <f>"23085015306"</f>
        <v>23085015306</v>
      </c>
      <c r="C1511" s="6">
        <v>114</v>
      </c>
      <c r="D1511" s="6">
        <v>116</v>
      </c>
      <c r="E1511" s="6">
        <v>230</v>
      </c>
      <c r="F1511" s="11"/>
    </row>
    <row r="1512" spans="1:6">
      <c r="A1512" s="5" t="str">
        <f t="shared" si="28"/>
        <v>202308</v>
      </c>
      <c r="B1512" s="5" t="str">
        <f>"23085015220"</f>
        <v>23085015220</v>
      </c>
      <c r="C1512" s="6">
        <v>109.5</v>
      </c>
      <c r="D1512" s="6">
        <v>120.5</v>
      </c>
      <c r="E1512" s="6">
        <v>230</v>
      </c>
      <c r="F1512" s="11"/>
    </row>
    <row r="1513" spans="1:6">
      <c r="A1513" s="5" t="str">
        <f t="shared" si="28"/>
        <v>202308</v>
      </c>
      <c r="B1513" s="5" t="str">
        <f>"23085016020"</f>
        <v>23085016020</v>
      </c>
      <c r="C1513" s="6">
        <v>112.5</v>
      </c>
      <c r="D1513" s="6">
        <v>117</v>
      </c>
      <c r="E1513" s="6">
        <v>229.5</v>
      </c>
      <c r="F1513" s="11"/>
    </row>
    <row r="1514" spans="1:6">
      <c r="A1514" s="5" t="str">
        <f t="shared" si="28"/>
        <v>202308</v>
      </c>
      <c r="B1514" s="5" t="str">
        <f>"23085015520"</f>
        <v>23085015520</v>
      </c>
      <c r="C1514" s="6">
        <v>111</v>
      </c>
      <c r="D1514" s="6">
        <v>118.5</v>
      </c>
      <c r="E1514" s="6">
        <v>229.5</v>
      </c>
      <c r="F1514" s="11"/>
    </row>
    <row r="1515" spans="1:6">
      <c r="A1515" s="5" t="str">
        <f t="shared" si="28"/>
        <v>202308</v>
      </c>
      <c r="B1515" s="5" t="str">
        <f>"23085015527"</f>
        <v>23085015527</v>
      </c>
      <c r="C1515" s="6">
        <v>106.5</v>
      </c>
      <c r="D1515" s="6">
        <v>123</v>
      </c>
      <c r="E1515" s="6">
        <v>229.5</v>
      </c>
      <c r="F1515" s="11"/>
    </row>
    <row r="1516" spans="1:6">
      <c r="A1516" s="5" t="str">
        <f t="shared" si="28"/>
        <v>202308</v>
      </c>
      <c r="B1516" s="5" t="str">
        <f>"23085015328"</f>
        <v>23085015328</v>
      </c>
      <c r="C1516" s="6">
        <v>115.5</v>
      </c>
      <c r="D1516" s="6">
        <v>114</v>
      </c>
      <c r="E1516" s="6">
        <v>229.5</v>
      </c>
      <c r="F1516" s="11"/>
    </row>
    <row r="1517" spans="1:6">
      <c r="A1517" s="5" t="str">
        <f t="shared" si="28"/>
        <v>202308</v>
      </c>
      <c r="B1517" s="5" t="str">
        <f>"23085016107"</f>
        <v>23085016107</v>
      </c>
      <c r="C1517" s="6">
        <v>111</v>
      </c>
      <c r="D1517" s="6">
        <v>118</v>
      </c>
      <c r="E1517" s="6">
        <v>229</v>
      </c>
      <c r="F1517" s="11"/>
    </row>
    <row r="1518" spans="1:6">
      <c r="A1518" s="5" t="str">
        <f t="shared" si="28"/>
        <v>202308</v>
      </c>
      <c r="B1518" s="5" t="str">
        <f>"23085015203"</f>
        <v>23085015203</v>
      </c>
      <c r="C1518" s="6">
        <v>112.5</v>
      </c>
      <c r="D1518" s="6">
        <v>116</v>
      </c>
      <c r="E1518" s="6">
        <v>228.5</v>
      </c>
      <c r="F1518" s="11"/>
    </row>
    <row r="1519" spans="1:6">
      <c r="A1519" s="5" t="str">
        <f t="shared" si="28"/>
        <v>202308</v>
      </c>
      <c r="B1519" s="5" t="str">
        <f>"23085015101"</f>
        <v>23085015101</v>
      </c>
      <c r="C1519" s="6">
        <v>112.5</v>
      </c>
      <c r="D1519" s="6">
        <v>116</v>
      </c>
      <c r="E1519" s="6">
        <v>228.5</v>
      </c>
      <c r="F1519" s="11"/>
    </row>
    <row r="1520" spans="1:6">
      <c r="A1520" s="5" t="str">
        <f t="shared" si="28"/>
        <v>202308</v>
      </c>
      <c r="B1520" s="5" t="str">
        <f>"23085015607"</f>
        <v>23085015607</v>
      </c>
      <c r="C1520" s="6">
        <v>112.5</v>
      </c>
      <c r="D1520" s="6">
        <v>115.5</v>
      </c>
      <c r="E1520" s="6">
        <v>228</v>
      </c>
      <c r="F1520" s="11"/>
    </row>
    <row r="1521" spans="1:6">
      <c r="A1521" s="5" t="str">
        <f t="shared" si="28"/>
        <v>202308</v>
      </c>
      <c r="B1521" s="5" t="str">
        <f>"23085015109"</f>
        <v>23085015109</v>
      </c>
      <c r="C1521" s="6">
        <v>117</v>
      </c>
      <c r="D1521" s="6">
        <v>111</v>
      </c>
      <c r="E1521" s="6">
        <v>228</v>
      </c>
      <c r="F1521" s="11"/>
    </row>
    <row r="1522" spans="1:6">
      <c r="A1522" s="5" t="str">
        <f t="shared" si="28"/>
        <v>202308</v>
      </c>
      <c r="B1522" s="5" t="str">
        <f>"23085015601"</f>
        <v>23085015601</v>
      </c>
      <c r="C1522" s="6">
        <v>115.5</v>
      </c>
      <c r="D1522" s="6">
        <v>112.5</v>
      </c>
      <c r="E1522" s="6">
        <v>228</v>
      </c>
      <c r="F1522" s="11"/>
    </row>
    <row r="1523" spans="1:6">
      <c r="A1523" s="5" t="str">
        <f t="shared" si="28"/>
        <v>202308</v>
      </c>
      <c r="B1523" s="5" t="str">
        <f>"23085015827"</f>
        <v>23085015827</v>
      </c>
      <c r="C1523" s="6">
        <v>117</v>
      </c>
      <c r="D1523" s="6">
        <v>110.5</v>
      </c>
      <c r="E1523" s="6">
        <v>227.5</v>
      </c>
      <c r="F1523" s="11"/>
    </row>
    <row r="1524" spans="1:6">
      <c r="A1524" s="5" t="str">
        <f t="shared" si="28"/>
        <v>202308</v>
      </c>
      <c r="B1524" s="5" t="str">
        <f>"23085016025"</f>
        <v>23085016025</v>
      </c>
      <c r="C1524" s="6">
        <v>111</v>
      </c>
      <c r="D1524" s="6">
        <v>116</v>
      </c>
      <c r="E1524" s="6">
        <v>227</v>
      </c>
      <c r="F1524" s="11"/>
    </row>
    <row r="1525" spans="1:6">
      <c r="A1525" s="5" t="str">
        <f t="shared" si="28"/>
        <v>202308</v>
      </c>
      <c r="B1525" s="5" t="str">
        <f>"23085015307"</f>
        <v>23085015307</v>
      </c>
      <c r="C1525" s="6">
        <v>108</v>
      </c>
      <c r="D1525" s="6">
        <v>119</v>
      </c>
      <c r="E1525" s="6">
        <v>227</v>
      </c>
      <c r="F1525" s="11"/>
    </row>
    <row r="1526" spans="1:6">
      <c r="A1526" s="5" t="str">
        <f t="shared" si="28"/>
        <v>202308</v>
      </c>
      <c r="B1526" s="5" t="str">
        <f>"23085015320"</f>
        <v>23085015320</v>
      </c>
      <c r="C1526" s="6">
        <v>105</v>
      </c>
      <c r="D1526" s="6">
        <v>121.5</v>
      </c>
      <c r="E1526" s="6">
        <v>226.5</v>
      </c>
      <c r="F1526" s="11"/>
    </row>
    <row r="1527" spans="1:6">
      <c r="A1527" s="5" t="str">
        <f t="shared" si="28"/>
        <v>202308</v>
      </c>
      <c r="B1527" s="5" t="str">
        <f>"23085015606"</f>
        <v>23085015606</v>
      </c>
      <c r="C1527" s="6">
        <v>112.5</v>
      </c>
      <c r="D1527" s="6">
        <v>114</v>
      </c>
      <c r="E1527" s="6">
        <v>226.5</v>
      </c>
      <c r="F1527" s="11"/>
    </row>
    <row r="1528" spans="1:6">
      <c r="A1528" s="5" t="str">
        <f t="shared" si="28"/>
        <v>202308</v>
      </c>
      <c r="B1528" s="5" t="str">
        <f>"23085015809"</f>
        <v>23085015809</v>
      </c>
      <c r="C1528" s="6">
        <v>108</v>
      </c>
      <c r="D1528" s="6">
        <v>118.5</v>
      </c>
      <c r="E1528" s="6">
        <v>226.5</v>
      </c>
      <c r="F1528" s="11"/>
    </row>
    <row r="1529" spans="1:6">
      <c r="A1529" s="5" t="str">
        <f t="shared" si="28"/>
        <v>202308</v>
      </c>
      <c r="B1529" s="5" t="str">
        <f>"23085016130"</f>
        <v>23085016130</v>
      </c>
      <c r="C1529" s="6">
        <v>109.5</v>
      </c>
      <c r="D1529" s="6">
        <v>116.5</v>
      </c>
      <c r="E1529" s="6">
        <v>226</v>
      </c>
      <c r="F1529" s="11"/>
    </row>
    <row r="1530" spans="1:6">
      <c r="A1530" s="5" t="str">
        <f t="shared" si="28"/>
        <v>202308</v>
      </c>
      <c r="B1530" s="5" t="str">
        <f>"23085015917"</f>
        <v>23085015917</v>
      </c>
      <c r="C1530" s="6">
        <v>114</v>
      </c>
      <c r="D1530" s="6">
        <v>112</v>
      </c>
      <c r="E1530" s="6">
        <v>226</v>
      </c>
      <c r="F1530" s="11"/>
    </row>
    <row r="1531" spans="1:6">
      <c r="A1531" s="5" t="str">
        <f t="shared" si="28"/>
        <v>202308</v>
      </c>
      <c r="B1531" s="5" t="str">
        <f>"23085016209"</f>
        <v>23085016209</v>
      </c>
      <c r="C1531" s="6">
        <v>108</v>
      </c>
      <c r="D1531" s="6">
        <v>118</v>
      </c>
      <c r="E1531" s="6">
        <v>226</v>
      </c>
      <c r="F1531" s="11"/>
    </row>
    <row r="1532" spans="1:6">
      <c r="A1532" s="5" t="str">
        <f t="shared" si="28"/>
        <v>202308</v>
      </c>
      <c r="B1532" s="5" t="str">
        <f>"23085015315"</f>
        <v>23085015315</v>
      </c>
      <c r="C1532" s="6">
        <v>108</v>
      </c>
      <c r="D1532" s="6">
        <v>118</v>
      </c>
      <c r="E1532" s="6">
        <v>226</v>
      </c>
      <c r="F1532" s="11"/>
    </row>
    <row r="1533" spans="1:6">
      <c r="A1533" s="5" t="str">
        <f t="shared" si="28"/>
        <v>202308</v>
      </c>
      <c r="B1533" s="5" t="str">
        <f>"23085015322"</f>
        <v>23085015322</v>
      </c>
      <c r="C1533" s="6">
        <v>106.5</v>
      </c>
      <c r="D1533" s="6">
        <v>119</v>
      </c>
      <c r="E1533" s="6">
        <v>225.5</v>
      </c>
      <c r="F1533" s="11"/>
    </row>
    <row r="1534" spans="1:6">
      <c r="A1534" s="5" t="str">
        <f t="shared" si="28"/>
        <v>202308</v>
      </c>
      <c r="B1534" s="5" t="str">
        <f>"23085015023"</f>
        <v>23085015023</v>
      </c>
      <c r="C1534" s="6">
        <v>112.5</v>
      </c>
      <c r="D1534" s="6">
        <v>113</v>
      </c>
      <c r="E1534" s="6">
        <v>225.5</v>
      </c>
      <c r="F1534" s="11"/>
    </row>
    <row r="1535" spans="1:6">
      <c r="A1535" s="5" t="str">
        <f t="shared" si="28"/>
        <v>202308</v>
      </c>
      <c r="B1535" s="5" t="str">
        <f>"23085015819"</f>
        <v>23085015819</v>
      </c>
      <c r="C1535" s="6">
        <v>111</v>
      </c>
      <c r="D1535" s="6">
        <v>114.5</v>
      </c>
      <c r="E1535" s="6">
        <v>225.5</v>
      </c>
      <c r="F1535" s="11"/>
    </row>
    <row r="1536" spans="1:6">
      <c r="A1536" s="5" t="str">
        <f t="shared" si="28"/>
        <v>202308</v>
      </c>
      <c r="B1536" s="5" t="str">
        <f>"23085015223"</f>
        <v>23085015223</v>
      </c>
      <c r="C1536" s="6">
        <v>106.5</v>
      </c>
      <c r="D1536" s="6">
        <v>119</v>
      </c>
      <c r="E1536" s="6">
        <v>225.5</v>
      </c>
      <c r="F1536" s="11"/>
    </row>
    <row r="1537" spans="1:6">
      <c r="A1537" s="5" t="str">
        <f t="shared" si="28"/>
        <v>202308</v>
      </c>
      <c r="B1537" s="5" t="str">
        <f>"23085015722"</f>
        <v>23085015722</v>
      </c>
      <c r="C1537" s="6">
        <v>114</v>
      </c>
      <c r="D1537" s="6">
        <v>111</v>
      </c>
      <c r="E1537" s="6">
        <v>225</v>
      </c>
      <c r="F1537" s="11"/>
    </row>
    <row r="1538" spans="1:6">
      <c r="A1538" s="5" t="str">
        <f t="shared" si="28"/>
        <v>202308</v>
      </c>
      <c r="B1538" s="5" t="str">
        <f>"23085016004"</f>
        <v>23085016004</v>
      </c>
      <c r="C1538" s="6">
        <v>106.5</v>
      </c>
      <c r="D1538" s="6">
        <v>118.5</v>
      </c>
      <c r="E1538" s="6">
        <v>225</v>
      </c>
      <c r="F1538" s="11"/>
    </row>
    <row r="1539" spans="1:6">
      <c r="A1539" s="5" t="str">
        <f t="shared" si="28"/>
        <v>202308</v>
      </c>
      <c r="B1539" s="5" t="str">
        <f>"23085015617"</f>
        <v>23085015617</v>
      </c>
      <c r="C1539" s="6">
        <v>115.5</v>
      </c>
      <c r="D1539" s="6">
        <v>109.5</v>
      </c>
      <c r="E1539" s="6">
        <v>225</v>
      </c>
      <c r="F1539" s="11"/>
    </row>
    <row r="1540" spans="1:6">
      <c r="A1540" s="5" t="str">
        <f t="shared" si="28"/>
        <v>202308</v>
      </c>
      <c r="B1540" s="5" t="str">
        <f>"23085016104"</f>
        <v>23085016104</v>
      </c>
      <c r="C1540" s="6">
        <v>108</v>
      </c>
      <c r="D1540" s="6">
        <v>117</v>
      </c>
      <c r="E1540" s="6">
        <v>225</v>
      </c>
      <c r="F1540" s="11"/>
    </row>
    <row r="1541" spans="1:6">
      <c r="A1541" s="5" t="str">
        <f t="shared" si="28"/>
        <v>202308</v>
      </c>
      <c r="B1541" s="5" t="str">
        <f>"23085015421"</f>
        <v>23085015421</v>
      </c>
      <c r="C1541" s="6">
        <v>106.5</v>
      </c>
      <c r="D1541" s="6">
        <v>118.5</v>
      </c>
      <c r="E1541" s="6">
        <v>225</v>
      </c>
      <c r="F1541" s="11"/>
    </row>
    <row r="1542" spans="1:6">
      <c r="A1542" s="5" t="str">
        <f t="shared" si="28"/>
        <v>202308</v>
      </c>
      <c r="B1542" s="5" t="str">
        <f>"23085015508"</f>
        <v>23085015508</v>
      </c>
      <c r="C1542" s="6">
        <v>108</v>
      </c>
      <c r="D1542" s="6">
        <v>117</v>
      </c>
      <c r="E1542" s="6">
        <v>225</v>
      </c>
      <c r="F1542" s="11"/>
    </row>
    <row r="1543" spans="1:6">
      <c r="A1543" s="5" t="str">
        <f t="shared" si="28"/>
        <v>202308</v>
      </c>
      <c r="B1543" s="5" t="str">
        <f>"23085015503"</f>
        <v>23085015503</v>
      </c>
      <c r="C1543" s="6">
        <v>111</v>
      </c>
      <c r="D1543" s="6">
        <v>113.5</v>
      </c>
      <c r="E1543" s="6">
        <v>224.5</v>
      </c>
      <c r="F1543" s="11"/>
    </row>
    <row r="1544" spans="1:6">
      <c r="A1544" s="5" t="str">
        <f t="shared" si="28"/>
        <v>202308</v>
      </c>
      <c r="B1544" s="5" t="str">
        <f>"23085015430"</f>
        <v>23085015430</v>
      </c>
      <c r="C1544" s="6">
        <v>112.5</v>
      </c>
      <c r="D1544" s="6">
        <v>112</v>
      </c>
      <c r="E1544" s="6">
        <v>224.5</v>
      </c>
      <c r="F1544" s="11"/>
    </row>
    <row r="1545" spans="1:6">
      <c r="A1545" s="5" t="str">
        <f t="shared" si="28"/>
        <v>202308</v>
      </c>
      <c r="B1545" s="5" t="str">
        <f>"23085015813"</f>
        <v>23085015813</v>
      </c>
      <c r="C1545" s="6">
        <v>112.5</v>
      </c>
      <c r="D1545" s="6">
        <v>112</v>
      </c>
      <c r="E1545" s="6">
        <v>224.5</v>
      </c>
      <c r="F1545" s="11"/>
    </row>
    <row r="1546" spans="1:6">
      <c r="A1546" s="5" t="str">
        <f t="shared" si="28"/>
        <v>202308</v>
      </c>
      <c r="B1546" s="5" t="str">
        <f>"23085016003"</f>
        <v>23085016003</v>
      </c>
      <c r="C1546" s="6">
        <v>108</v>
      </c>
      <c r="D1546" s="6">
        <v>116.5</v>
      </c>
      <c r="E1546" s="6">
        <v>224.5</v>
      </c>
      <c r="F1546" s="11"/>
    </row>
    <row r="1547" spans="1:6">
      <c r="A1547" s="5" t="str">
        <f t="shared" si="28"/>
        <v>202308</v>
      </c>
      <c r="B1547" s="5" t="str">
        <f>"23085015122"</f>
        <v>23085015122</v>
      </c>
      <c r="C1547" s="6">
        <v>112.5</v>
      </c>
      <c r="D1547" s="6">
        <v>111.5</v>
      </c>
      <c r="E1547" s="6">
        <v>224</v>
      </c>
      <c r="F1547" s="11"/>
    </row>
    <row r="1548" spans="1:6">
      <c r="A1548" s="5" t="str">
        <f t="shared" si="28"/>
        <v>202308</v>
      </c>
      <c r="B1548" s="5" t="str">
        <f>"23085015706"</f>
        <v>23085015706</v>
      </c>
      <c r="C1548" s="6">
        <v>108</v>
      </c>
      <c r="D1548" s="6">
        <v>115.5</v>
      </c>
      <c r="E1548" s="6">
        <v>223.5</v>
      </c>
      <c r="F1548" s="11"/>
    </row>
    <row r="1549" spans="1:6">
      <c r="A1549" s="5" t="str">
        <f t="shared" si="28"/>
        <v>202308</v>
      </c>
      <c r="B1549" s="5" t="str">
        <f>"23085015721"</f>
        <v>23085015721</v>
      </c>
      <c r="C1549" s="6">
        <v>117</v>
      </c>
      <c r="D1549" s="6">
        <v>106</v>
      </c>
      <c r="E1549" s="6">
        <v>223</v>
      </c>
      <c r="F1549" s="11"/>
    </row>
    <row r="1550" spans="1:6">
      <c r="A1550" s="5" t="str">
        <f t="shared" si="28"/>
        <v>202308</v>
      </c>
      <c r="B1550" s="5" t="str">
        <f>"23085016129"</f>
        <v>23085016129</v>
      </c>
      <c r="C1550" s="6">
        <v>108</v>
      </c>
      <c r="D1550" s="6">
        <v>115</v>
      </c>
      <c r="E1550" s="6">
        <v>223</v>
      </c>
      <c r="F1550" s="11"/>
    </row>
    <row r="1551" spans="1:6">
      <c r="A1551" s="5" t="str">
        <f t="shared" si="28"/>
        <v>202308</v>
      </c>
      <c r="B1551" s="5" t="str">
        <f>"23085015913"</f>
        <v>23085015913</v>
      </c>
      <c r="C1551" s="6">
        <v>117</v>
      </c>
      <c r="D1551" s="6">
        <v>106</v>
      </c>
      <c r="E1551" s="6">
        <v>223</v>
      </c>
      <c r="F1551" s="11"/>
    </row>
    <row r="1552" spans="1:6">
      <c r="A1552" s="5" t="str">
        <f t="shared" si="28"/>
        <v>202308</v>
      </c>
      <c r="B1552" s="5" t="str">
        <f>"23085015609"</f>
        <v>23085015609</v>
      </c>
      <c r="C1552" s="6">
        <v>106.5</v>
      </c>
      <c r="D1552" s="6">
        <v>116.5</v>
      </c>
      <c r="E1552" s="6">
        <v>223</v>
      </c>
      <c r="F1552" s="11"/>
    </row>
    <row r="1553" spans="1:6">
      <c r="A1553" s="5" t="str">
        <f t="shared" si="28"/>
        <v>202308</v>
      </c>
      <c r="B1553" s="5" t="str">
        <f>"23085015703"</f>
        <v>23085015703</v>
      </c>
      <c r="C1553" s="6">
        <v>109.5</v>
      </c>
      <c r="D1553" s="6">
        <v>113.5</v>
      </c>
      <c r="E1553" s="6">
        <v>223</v>
      </c>
      <c r="F1553" s="11"/>
    </row>
    <row r="1554" spans="1:6">
      <c r="A1554" s="5" t="str">
        <f t="shared" si="28"/>
        <v>202308</v>
      </c>
      <c r="B1554" s="5" t="str">
        <f>"23085015202"</f>
        <v>23085015202</v>
      </c>
      <c r="C1554" s="6">
        <v>115.5</v>
      </c>
      <c r="D1554" s="6">
        <v>107</v>
      </c>
      <c r="E1554" s="6">
        <v>222.5</v>
      </c>
      <c r="F1554" s="11"/>
    </row>
    <row r="1555" spans="1:6">
      <c r="A1555" s="5" t="str">
        <f t="shared" si="28"/>
        <v>202308</v>
      </c>
      <c r="B1555" s="5" t="str">
        <f>"23085015714"</f>
        <v>23085015714</v>
      </c>
      <c r="C1555" s="6">
        <v>100.5</v>
      </c>
      <c r="D1555" s="6">
        <v>121.5</v>
      </c>
      <c r="E1555" s="6">
        <v>222</v>
      </c>
      <c r="F1555" s="11"/>
    </row>
    <row r="1556" spans="1:6">
      <c r="A1556" s="5" t="str">
        <f t="shared" si="28"/>
        <v>202308</v>
      </c>
      <c r="B1556" s="5" t="str">
        <f>"23085015604"</f>
        <v>23085015604</v>
      </c>
      <c r="C1556" s="6">
        <v>103.5</v>
      </c>
      <c r="D1556" s="6">
        <v>118.5</v>
      </c>
      <c r="E1556" s="6">
        <v>222</v>
      </c>
      <c r="F1556" s="11"/>
    </row>
    <row r="1557" spans="1:6">
      <c r="A1557" s="5" t="str">
        <f t="shared" si="28"/>
        <v>202308</v>
      </c>
      <c r="B1557" s="5" t="str">
        <f>"23085015423"</f>
        <v>23085015423</v>
      </c>
      <c r="C1557" s="6">
        <v>111</v>
      </c>
      <c r="D1557" s="6">
        <v>111</v>
      </c>
      <c r="E1557" s="6">
        <v>222</v>
      </c>
      <c r="F1557" s="11"/>
    </row>
    <row r="1558" spans="1:6">
      <c r="A1558" s="5" t="str">
        <f t="shared" ref="A1558:A1621" si="29">"202308"</f>
        <v>202308</v>
      </c>
      <c r="B1558" s="5" t="str">
        <f>"23085015713"</f>
        <v>23085015713</v>
      </c>
      <c r="C1558" s="6">
        <v>111</v>
      </c>
      <c r="D1558" s="6">
        <v>111</v>
      </c>
      <c r="E1558" s="6">
        <v>222</v>
      </c>
      <c r="F1558" s="11"/>
    </row>
    <row r="1559" spans="1:6">
      <c r="A1559" s="5" t="str">
        <f t="shared" si="29"/>
        <v>202308</v>
      </c>
      <c r="B1559" s="5" t="str">
        <f>"23085015205"</f>
        <v>23085015205</v>
      </c>
      <c r="C1559" s="6">
        <v>105</v>
      </c>
      <c r="D1559" s="6">
        <v>116.5</v>
      </c>
      <c r="E1559" s="6">
        <v>221.5</v>
      </c>
      <c r="F1559" s="11"/>
    </row>
    <row r="1560" spans="1:6">
      <c r="A1560" s="5" t="str">
        <f t="shared" si="29"/>
        <v>202308</v>
      </c>
      <c r="B1560" s="5" t="str">
        <f>"23085015305"</f>
        <v>23085015305</v>
      </c>
      <c r="C1560" s="6">
        <v>100.5</v>
      </c>
      <c r="D1560" s="6">
        <v>121</v>
      </c>
      <c r="E1560" s="6">
        <v>221.5</v>
      </c>
      <c r="F1560" s="11"/>
    </row>
    <row r="1561" spans="1:6">
      <c r="A1561" s="5" t="str">
        <f t="shared" si="29"/>
        <v>202308</v>
      </c>
      <c r="B1561" s="5" t="str">
        <f>"23085015727"</f>
        <v>23085015727</v>
      </c>
      <c r="C1561" s="6">
        <v>106.5</v>
      </c>
      <c r="D1561" s="6">
        <v>115</v>
      </c>
      <c r="E1561" s="6">
        <v>221.5</v>
      </c>
      <c r="F1561" s="11"/>
    </row>
    <row r="1562" spans="1:6">
      <c r="A1562" s="5" t="str">
        <f t="shared" si="29"/>
        <v>202308</v>
      </c>
      <c r="B1562" s="5" t="str">
        <f>"23085015514"</f>
        <v>23085015514</v>
      </c>
      <c r="C1562" s="6">
        <v>106.5</v>
      </c>
      <c r="D1562" s="6">
        <v>115</v>
      </c>
      <c r="E1562" s="6">
        <v>221.5</v>
      </c>
      <c r="F1562" s="11"/>
    </row>
    <row r="1563" spans="1:6">
      <c r="A1563" s="5" t="str">
        <f t="shared" si="29"/>
        <v>202308</v>
      </c>
      <c r="B1563" s="5" t="str">
        <f>"23085015325"</f>
        <v>23085015325</v>
      </c>
      <c r="C1563" s="6">
        <v>100.5</v>
      </c>
      <c r="D1563" s="6">
        <v>121</v>
      </c>
      <c r="E1563" s="6">
        <v>221.5</v>
      </c>
      <c r="F1563" s="11"/>
    </row>
    <row r="1564" spans="1:6">
      <c r="A1564" s="5" t="str">
        <f t="shared" si="29"/>
        <v>202308</v>
      </c>
      <c r="B1564" s="5" t="str">
        <f>"23085016120"</f>
        <v>23085016120</v>
      </c>
      <c r="C1564" s="6">
        <v>111</v>
      </c>
      <c r="D1564" s="6">
        <v>110</v>
      </c>
      <c r="E1564" s="6">
        <v>221</v>
      </c>
      <c r="F1564" s="11"/>
    </row>
    <row r="1565" spans="1:6">
      <c r="A1565" s="5" t="str">
        <f t="shared" si="29"/>
        <v>202308</v>
      </c>
      <c r="B1565" s="5" t="str">
        <f>"23085015219"</f>
        <v>23085015219</v>
      </c>
      <c r="C1565" s="6">
        <v>109.5</v>
      </c>
      <c r="D1565" s="6">
        <v>111.5</v>
      </c>
      <c r="E1565" s="6">
        <v>221</v>
      </c>
      <c r="F1565" s="11"/>
    </row>
    <row r="1566" spans="1:6">
      <c r="A1566" s="5" t="str">
        <f t="shared" si="29"/>
        <v>202308</v>
      </c>
      <c r="B1566" s="5" t="str">
        <f>"23085016125"</f>
        <v>23085016125</v>
      </c>
      <c r="C1566" s="6">
        <v>111</v>
      </c>
      <c r="D1566" s="6">
        <v>110</v>
      </c>
      <c r="E1566" s="6">
        <v>221</v>
      </c>
      <c r="F1566" s="11"/>
    </row>
    <row r="1567" spans="1:6">
      <c r="A1567" s="5" t="str">
        <f t="shared" si="29"/>
        <v>202308</v>
      </c>
      <c r="B1567" s="5" t="str">
        <f>"23085016206"</f>
        <v>23085016206</v>
      </c>
      <c r="C1567" s="6">
        <v>103.5</v>
      </c>
      <c r="D1567" s="6">
        <v>117.5</v>
      </c>
      <c r="E1567" s="6">
        <v>221</v>
      </c>
      <c r="F1567" s="11"/>
    </row>
    <row r="1568" spans="1:6">
      <c r="A1568" s="5" t="str">
        <f t="shared" si="29"/>
        <v>202308</v>
      </c>
      <c r="B1568" s="5" t="str">
        <f>"23085015416"</f>
        <v>23085015416</v>
      </c>
      <c r="C1568" s="6">
        <v>106.5</v>
      </c>
      <c r="D1568" s="6">
        <v>114</v>
      </c>
      <c r="E1568" s="6">
        <v>220.5</v>
      </c>
      <c r="F1568" s="11"/>
    </row>
    <row r="1569" spans="1:6">
      <c r="A1569" s="5" t="str">
        <f t="shared" si="29"/>
        <v>202308</v>
      </c>
      <c r="B1569" s="5" t="str">
        <f>"23085016103"</f>
        <v>23085016103</v>
      </c>
      <c r="C1569" s="6">
        <v>108</v>
      </c>
      <c r="D1569" s="6">
        <v>112.5</v>
      </c>
      <c r="E1569" s="6">
        <v>220.5</v>
      </c>
      <c r="F1569" s="11"/>
    </row>
    <row r="1570" spans="1:6">
      <c r="A1570" s="5" t="str">
        <f t="shared" si="29"/>
        <v>202308</v>
      </c>
      <c r="B1570" s="5" t="str">
        <f>"23085015304"</f>
        <v>23085015304</v>
      </c>
      <c r="C1570" s="6">
        <v>109.5</v>
      </c>
      <c r="D1570" s="6">
        <v>110.5</v>
      </c>
      <c r="E1570" s="6">
        <v>220</v>
      </c>
      <c r="F1570" s="11"/>
    </row>
    <row r="1571" spans="1:6">
      <c r="A1571" s="5" t="str">
        <f t="shared" si="29"/>
        <v>202308</v>
      </c>
      <c r="B1571" s="5" t="str">
        <f>"23085015113"</f>
        <v>23085015113</v>
      </c>
      <c r="C1571" s="6">
        <v>115.5</v>
      </c>
      <c r="D1571" s="6">
        <v>104</v>
      </c>
      <c r="E1571" s="6">
        <v>219.5</v>
      </c>
      <c r="F1571" s="11"/>
    </row>
    <row r="1572" spans="1:6">
      <c r="A1572" s="5" t="str">
        <f t="shared" si="29"/>
        <v>202308</v>
      </c>
      <c r="B1572" s="5" t="str">
        <f>"23085015215"</f>
        <v>23085015215</v>
      </c>
      <c r="C1572" s="6">
        <v>100.5</v>
      </c>
      <c r="D1572" s="6">
        <v>119</v>
      </c>
      <c r="E1572" s="6">
        <v>219.5</v>
      </c>
      <c r="F1572" s="11"/>
    </row>
    <row r="1573" spans="1:6">
      <c r="A1573" s="5" t="str">
        <f t="shared" si="29"/>
        <v>202308</v>
      </c>
      <c r="B1573" s="5" t="str">
        <f>"23085015620"</f>
        <v>23085015620</v>
      </c>
      <c r="C1573" s="6">
        <v>106.5</v>
      </c>
      <c r="D1573" s="6">
        <v>112.5</v>
      </c>
      <c r="E1573" s="6">
        <v>219</v>
      </c>
      <c r="F1573" s="11"/>
    </row>
    <row r="1574" spans="1:6">
      <c r="A1574" s="5" t="str">
        <f t="shared" si="29"/>
        <v>202308</v>
      </c>
      <c r="B1574" s="5" t="str">
        <f>"23085015221"</f>
        <v>23085015221</v>
      </c>
      <c r="C1574" s="6">
        <v>105</v>
      </c>
      <c r="D1574" s="6">
        <v>114</v>
      </c>
      <c r="E1574" s="6">
        <v>219</v>
      </c>
      <c r="F1574" s="11"/>
    </row>
    <row r="1575" spans="1:6">
      <c r="A1575" s="5" t="str">
        <f t="shared" si="29"/>
        <v>202308</v>
      </c>
      <c r="B1575" s="5" t="str">
        <f>"23085015603"</f>
        <v>23085015603</v>
      </c>
      <c r="C1575" s="6">
        <v>100.5</v>
      </c>
      <c r="D1575" s="6">
        <v>118.5</v>
      </c>
      <c r="E1575" s="6">
        <v>219</v>
      </c>
      <c r="F1575" s="11"/>
    </row>
    <row r="1576" spans="1:6">
      <c r="A1576" s="5" t="str">
        <f t="shared" si="29"/>
        <v>202308</v>
      </c>
      <c r="B1576" s="5" t="str">
        <f>"23085015318"</f>
        <v>23085015318</v>
      </c>
      <c r="C1576" s="6">
        <v>105</v>
      </c>
      <c r="D1576" s="6">
        <v>113.5</v>
      </c>
      <c r="E1576" s="6">
        <v>218.5</v>
      </c>
      <c r="F1576" s="11"/>
    </row>
    <row r="1577" spans="1:6">
      <c r="A1577" s="5" t="str">
        <f t="shared" si="29"/>
        <v>202308</v>
      </c>
      <c r="B1577" s="5" t="str">
        <f>"23085015930"</f>
        <v>23085015930</v>
      </c>
      <c r="C1577" s="6">
        <v>100.5</v>
      </c>
      <c r="D1577" s="6">
        <v>118</v>
      </c>
      <c r="E1577" s="6">
        <v>218.5</v>
      </c>
      <c r="F1577" s="11"/>
    </row>
    <row r="1578" spans="1:6">
      <c r="A1578" s="5" t="str">
        <f t="shared" si="29"/>
        <v>202308</v>
      </c>
      <c r="B1578" s="5" t="str">
        <f>"23085016008"</f>
        <v>23085016008</v>
      </c>
      <c r="C1578" s="6">
        <v>102</v>
      </c>
      <c r="D1578" s="6">
        <v>116</v>
      </c>
      <c r="E1578" s="6">
        <v>218</v>
      </c>
      <c r="F1578" s="11"/>
    </row>
    <row r="1579" spans="1:6">
      <c r="A1579" s="5" t="str">
        <f t="shared" si="29"/>
        <v>202308</v>
      </c>
      <c r="B1579" s="5" t="str">
        <f>"23085015108"</f>
        <v>23085015108</v>
      </c>
      <c r="C1579" s="6">
        <v>103.5</v>
      </c>
      <c r="D1579" s="6">
        <v>114.5</v>
      </c>
      <c r="E1579" s="6">
        <v>218</v>
      </c>
      <c r="F1579" s="11"/>
    </row>
    <row r="1580" spans="1:6">
      <c r="A1580" s="5" t="str">
        <f t="shared" si="29"/>
        <v>202308</v>
      </c>
      <c r="B1580" s="5" t="str">
        <f>"23085015716"</f>
        <v>23085015716</v>
      </c>
      <c r="C1580" s="6">
        <v>103.5</v>
      </c>
      <c r="D1580" s="6">
        <v>114.5</v>
      </c>
      <c r="E1580" s="6">
        <v>218</v>
      </c>
      <c r="F1580" s="11"/>
    </row>
    <row r="1581" spans="1:6">
      <c r="A1581" s="5" t="str">
        <f t="shared" si="29"/>
        <v>202308</v>
      </c>
      <c r="B1581" s="5" t="str">
        <f>"23085015230"</f>
        <v>23085015230</v>
      </c>
      <c r="C1581" s="6">
        <v>105</v>
      </c>
      <c r="D1581" s="6">
        <v>113</v>
      </c>
      <c r="E1581" s="6">
        <v>218</v>
      </c>
      <c r="F1581" s="11"/>
    </row>
    <row r="1582" spans="1:6">
      <c r="A1582" s="5" t="str">
        <f t="shared" si="29"/>
        <v>202308</v>
      </c>
      <c r="B1582" s="5" t="str">
        <f>"23085015804"</f>
        <v>23085015804</v>
      </c>
      <c r="C1582" s="6">
        <v>102</v>
      </c>
      <c r="D1582" s="6">
        <v>116</v>
      </c>
      <c r="E1582" s="6">
        <v>218</v>
      </c>
      <c r="F1582" s="11"/>
    </row>
    <row r="1583" spans="1:6">
      <c r="A1583" s="5" t="str">
        <f t="shared" si="29"/>
        <v>202308</v>
      </c>
      <c r="B1583" s="5" t="str">
        <f>"23085015914"</f>
        <v>23085015914</v>
      </c>
      <c r="C1583" s="6">
        <v>108</v>
      </c>
      <c r="D1583" s="6">
        <v>110</v>
      </c>
      <c r="E1583" s="6">
        <v>218</v>
      </c>
      <c r="F1583" s="11"/>
    </row>
    <row r="1584" spans="1:6">
      <c r="A1584" s="5" t="str">
        <f t="shared" si="29"/>
        <v>202308</v>
      </c>
      <c r="B1584" s="5" t="str">
        <f>"23085015501"</f>
        <v>23085015501</v>
      </c>
      <c r="C1584" s="6">
        <v>102</v>
      </c>
      <c r="D1584" s="6">
        <v>116</v>
      </c>
      <c r="E1584" s="6">
        <v>218</v>
      </c>
      <c r="F1584" s="11"/>
    </row>
    <row r="1585" spans="1:6">
      <c r="A1585" s="5" t="str">
        <f t="shared" si="29"/>
        <v>202308</v>
      </c>
      <c r="B1585" s="5" t="str">
        <f>"23085015526"</f>
        <v>23085015526</v>
      </c>
      <c r="C1585" s="6">
        <v>100.5</v>
      </c>
      <c r="D1585" s="6">
        <v>117</v>
      </c>
      <c r="E1585" s="6">
        <v>217.5</v>
      </c>
      <c r="F1585" s="11"/>
    </row>
    <row r="1586" spans="1:6">
      <c r="A1586" s="5" t="str">
        <f t="shared" si="29"/>
        <v>202308</v>
      </c>
      <c r="B1586" s="5" t="str">
        <f>"23085015403"</f>
        <v>23085015403</v>
      </c>
      <c r="C1586" s="6">
        <v>105</v>
      </c>
      <c r="D1586" s="6">
        <v>112.5</v>
      </c>
      <c r="E1586" s="6">
        <v>217.5</v>
      </c>
      <c r="F1586" s="11"/>
    </row>
    <row r="1587" spans="1:6">
      <c r="A1587" s="5" t="str">
        <f t="shared" si="29"/>
        <v>202308</v>
      </c>
      <c r="B1587" s="5" t="str">
        <f>"23085015613"</f>
        <v>23085015613</v>
      </c>
      <c r="C1587" s="6">
        <v>102</v>
      </c>
      <c r="D1587" s="6">
        <v>115.5</v>
      </c>
      <c r="E1587" s="6">
        <v>217.5</v>
      </c>
      <c r="F1587" s="11"/>
    </row>
    <row r="1588" spans="1:6">
      <c r="A1588" s="5" t="str">
        <f t="shared" si="29"/>
        <v>202308</v>
      </c>
      <c r="B1588" s="5" t="str">
        <f>"23085015309"</f>
        <v>23085015309</v>
      </c>
      <c r="C1588" s="6">
        <v>105</v>
      </c>
      <c r="D1588" s="6">
        <v>112.5</v>
      </c>
      <c r="E1588" s="6">
        <v>217.5</v>
      </c>
      <c r="F1588" s="11"/>
    </row>
    <row r="1589" spans="1:6">
      <c r="A1589" s="5" t="str">
        <f t="shared" si="29"/>
        <v>202308</v>
      </c>
      <c r="B1589" s="5" t="str">
        <f>"23085015209"</f>
        <v>23085015209</v>
      </c>
      <c r="C1589" s="6">
        <v>102</v>
      </c>
      <c r="D1589" s="6">
        <v>115.5</v>
      </c>
      <c r="E1589" s="6">
        <v>217.5</v>
      </c>
      <c r="F1589" s="11"/>
    </row>
    <row r="1590" spans="1:6">
      <c r="A1590" s="5" t="str">
        <f t="shared" si="29"/>
        <v>202308</v>
      </c>
      <c r="B1590" s="5" t="str">
        <f>"23085016024"</f>
        <v>23085016024</v>
      </c>
      <c r="C1590" s="6">
        <v>99</v>
      </c>
      <c r="D1590" s="6">
        <v>118.5</v>
      </c>
      <c r="E1590" s="6">
        <v>217.5</v>
      </c>
      <c r="F1590" s="11"/>
    </row>
    <row r="1591" spans="1:6">
      <c r="A1591" s="5" t="str">
        <f t="shared" si="29"/>
        <v>202308</v>
      </c>
      <c r="B1591" s="5" t="str">
        <f>"23085015919"</f>
        <v>23085015919</v>
      </c>
      <c r="C1591" s="6">
        <v>99</v>
      </c>
      <c r="D1591" s="6">
        <v>118</v>
      </c>
      <c r="E1591" s="6">
        <v>217</v>
      </c>
      <c r="F1591" s="11"/>
    </row>
    <row r="1592" spans="1:6">
      <c r="A1592" s="5" t="str">
        <f t="shared" si="29"/>
        <v>202308</v>
      </c>
      <c r="B1592" s="5" t="str">
        <f>"23085016112"</f>
        <v>23085016112</v>
      </c>
      <c r="C1592" s="6">
        <v>102</v>
      </c>
      <c r="D1592" s="6">
        <v>114.5</v>
      </c>
      <c r="E1592" s="6">
        <v>216.5</v>
      </c>
      <c r="F1592" s="11"/>
    </row>
    <row r="1593" spans="1:6">
      <c r="A1593" s="5" t="str">
        <f t="shared" si="29"/>
        <v>202308</v>
      </c>
      <c r="B1593" s="5" t="str">
        <f>"23085015511"</f>
        <v>23085015511</v>
      </c>
      <c r="C1593" s="6">
        <v>100.5</v>
      </c>
      <c r="D1593" s="6">
        <v>116</v>
      </c>
      <c r="E1593" s="6">
        <v>216.5</v>
      </c>
      <c r="F1593" s="11"/>
    </row>
    <row r="1594" spans="1:6">
      <c r="A1594" s="5" t="str">
        <f t="shared" si="29"/>
        <v>202308</v>
      </c>
      <c r="B1594" s="5" t="str">
        <f>"23085015801"</f>
        <v>23085015801</v>
      </c>
      <c r="C1594" s="6">
        <v>108</v>
      </c>
      <c r="D1594" s="6">
        <v>108.5</v>
      </c>
      <c r="E1594" s="6">
        <v>216.5</v>
      </c>
      <c r="F1594" s="11"/>
    </row>
    <row r="1595" spans="1:6">
      <c r="A1595" s="5" t="str">
        <f t="shared" si="29"/>
        <v>202308</v>
      </c>
      <c r="B1595" s="5" t="str">
        <f>"23085015624"</f>
        <v>23085015624</v>
      </c>
      <c r="C1595" s="6">
        <v>109.5</v>
      </c>
      <c r="D1595" s="6">
        <v>106.5</v>
      </c>
      <c r="E1595" s="6">
        <v>216</v>
      </c>
      <c r="F1595" s="11"/>
    </row>
    <row r="1596" spans="1:6">
      <c r="A1596" s="5" t="str">
        <f t="shared" si="29"/>
        <v>202308</v>
      </c>
      <c r="B1596" s="5" t="str">
        <f>"23085015817"</f>
        <v>23085015817</v>
      </c>
      <c r="C1596" s="6">
        <v>102</v>
      </c>
      <c r="D1596" s="6">
        <v>114</v>
      </c>
      <c r="E1596" s="6">
        <v>216</v>
      </c>
      <c r="F1596" s="11"/>
    </row>
    <row r="1597" spans="1:6">
      <c r="A1597" s="5" t="str">
        <f t="shared" si="29"/>
        <v>202308</v>
      </c>
      <c r="B1597" s="5" t="str">
        <f>"23085015929"</f>
        <v>23085015929</v>
      </c>
      <c r="C1597" s="6">
        <v>94.5</v>
      </c>
      <c r="D1597" s="6">
        <v>121</v>
      </c>
      <c r="E1597" s="6">
        <v>215.5</v>
      </c>
      <c r="F1597" s="11"/>
    </row>
    <row r="1598" spans="1:6">
      <c r="A1598" s="5" t="str">
        <f t="shared" si="29"/>
        <v>202308</v>
      </c>
      <c r="B1598" s="5" t="str">
        <f>"23085015720"</f>
        <v>23085015720</v>
      </c>
      <c r="C1598" s="6">
        <v>97.5</v>
      </c>
      <c r="D1598" s="6">
        <v>118</v>
      </c>
      <c r="E1598" s="6">
        <v>215.5</v>
      </c>
      <c r="F1598" s="11"/>
    </row>
    <row r="1599" spans="1:6">
      <c r="A1599" s="5" t="str">
        <f t="shared" si="29"/>
        <v>202308</v>
      </c>
      <c r="B1599" s="5" t="str">
        <f>"23085015204"</f>
        <v>23085015204</v>
      </c>
      <c r="C1599" s="6">
        <v>94.5</v>
      </c>
      <c r="D1599" s="6">
        <v>120.5</v>
      </c>
      <c r="E1599" s="6">
        <v>215</v>
      </c>
      <c r="F1599" s="11"/>
    </row>
    <row r="1600" spans="1:6">
      <c r="A1600" s="5" t="str">
        <f t="shared" si="29"/>
        <v>202308</v>
      </c>
      <c r="B1600" s="5" t="str">
        <f>"23085016023"</f>
        <v>23085016023</v>
      </c>
      <c r="C1600" s="6">
        <v>103.5</v>
      </c>
      <c r="D1600" s="6">
        <v>111.5</v>
      </c>
      <c r="E1600" s="6">
        <v>215</v>
      </c>
      <c r="F1600" s="11"/>
    </row>
    <row r="1601" spans="1:6">
      <c r="A1601" s="5" t="str">
        <f t="shared" si="29"/>
        <v>202308</v>
      </c>
      <c r="B1601" s="5" t="str">
        <f>"23085015225"</f>
        <v>23085015225</v>
      </c>
      <c r="C1601" s="6">
        <v>93</v>
      </c>
      <c r="D1601" s="6">
        <v>122</v>
      </c>
      <c r="E1601" s="6">
        <v>215</v>
      </c>
      <c r="F1601" s="11"/>
    </row>
    <row r="1602" spans="1:6">
      <c r="A1602" s="5" t="str">
        <f t="shared" si="29"/>
        <v>202308</v>
      </c>
      <c r="B1602" s="5" t="str">
        <f>"23085015608"</f>
        <v>23085015608</v>
      </c>
      <c r="C1602" s="6">
        <v>97.5</v>
      </c>
      <c r="D1602" s="6">
        <v>117</v>
      </c>
      <c r="E1602" s="6">
        <v>214.5</v>
      </c>
      <c r="F1602" s="11"/>
    </row>
    <row r="1603" spans="1:6">
      <c r="A1603" s="5" t="str">
        <f t="shared" si="29"/>
        <v>202308</v>
      </c>
      <c r="B1603" s="5" t="str">
        <f>"23085016026"</f>
        <v>23085016026</v>
      </c>
      <c r="C1603" s="6">
        <v>99</v>
      </c>
      <c r="D1603" s="6">
        <v>115.5</v>
      </c>
      <c r="E1603" s="6">
        <v>214.5</v>
      </c>
      <c r="F1603" s="11"/>
    </row>
    <row r="1604" spans="1:6">
      <c r="A1604" s="5" t="str">
        <f t="shared" si="29"/>
        <v>202308</v>
      </c>
      <c r="B1604" s="5" t="str">
        <f>"23085015022"</f>
        <v>23085015022</v>
      </c>
      <c r="C1604" s="6">
        <v>108</v>
      </c>
      <c r="D1604" s="6">
        <v>106.5</v>
      </c>
      <c r="E1604" s="6">
        <v>214.5</v>
      </c>
      <c r="F1604" s="11"/>
    </row>
    <row r="1605" spans="1:6">
      <c r="A1605" s="5" t="str">
        <f t="shared" si="29"/>
        <v>202308</v>
      </c>
      <c r="B1605" s="5" t="str">
        <f>"23085016202"</f>
        <v>23085016202</v>
      </c>
      <c r="C1605" s="6">
        <v>100.5</v>
      </c>
      <c r="D1605" s="6">
        <v>113.5</v>
      </c>
      <c r="E1605" s="6">
        <v>214</v>
      </c>
      <c r="F1605" s="11"/>
    </row>
    <row r="1606" spans="1:6">
      <c r="A1606" s="5" t="str">
        <f t="shared" si="29"/>
        <v>202308</v>
      </c>
      <c r="B1606" s="5" t="str">
        <f>"23085015519"</f>
        <v>23085015519</v>
      </c>
      <c r="C1606" s="6">
        <v>99</v>
      </c>
      <c r="D1606" s="6">
        <v>115</v>
      </c>
      <c r="E1606" s="6">
        <v>214</v>
      </c>
      <c r="F1606" s="11"/>
    </row>
    <row r="1607" spans="1:6">
      <c r="A1607" s="5" t="str">
        <f t="shared" si="29"/>
        <v>202308</v>
      </c>
      <c r="B1607" s="5" t="str">
        <f>"23085015820"</f>
        <v>23085015820</v>
      </c>
      <c r="C1607" s="6">
        <v>93</v>
      </c>
      <c r="D1607" s="6">
        <v>121</v>
      </c>
      <c r="E1607" s="6">
        <v>214</v>
      </c>
      <c r="F1607" s="11"/>
    </row>
    <row r="1608" spans="1:6">
      <c r="A1608" s="5" t="str">
        <f t="shared" si="29"/>
        <v>202308</v>
      </c>
      <c r="B1608" s="5" t="str">
        <f>"23085015825"</f>
        <v>23085015825</v>
      </c>
      <c r="C1608" s="6">
        <v>102</v>
      </c>
      <c r="D1608" s="6">
        <v>111.5</v>
      </c>
      <c r="E1608" s="6">
        <v>213.5</v>
      </c>
      <c r="F1608" s="11"/>
    </row>
    <row r="1609" spans="1:6">
      <c r="A1609" s="5" t="str">
        <f t="shared" si="29"/>
        <v>202308</v>
      </c>
      <c r="B1609" s="5" t="str">
        <f>"23085015811"</f>
        <v>23085015811</v>
      </c>
      <c r="C1609" s="6">
        <v>103.5</v>
      </c>
      <c r="D1609" s="6">
        <v>110</v>
      </c>
      <c r="E1609" s="6">
        <v>213.5</v>
      </c>
      <c r="F1609" s="11"/>
    </row>
    <row r="1610" spans="1:6">
      <c r="A1610" s="5" t="str">
        <f t="shared" si="29"/>
        <v>202308</v>
      </c>
      <c r="B1610" s="5" t="str">
        <f>"23085016005"</f>
        <v>23085016005</v>
      </c>
      <c r="C1610" s="6">
        <v>99</v>
      </c>
      <c r="D1610" s="6">
        <v>114.5</v>
      </c>
      <c r="E1610" s="6">
        <v>213.5</v>
      </c>
      <c r="F1610" s="11"/>
    </row>
    <row r="1611" spans="1:6">
      <c r="A1611" s="5" t="str">
        <f t="shared" si="29"/>
        <v>202308</v>
      </c>
      <c r="B1611" s="5" t="str">
        <f>"23085015324"</f>
        <v>23085015324</v>
      </c>
      <c r="C1611" s="6">
        <v>99</v>
      </c>
      <c r="D1611" s="6">
        <v>114.5</v>
      </c>
      <c r="E1611" s="6">
        <v>213.5</v>
      </c>
      <c r="F1611" s="11"/>
    </row>
    <row r="1612" spans="1:6">
      <c r="A1612" s="5" t="str">
        <f t="shared" si="29"/>
        <v>202308</v>
      </c>
      <c r="B1612" s="5" t="str">
        <f>"23085016102"</f>
        <v>23085016102</v>
      </c>
      <c r="C1612" s="6">
        <v>90</v>
      </c>
      <c r="D1612" s="6">
        <v>123</v>
      </c>
      <c r="E1612" s="6">
        <v>213</v>
      </c>
      <c r="F1612" s="11"/>
    </row>
    <row r="1613" spans="1:6">
      <c r="A1613" s="5" t="str">
        <f t="shared" si="29"/>
        <v>202308</v>
      </c>
      <c r="B1613" s="5" t="str">
        <f>"23085016119"</f>
        <v>23085016119</v>
      </c>
      <c r="C1613" s="6">
        <v>103.5</v>
      </c>
      <c r="D1613" s="6">
        <v>109</v>
      </c>
      <c r="E1613" s="6">
        <v>212.5</v>
      </c>
      <c r="F1613" s="11"/>
    </row>
    <row r="1614" spans="1:6">
      <c r="A1614" s="5" t="str">
        <f t="shared" si="29"/>
        <v>202308</v>
      </c>
      <c r="B1614" s="5" t="str">
        <f>"23085015024"</f>
        <v>23085015024</v>
      </c>
      <c r="C1614" s="6">
        <v>96</v>
      </c>
      <c r="D1614" s="6">
        <v>116.5</v>
      </c>
      <c r="E1614" s="6">
        <v>212.5</v>
      </c>
      <c r="F1614" s="11"/>
    </row>
    <row r="1615" spans="1:6">
      <c r="A1615" s="5" t="str">
        <f t="shared" si="29"/>
        <v>202308</v>
      </c>
      <c r="B1615" s="5" t="str">
        <f>"23085015902"</f>
        <v>23085015902</v>
      </c>
      <c r="C1615" s="6">
        <v>102</v>
      </c>
      <c r="D1615" s="6">
        <v>110.5</v>
      </c>
      <c r="E1615" s="6">
        <v>212.5</v>
      </c>
      <c r="F1615" s="11"/>
    </row>
    <row r="1616" spans="1:6">
      <c r="A1616" s="5" t="str">
        <f t="shared" si="29"/>
        <v>202308</v>
      </c>
      <c r="B1616" s="5" t="str">
        <f>"23085015823"</f>
        <v>23085015823</v>
      </c>
      <c r="C1616" s="6">
        <v>94.5</v>
      </c>
      <c r="D1616" s="6">
        <v>117.5</v>
      </c>
      <c r="E1616" s="6">
        <v>212</v>
      </c>
      <c r="F1616" s="11"/>
    </row>
    <row r="1617" spans="1:6">
      <c r="A1617" s="5" t="str">
        <f t="shared" si="29"/>
        <v>202308</v>
      </c>
      <c r="B1617" s="5" t="str">
        <f>"23085015602"</f>
        <v>23085015602</v>
      </c>
      <c r="C1617" s="6">
        <v>105</v>
      </c>
      <c r="D1617" s="6">
        <v>107</v>
      </c>
      <c r="E1617" s="6">
        <v>212</v>
      </c>
      <c r="F1617" s="11"/>
    </row>
    <row r="1618" spans="1:6">
      <c r="A1618" s="5" t="str">
        <f t="shared" si="29"/>
        <v>202308</v>
      </c>
      <c r="B1618" s="5" t="str">
        <f>"23085015327"</f>
        <v>23085015327</v>
      </c>
      <c r="C1618" s="6">
        <v>90</v>
      </c>
      <c r="D1618" s="6">
        <v>122</v>
      </c>
      <c r="E1618" s="6">
        <v>212</v>
      </c>
      <c r="F1618" s="11"/>
    </row>
    <row r="1619" spans="1:6">
      <c r="A1619" s="5" t="str">
        <f t="shared" si="29"/>
        <v>202308</v>
      </c>
      <c r="B1619" s="5" t="str">
        <f>"23085015412"</f>
        <v>23085015412</v>
      </c>
      <c r="C1619" s="6">
        <v>93</v>
      </c>
      <c r="D1619" s="6">
        <v>118.5</v>
      </c>
      <c r="E1619" s="6">
        <v>211.5</v>
      </c>
      <c r="F1619" s="11"/>
    </row>
    <row r="1620" spans="1:6">
      <c r="A1620" s="5" t="str">
        <f t="shared" si="29"/>
        <v>202308</v>
      </c>
      <c r="B1620" s="5" t="str">
        <f>"23085015401"</f>
        <v>23085015401</v>
      </c>
      <c r="C1620" s="6">
        <v>97.5</v>
      </c>
      <c r="D1620" s="6">
        <v>114</v>
      </c>
      <c r="E1620" s="6">
        <v>211.5</v>
      </c>
      <c r="F1620" s="11"/>
    </row>
    <row r="1621" spans="1:6">
      <c r="A1621" s="5" t="str">
        <f t="shared" si="29"/>
        <v>202308</v>
      </c>
      <c r="B1621" s="5" t="str">
        <f>"23085016012"</f>
        <v>23085016012</v>
      </c>
      <c r="C1621" s="6">
        <v>96</v>
      </c>
      <c r="D1621" s="6">
        <v>115</v>
      </c>
      <c r="E1621" s="6">
        <v>211</v>
      </c>
      <c r="F1621" s="11"/>
    </row>
    <row r="1622" spans="1:6">
      <c r="A1622" s="5" t="str">
        <f t="shared" ref="A1622:A1685" si="30">"202308"</f>
        <v>202308</v>
      </c>
      <c r="B1622" s="5" t="str">
        <f>"23085015211"</f>
        <v>23085015211</v>
      </c>
      <c r="C1622" s="6">
        <v>94.5</v>
      </c>
      <c r="D1622" s="6">
        <v>116.5</v>
      </c>
      <c r="E1622" s="6">
        <v>211</v>
      </c>
      <c r="F1622" s="11"/>
    </row>
    <row r="1623" spans="1:6">
      <c r="A1623" s="5" t="str">
        <f t="shared" si="30"/>
        <v>202308</v>
      </c>
      <c r="B1623" s="5" t="str">
        <f>"23085016113"</f>
        <v>23085016113</v>
      </c>
      <c r="C1623" s="6">
        <v>103.5</v>
      </c>
      <c r="D1623" s="6">
        <v>107.5</v>
      </c>
      <c r="E1623" s="6">
        <v>211</v>
      </c>
      <c r="F1623" s="11"/>
    </row>
    <row r="1624" spans="1:6">
      <c r="A1624" s="5" t="str">
        <f t="shared" si="30"/>
        <v>202308</v>
      </c>
      <c r="B1624" s="5" t="str">
        <f>"23085015406"</f>
        <v>23085015406</v>
      </c>
      <c r="C1624" s="6">
        <v>102</v>
      </c>
      <c r="D1624" s="6">
        <v>109</v>
      </c>
      <c r="E1624" s="6">
        <v>211</v>
      </c>
      <c r="F1624" s="11"/>
    </row>
    <row r="1625" spans="1:6">
      <c r="A1625" s="5" t="str">
        <f t="shared" si="30"/>
        <v>202308</v>
      </c>
      <c r="B1625" s="5" t="str">
        <f>"23085015509"</f>
        <v>23085015509</v>
      </c>
      <c r="C1625" s="6">
        <v>102</v>
      </c>
      <c r="D1625" s="6">
        <v>108.5</v>
      </c>
      <c r="E1625" s="6">
        <v>210.5</v>
      </c>
      <c r="F1625" s="11"/>
    </row>
    <row r="1626" spans="1:6">
      <c r="A1626" s="5" t="str">
        <f t="shared" si="30"/>
        <v>202308</v>
      </c>
      <c r="B1626" s="5" t="str">
        <f>"23085015815"</f>
        <v>23085015815</v>
      </c>
      <c r="C1626" s="6">
        <v>93</v>
      </c>
      <c r="D1626" s="6">
        <v>117.5</v>
      </c>
      <c r="E1626" s="6">
        <v>210.5</v>
      </c>
      <c r="F1626" s="11"/>
    </row>
    <row r="1627" spans="1:6">
      <c r="A1627" s="5" t="str">
        <f t="shared" si="30"/>
        <v>202308</v>
      </c>
      <c r="B1627" s="5" t="str">
        <f>"23085016017"</f>
        <v>23085016017</v>
      </c>
      <c r="C1627" s="6">
        <v>97.5</v>
      </c>
      <c r="D1627" s="6">
        <v>112.5</v>
      </c>
      <c r="E1627" s="6">
        <v>210</v>
      </c>
      <c r="F1627" s="11"/>
    </row>
    <row r="1628" spans="1:6">
      <c r="A1628" s="5" t="str">
        <f t="shared" si="30"/>
        <v>202308</v>
      </c>
      <c r="B1628" s="5" t="str">
        <f>"23085016204"</f>
        <v>23085016204</v>
      </c>
      <c r="C1628" s="6">
        <v>97.5</v>
      </c>
      <c r="D1628" s="6">
        <v>112.5</v>
      </c>
      <c r="E1628" s="6">
        <v>210</v>
      </c>
      <c r="F1628" s="11"/>
    </row>
    <row r="1629" spans="1:6">
      <c r="A1629" s="5" t="str">
        <f t="shared" si="30"/>
        <v>202308</v>
      </c>
      <c r="B1629" s="5" t="str">
        <f>"23085015927"</f>
        <v>23085015927</v>
      </c>
      <c r="C1629" s="6">
        <v>94.5</v>
      </c>
      <c r="D1629" s="6">
        <v>115.5</v>
      </c>
      <c r="E1629" s="6">
        <v>210</v>
      </c>
      <c r="F1629" s="11"/>
    </row>
    <row r="1630" spans="1:6">
      <c r="A1630" s="5" t="str">
        <f t="shared" si="30"/>
        <v>202308</v>
      </c>
      <c r="B1630" s="5" t="str">
        <f>"23085015111"</f>
        <v>23085015111</v>
      </c>
      <c r="C1630" s="6">
        <v>94.5</v>
      </c>
      <c r="D1630" s="6">
        <v>115.5</v>
      </c>
      <c r="E1630" s="6">
        <v>210</v>
      </c>
      <c r="F1630" s="11"/>
    </row>
    <row r="1631" spans="1:6">
      <c r="A1631" s="5" t="str">
        <f t="shared" si="30"/>
        <v>202308</v>
      </c>
      <c r="B1631" s="5" t="str">
        <f>"23085015627"</f>
        <v>23085015627</v>
      </c>
      <c r="C1631" s="6">
        <v>96</v>
      </c>
      <c r="D1631" s="6">
        <v>113.5</v>
      </c>
      <c r="E1631" s="6">
        <v>209.5</v>
      </c>
      <c r="F1631" s="11"/>
    </row>
    <row r="1632" spans="1:6">
      <c r="A1632" s="5" t="str">
        <f t="shared" si="30"/>
        <v>202308</v>
      </c>
      <c r="B1632" s="5" t="str">
        <f>"23085015724"</f>
        <v>23085015724</v>
      </c>
      <c r="C1632" s="6">
        <v>88.5</v>
      </c>
      <c r="D1632" s="6">
        <v>121</v>
      </c>
      <c r="E1632" s="6">
        <v>209.5</v>
      </c>
      <c r="F1632" s="11"/>
    </row>
    <row r="1633" spans="1:6">
      <c r="A1633" s="5" t="str">
        <f t="shared" si="30"/>
        <v>202308</v>
      </c>
      <c r="B1633" s="5" t="str">
        <f>"23085015616"</f>
        <v>23085015616</v>
      </c>
      <c r="C1633" s="6">
        <v>93</v>
      </c>
      <c r="D1633" s="6">
        <v>116</v>
      </c>
      <c r="E1633" s="6">
        <v>209</v>
      </c>
      <c r="F1633" s="11"/>
    </row>
    <row r="1634" spans="1:6">
      <c r="A1634" s="5" t="str">
        <f t="shared" si="30"/>
        <v>202308</v>
      </c>
      <c r="B1634" s="5" t="str">
        <f>"23085015125"</f>
        <v>23085015125</v>
      </c>
      <c r="C1634" s="6">
        <v>97.5</v>
      </c>
      <c r="D1634" s="6">
        <v>111.5</v>
      </c>
      <c r="E1634" s="6">
        <v>209</v>
      </c>
      <c r="F1634" s="11"/>
    </row>
    <row r="1635" spans="1:6">
      <c r="A1635" s="5" t="str">
        <f t="shared" si="30"/>
        <v>202308</v>
      </c>
      <c r="B1635" s="5" t="str">
        <f>"23085015623"</f>
        <v>23085015623</v>
      </c>
      <c r="C1635" s="6">
        <v>102</v>
      </c>
      <c r="D1635" s="6">
        <v>107</v>
      </c>
      <c r="E1635" s="6">
        <v>209</v>
      </c>
      <c r="F1635" s="11"/>
    </row>
    <row r="1636" spans="1:6">
      <c r="A1636" s="5" t="str">
        <f t="shared" si="30"/>
        <v>202308</v>
      </c>
      <c r="B1636" s="5" t="str">
        <f>"23085016118"</f>
        <v>23085016118</v>
      </c>
      <c r="C1636" s="6">
        <v>88.5</v>
      </c>
      <c r="D1636" s="6">
        <v>120.5</v>
      </c>
      <c r="E1636" s="6">
        <v>209</v>
      </c>
      <c r="F1636" s="11"/>
    </row>
    <row r="1637" spans="1:6">
      <c r="A1637" s="5" t="str">
        <f t="shared" si="30"/>
        <v>202308</v>
      </c>
      <c r="B1637" s="5" t="str">
        <f>"23085016208"</f>
        <v>23085016208</v>
      </c>
      <c r="C1637" s="6">
        <v>97.5</v>
      </c>
      <c r="D1637" s="6">
        <v>111</v>
      </c>
      <c r="E1637" s="6">
        <v>208.5</v>
      </c>
      <c r="F1637" s="11"/>
    </row>
    <row r="1638" spans="1:6">
      <c r="A1638" s="5" t="str">
        <f t="shared" si="30"/>
        <v>202308</v>
      </c>
      <c r="B1638" s="5" t="str">
        <f>"23085015630"</f>
        <v>23085015630</v>
      </c>
      <c r="C1638" s="6">
        <v>97.5</v>
      </c>
      <c r="D1638" s="6">
        <v>111</v>
      </c>
      <c r="E1638" s="6">
        <v>208.5</v>
      </c>
      <c r="F1638" s="11"/>
    </row>
    <row r="1639" spans="1:6">
      <c r="A1639" s="5" t="str">
        <f t="shared" si="30"/>
        <v>202308</v>
      </c>
      <c r="B1639" s="5" t="str">
        <f>"23085015612"</f>
        <v>23085015612</v>
      </c>
      <c r="C1639" s="6">
        <v>93</v>
      </c>
      <c r="D1639" s="6">
        <v>115.5</v>
      </c>
      <c r="E1639" s="6">
        <v>208.5</v>
      </c>
      <c r="F1639" s="11"/>
    </row>
    <row r="1640" spans="1:6">
      <c r="A1640" s="5" t="str">
        <f t="shared" si="30"/>
        <v>202308</v>
      </c>
      <c r="B1640" s="5" t="str">
        <f>"23085016019"</f>
        <v>23085016019</v>
      </c>
      <c r="C1640" s="6">
        <v>96</v>
      </c>
      <c r="D1640" s="6">
        <v>112</v>
      </c>
      <c r="E1640" s="6">
        <v>208</v>
      </c>
      <c r="F1640" s="11"/>
    </row>
    <row r="1641" spans="1:6">
      <c r="A1641" s="5" t="str">
        <f t="shared" si="30"/>
        <v>202308</v>
      </c>
      <c r="B1641" s="5" t="str">
        <f>"23085015830"</f>
        <v>23085015830</v>
      </c>
      <c r="C1641" s="6">
        <v>91.5</v>
      </c>
      <c r="D1641" s="6">
        <v>115.5</v>
      </c>
      <c r="E1641" s="6">
        <v>207</v>
      </c>
      <c r="F1641" s="11"/>
    </row>
    <row r="1642" spans="1:6">
      <c r="A1642" s="5" t="str">
        <f t="shared" si="30"/>
        <v>202308</v>
      </c>
      <c r="B1642" s="5" t="str">
        <f>"23085015123"</f>
        <v>23085015123</v>
      </c>
      <c r="C1642" s="6">
        <v>99</v>
      </c>
      <c r="D1642" s="6">
        <v>108</v>
      </c>
      <c r="E1642" s="6">
        <v>207</v>
      </c>
      <c r="F1642" s="11"/>
    </row>
    <row r="1643" spans="1:6">
      <c r="A1643" s="5" t="str">
        <f t="shared" si="30"/>
        <v>202308</v>
      </c>
      <c r="B1643" s="5" t="str">
        <f>"23085015029"</f>
        <v>23085015029</v>
      </c>
      <c r="C1643" s="6">
        <v>99</v>
      </c>
      <c r="D1643" s="6">
        <v>108</v>
      </c>
      <c r="E1643" s="6">
        <v>207</v>
      </c>
      <c r="F1643" s="11"/>
    </row>
    <row r="1644" spans="1:6">
      <c r="A1644" s="5" t="str">
        <f t="shared" si="30"/>
        <v>202308</v>
      </c>
      <c r="B1644" s="5" t="str">
        <f>"23085015102"</f>
        <v>23085015102</v>
      </c>
      <c r="C1644" s="6">
        <v>96</v>
      </c>
      <c r="D1644" s="6">
        <v>111</v>
      </c>
      <c r="E1644" s="6">
        <v>207</v>
      </c>
      <c r="F1644" s="11"/>
    </row>
    <row r="1645" spans="1:6">
      <c r="A1645" s="5" t="str">
        <f t="shared" si="30"/>
        <v>202308</v>
      </c>
      <c r="B1645" s="5" t="str">
        <f>"23085015319"</f>
        <v>23085015319</v>
      </c>
      <c r="C1645" s="6">
        <v>99</v>
      </c>
      <c r="D1645" s="6">
        <v>107.5</v>
      </c>
      <c r="E1645" s="6">
        <v>206.5</v>
      </c>
      <c r="F1645" s="11"/>
    </row>
    <row r="1646" spans="1:6">
      <c r="A1646" s="5" t="str">
        <f t="shared" si="30"/>
        <v>202308</v>
      </c>
      <c r="B1646" s="5" t="str">
        <f>"23085015026"</f>
        <v>23085015026</v>
      </c>
      <c r="C1646" s="6">
        <v>93</v>
      </c>
      <c r="D1646" s="6">
        <v>113.5</v>
      </c>
      <c r="E1646" s="6">
        <v>206.5</v>
      </c>
      <c r="F1646" s="11"/>
    </row>
    <row r="1647" spans="1:6">
      <c r="A1647" s="5" t="str">
        <f t="shared" si="30"/>
        <v>202308</v>
      </c>
      <c r="B1647" s="5" t="str">
        <f>"23085015922"</f>
        <v>23085015922</v>
      </c>
      <c r="C1647" s="6">
        <v>88.5</v>
      </c>
      <c r="D1647" s="6">
        <v>118</v>
      </c>
      <c r="E1647" s="6">
        <v>206.5</v>
      </c>
      <c r="F1647" s="11"/>
    </row>
    <row r="1648" spans="1:6">
      <c r="A1648" s="5" t="str">
        <f t="shared" si="30"/>
        <v>202308</v>
      </c>
      <c r="B1648" s="5" t="str">
        <f>"23085015626"</f>
        <v>23085015626</v>
      </c>
      <c r="C1648" s="6">
        <v>99</v>
      </c>
      <c r="D1648" s="6">
        <v>107</v>
      </c>
      <c r="E1648" s="6">
        <v>206</v>
      </c>
      <c r="F1648" s="11"/>
    </row>
    <row r="1649" spans="1:6">
      <c r="A1649" s="5" t="str">
        <f t="shared" si="30"/>
        <v>202308</v>
      </c>
      <c r="B1649" s="5" t="str">
        <f>"23085015119"</f>
        <v>23085015119</v>
      </c>
      <c r="C1649" s="6">
        <v>99</v>
      </c>
      <c r="D1649" s="6">
        <v>107</v>
      </c>
      <c r="E1649" s="6">
        <v>206</v>
      </c>
      <c r="F1649" s="11"/>
    </row>
    <row r="1650" spans="1:6">
      <c r="A1650" s="5" t="str">
        <f t="shared" si="30"/>
        <v>202308</v>
      </c>
      <c r="B1650" s="5" t="str">
        <f>"23085015224"</f>
        <v>23085015224</v>
      </c>
      <c r="C1650" s="6">
        <v>91.5</v>
      </c>
      <c r="D1650" s="6">
        <v>113.5</v>
      </c>
      <c r="E1650" s="6">
        <v>205</v>
      </c>
      <c r="F1650" s="11"/>
    </row>
    <row r="1651" spans="1:6">
      <c r="A1651" s="5" t="str">
        <f t="shared" si="30"/>
        <v>202308</v>
      </c>
      <c r="B1651" s="5" t="str">
        <f>"23085015621"</f>
        <v>23085015621</v>
      </c>
      <c r="C1651" s="6">
        <v>87</v>
      </c>
      <c r="D1651" s="6">
        <v>118</v>
      </c>
      <c r="E1651" s="6">
        <v>205</v>
      </c>
      <c r="F1651" s="11"/>
    </row>
    <row r="1652" spans="1:6">
      <c r="A1652" s="5" t="str">
        <f t="shared" si="30"/>
        <v>202308</v>
      </c>
      <c r="B1652" s="5" t="str">
        <f>"23085015129"</f>
        <v>23085015129</v>
      </c>
      <c r="C1652" s="6">
        <v>94.5</v>
      </c>
      <c r="D1652" s="6">
        <v>110.5</v>
      </c>
      <c r="E1652" s="6">
        <v>205</v>
      </c>
      <c r="F1652" s="11"/>
    </row>
    <row r="1653" spans="1:6">
      <c r="A1653" s="5" t="str">
        <f t="shared" si="30"/>
        <v>202308</v>
      </c>
      <c r="B1653" s="5" t="str">
        <f>"23085015228"</f>
        <v>23085015228</v>
      </c>
      <c r="C1653" s="6">
        <v>106.5</v>
      </c>
      <c r="D1653" s="6">
        <v>98</v>
      </c>
      <c r="E1653" s="6">
        <v>204.5</v>
      </c>
      <c r="F1653" s="11"/>
    </row>
    <row r="1654" spans="1:6">
      <c r="A1654" s="5" t="str">
        <f t="shared" si="30"/>
        <v>202308</v>
      </c>
      <c r="B1654" s="5" t="str">
        <f>"23085015625"</f>
        <v>23085015625</v>
      </c>
      <c r="C1654" s="6">
        <v>88.5</v>
      </c>
      <c r="D1654" s="6">
        <v>116</v>
      </c>
      <c r="E1654" s="6">
        <v>204.5</v>
      </c>
      <c r="F1654" s="11"/>
    </row>
    <row r="1655" spans="1:6">
      <c r="A1655" s="5" t="str">
        <f t="shared" si="30"/>
        <v>202308</v>
      </c>
      <c r="B1655" s="5" t="str">
        <f>"23085015730"</f>
        <v>23085015730</v>
      </c>
      <c r="C1655" s="6">
        <v>87</v>
      </c>
      <c r="D1655" s="6">
        <v>117.5</v>
      </c>
      <c r="E1655" s="6">
        <v>204.5</v>
      </c>
      <c r="F1655" s="11"/>
    </row>
    <row r="1656" spans="1:6">
      <c r="A1656" s="5" t="str">
        <f t="shared" si="30"/>
        <v>202308</v>
      </c>
      <c r="B1656" s="5" t="str">
        <f>"23085016117"</f>
        <v>23085016117</v>
      </c>
      <c r="C1656" s="6">
        <v>94.5</v>
      </c>
      <c r="D1656" s="6">
        <v>109.5</v>
      </c>
      <c r="E1656" s="6">
        <v>204</v>
      </c>
      <c r="F1656" s="11"/>
    </row>
    <row r="1657" spans="1:6">
      <c r="A1657" s="5" t="str">
        <f t="shared" si="30"/>
        <v>202308</v>
      </c>
      <c r="B1657" s="5" t="str">
        <f>"23085016009"</f>
        <v>23085016009</v>
      </c>
      <c r="C1657" s="6">
        <v>90</v>
      </c>
      <c r="D1657" s="6">
        <v>114</v>
      </c>
      <c r="E1657" s="6">
        <v>204</v>
      </c>
      <c r="F1657" s="11"/>
    </row>
    <row r="1658" spans="1:6">
      <c r="A1658" s="5" t="str">
        <f t="shared" si="30"/>
        <v>202308</v>
      </c>
      <c r="B1658" s="5" t="str">
        <f>"23085015321"</f>
        <v>23085015321</v>
      </c>
      <c r="C1658" s="6">
        <v>90</v>
      </c>
      <c r="D1658" s="6">
        <v>114</v>
      </c>
      <c r="E1658" s="6">
        <v>204</v>
      </c>
      <c r="F1658" s="11"/>
    </row>
    <row r="1659" spans="1:6">
      <c r="A1659" s="5" t="str">
        <f t="shared" si="30"/>
        <v>202308</v>
      </c>
      <c r="B1659" s="5" t="str">
        <f>"23085015106"</f>
        <v>23085015106</v>
      </c>
      <c r="C1659" s="6">
        <v>84</v>
      </c>
      <c r="D1659" s="6">
        <v>119.5</v>
      </c>
      <c r="E1659" s="6">
        <v>203.5</v>
      </c>
      <c r="F1659" s="11"/>
    </row>
    <row r="1660" spans="1:6">
      <c r="A1660" s="5" t="str">
        <f t="shared" si="30"/>
        <v>202308</v>
      </c>
      <c r="B1660" s="5" t="str">
        <f>"23085016105"</f>
        <v>23085016105</v>
      </c>
      <c r="C1660" s="6">
        <v>88.5</v>
      </c>
      <c r="D1660" s="6">
        <v>114.5</v>
      </c>
      <c r="E1660" s="6">
        <v>203</v>
      </c>
      <c r="F1660" s="11"/>
    </row>
    <row r="1661" spans="1:6">
      <c r="A1661" s="5" t="str">
        <f t="shared" si="30"/>
        <v>202308</v>
      </c>
      <c r="B1661" s="5" t="str">
        <f>"23085016128"</f>
        <v>23085016128</v>
      </c>
      <c r="C1661" s="6">
        <v>100.5</v>
      </c>
      <c r="D1661" s="6">
        <v>102</v>
      </c>
      <c r="E1661" s="6">
        <v>202.5</v>
      </c>
      <c r="F1661" s="11"/>
    </row>
    <row r="1662" spans="1:6">
      <c r="A1662" s="5" t="str">
        <f t="shared" si="30"/>
        <v>202308</v>
      </c>
      <c r="B1662" s="5" t="str">
        <f>"23085015330"</f>
        <v>23085015330</v>
      </c>
      <c r="C1662" s="6">
        <v>88.5</v>
      </c>
      <c r="D1662" s="6">
        <v>114</v>
      </c>
      <c r="E1662" s="6">
        <v>202.5</v>
      </c>
      <c r="F1662" s="11"/>
    </row>
    <row r="1663" spans="1:6">
      <c r="A1663" s="5" t="str">
        <f t="shared" si="30"/>
        <v>202308</v>
      </c>
      <c r="B1663" s="5" t="str">
        <f>"23085015816"</f>
        <v>23085015816</v>
      </c>
      <c r="C1663" s="6">
        <v>90</v>
      </c>
      <c r="D1663" s="6">
        <v>112.5</v>
      </c>
      <c r="E1663" s="6">
        <v>202.5</v>
      </c>
      <c r="F1663" s="11"/>
    </row>
    <row r="1664" spans="1:6">
      <c r="A1664" s="5" t="str">
        <f t="shared" si="30"/>
        <v>202308</v>
      </c>
      <c r="B1664" s="5" t="str">
        <f>"23085016106"</f>
        <v>23085016106</v>
      </c>
      <c r="C1664" s="6">
        <v>93</v>
      </c>
      <c r="D1664" s="6">
        <v>109.5</v>
      </c>
      <c r="E1664" s="6">
        <v>202.5</v>
      </c>
      <c r="F1664" s="11"/>
    </row>
    <row r="1665" spans="1:6">
      <c r="A1665" s="5" t="str">
        <f t="shared" si="30"/>
        <v>202308</v>
      </c>
      <c r="B1665" s="5" t="str">
        <f>"23085015622"</f>
        <v>23085015622</v>
      </c>
      <c r="C1665" s="6">
        <v>90</v>
      </c>
      <c r="D1665" s="6">
        <v>112.5</v>
      </c>
      <c r="E1665" s="6">
        <v>202.5</v>
      </c>
      <c r="F1665" s="11"/>
    </row>
    <row r="1666" spans="1:6">
      <c r="A1666" s="5" t="str">
        <f t="shared" si="30"/>
        <v>202308</v>
      </c>
      <c r="B1666" s="5" t="str">
        <f>"23085015715"</f>
        <v>23085015715</v>
      </c>
      <c r="C1666" s="6">
        <v>96</v>
      </c>
      <c r="D1666" s="6">
        <v>106</v>
      </c>
      <c r="E1666" s="6">
        <v>202</v>
      </c>
      <c r="F1666" s="11"/>
    </row>
    <row r="1667" spans="1:6">
      <c r="A1667" s="5" t="str">
        <f t="shared" si="30"/>
        <v>202308</v>
      </c>
      <c r="B1667" s="5" t="str">
        <f>"23085015212"</f>
        <v>23085015212</v>
      </c>
      <c r="C1667" s="6">
        <v>82.5</v>
      </c>
      <c r="D1667" s="6">
        <v>119.5</v>
      </c>
      <c r="E1667" s="6">
        <v>202</v>
      </c>
      <c r="F1667" s="11"/>
    </row>
    <row r="1668" spans="1:6">
      <c r="A1668" s="5" t="str">
        <f t="shared" si="30"/>
        <v>202308</v>
      </c>
      <c r="B1668" s="5" t="str">
        <f>"23085015402"</f>
        <v>23085015402</v>
      </c>
      <c r="C1668" s="6">
        <v>93</v>
      </c>
      <c r="D1668" s="6">
        <v>109</v>
      </c>
      <c r="E1668" s="6">
        <v>202</v>
      </c>
      <c r="F1668" s="11"/>
    </row>
    <row r="1669" spans="1:6">
      <c r="A1669" s="5" t="str">
        <f t="shared" si="30"/>
        <v>202308</v>
      </c>
      <c r="B1669" s="5" t="str">
        <f>"23085015614"</f>
        <v>23085015614</v>
      </c>
      <c r="C1669" s="6">
        <v>100.5</v>
      </c>
      <c r="D1669" s="6">
        <v>101</v>
      </c>
      <c r="E1669" s="6">
        <v>201.5</v>
      </c>
      <c r="F1669" s="11"/>
    </row>
    <row r="1670" spans="1:6">
      <c r="A1670" s="5" t="str">
        <f t="shared" si="30"/>
        <v>202308</v>
      </c>
      <c r="B1670" s="5" t="str">
        <f>"23085015810"</f>
        <v>23085015810</v>
      </c>
      <c r="C1670" s="6">
        <v>88.5</v>
      </c>
      <c r="D1670" s="6">
        <v>113</v>
      </c>
      <c r="E1670" s="6">
        <v>201.5</v>
      </c>
      <c r="F1670" s="11"/>
    </row>
    <row r="1671" spans="1:6">
      <c r="A1671" s="5" t="str">
        <f t="shared" si="30"/>
        <v>202308</v>
      </c>
      <c r="B1671" s="5" t="str">
        <f>"23085015807"</f>
        <v>23085015807</v>
      </c>
      <c r="C1671" s="6">
        <v>91.5</v>
      </c>
      <c r="D1671" s="6">
        <v>110</v>
      </c>
      <c r="E1671" s="6">
        <v>201.5</v>
      </c>
      <c r="F1671" s="11"/>
    </row>
    <row r="1672" spans="1:6">
      <c r="A1672" s="5" t="str">
        <f t="shared" si="30"/>
        <v>202308</v>
      </c>
      <c r="B1672" s="5" t="str">
        <f>"23085015313"</f>
        <v>23085015313</v>
      </c>
      <c r="C1672" s="6">
        <v>84</v>
      </c>
      <c r="D1672" s="6">
        <v>117.5</v>
      </c>
      <c r="E1672" s="6">
        <v>201.5</v>
      </c>
      <c r="F1672" s="11"/>
    </row>
    <row r="1673" spans="1:6">
      <c r="A1673" s="5" t="str">
        <f t="shared" si="30"/>
        <v>202308</v>
      </c>
      <c r="B1673" s="5" t="str">
        <f>"23085015905"</f>
        <v>23085015905</v>
      </c>
      <c r="C1673" s="6">
        <v>90</v>
      </c>
      <c r="D1673" s="6">
        <v>111.5</v>
      </c>
      <c r="E1673" s="6">
        <v>201.5</v>
      </c>
      <c r="F1673" s="11"/>
    </row>
    <row r="1674" spans="1:6">
      <c r="A1674" s="5" t="str">
        <f t="shared" si="30"/>
        <v>202308</v>
      </c>
      <c r="B1674" s="5" t="str">
        <f>"23085015222"</f>
        <v>23085015222</v>
      </c>
      <c r="C1674" s="6">
        <v>82.5</v>
      </c>
      <c r="D1674" s="6">
        <v>118.5</v>
      </c>
      <c r="E1674" s="6">
        <v>201</v>
      </c>
      <c r="F1674" s="11"/>
    </row>
    <row r="1675" spans="1:6">
      <c r="A1675" s="5" t="str">
        <f t="shared" si="30"/>
        <v>202308</v>
      </c>
      <c r="B1675" s="5" t="str">
        <f>"23085015510"</f>
        <v>23085015510</v>
      </c>
      <c r="C1675" s="6">
        <v>96</v>
      </c>
      <c r="D1675" s="6">
        <v>105</v>
      </c>
      <c r="E1675" s="6">
        <v>201</v>
      </c>
      <c r="F1675" s="11"/>
    </row>
    <row r="1676" spans="1:6">
      <c r="A1676" s="5" t="str">
        <f t="shared" si="30"/>
        <v>202308</v>
      </c>
      <c r="B1676" s="5" t="str">
        <f>"23085015530"</f>
        <v>23085015530</v>
      </c>
      <c r="C1676" s="6">
        <v>85.5</v>
      </c>
      <c r="D1676" s="6">
        <v>115.5</v>
      </c>
      <c r="E1676" s="6">
        <v>201</v>
      </c>
      <c r="F1676" s="11"/>
    </row>
    <row r="1677" spans="1:6">
      <c r="A1677" s="5" t="str">
        <f t="shared" si="30"/>
        <v>202308</v>
      </c>
      <c r="B1677" s="5" t="str">
        <f>"23085015711"</f>
        <v>23085015711</v>
      </c>
      <c r="C1677" s="6">
        <v>96</v>
      </c>
      <c r="D1677" s="6">
        <v>104</v>
      </c>
      <c r="E1677" s="6">
        <v>200</v>
      </c>
      <c r="F1677" s="11"/>
    </row>
    <row r="1678" spans="1:6">
      <c r="A1678" s="5" t="str">
        <f t="shared" si="30"/>
        <v>202308</v>
      </c>
      <c r="B1678" s="5" t="str">
        <f>"23085015822"</f>
        <v>23085015822</v>
      </c>
      <c r="C1678" s="6">
        <v>96</v>
      </c>
      <c r="D1678" s="6">
        <v>104</v>
      </c>
      <c r="E1678" s="6">
        <v>200</v>
      </c>
      <c r="F1678" s="11"/>
    </row>
    <row r="1679" spans="1:6">
      <c r="A1679" s="5" t="str">
        <f t="shared" si="30"/>
        <v>202308</v>
      </c>
      <c r="B1679" s="5" t="str">
        <f>"23085015907"</f>
        <v>23085015907</v>
      </c>
      <c r="C1679" s="6">
        <v>84</v>
      </c>
      <c r="D1679" s="6">
        <v>116</v>
      </c>
      <c r="E1679" s="6">
        <v>200</v>
      </c>
      <c r="F1679" s="11"/>
    </row>
    <row r="1680" spans="1:6">
      <c r="A1680" s="5" t="str">
        <f t="shared" si="30"/>
        <v>202308</v>
      </c>
      <c r="B1680" s="5" t="str">
        <f>"23085015723"</f>
        <v>23085015723</v>
      </c>
      <c r="C1680" s="6">
        <v>103.5</v>
      </c>
      <c r="D1680" s="6">
        <v>96.5</v>
      </c>
      <c r="E1680" s="6">
        <v>200</v>
      </c>
      <c r="F1680" s="11"/>
    </row>
    <row r="1681" spans="1:6">
      <c r="A1681" s="5" t="str">
        <f t="shared" si="30"/>
        <v>202308</v>
      </c>
      <c r="B1681" s="5" t="str">
        <f>"23085015410"</f>
        <v>23085015410</v>
      </c>
      <c r="C1681" s="6">
        <v>99</v>
      </c>
      <c r="D1681" s="6">
        <v>101</v>
      </c>
      <c r="E1681" s="6">
        <v>200</v>
      </c>
      <c r="F1681" s="11"/>
    </row>
    <row r="1682" spans="1:6">
      <c r="A1682" s="5" t="str">
        <f t="shared" si="30"/>
        <v>202308</v>
      </c>
      <c r="B1682" s="5" t="str">
        <f>"23085015728"</f>
        <v>23085015728</v>
      </c>
      <c r="C1682" s="6">
        <v>94.5</v>
      </c>
      <c r="D1682" s="6">
        <v>105.5</v>
      </c>
      <c r="E1682" s="6">
        <v>200</v>
      </c>
      <c r="F1682" s="11"/>
    </row>
    <row r="1683" spans="1:6">
      <c r="A1683" s="5" t="str">
        <f t="shared" si="30"/>
        <v>202308</v>
      </c>
      <c r="B1683" s="5" t="str">
        <f>"23085015408"</f>
        <v>23085015408</v>
      </c>
      <c r="C1683" s="6">
        <v>87</v>
      </c>
      <c r="D1683" s="6">
        <v>112.5</v>
      </c>
      <c r="E1683" s="6">
        <v>199.5</v>
      </c>
      <c r="F1683" s="11"/>
    </row>
    <row r="1684" spans="1:6">
      <c r="A1684" s="5" t="str">
        <f t="shared" si="30"/>
        <v>202308</v>
      </c>
      <c r="B1684" s="5" t="str">
        <f>"23085015618"</f>
        <v>23085015618</v>
      </c>
      <c r="C1684" s="6">
        <v>87</v>
      </c>
      <c r="D1684" s="6">
        <v>112.5</v>
      </c>
      <c r="E1684" s="6">
        <v>199.5</v>
      </c>
      <c r="F1684" s="11"/>
    </row>
    <row r="1685" spans="1:6">
      <c r="A1685" s="5" t="str">
        <f t="shared" si="30"/>
        <v>202308</v>
      </c>
      <c r="B1685" s="5" t="str">
        <f>"23085016018"</f>
        <v>23085016018</v>
      </c>
      <c r="C1685" s="6">
        <v>79.5</v>
      </c>
      <c r="D1685" s="6">
        <v>120</v>
      </c>
      <c r="E1685" s="6">
        <v>199.5</v>
      </c>
      <c r="F1685" s="11"/>
    </row>
    <row r="1686" spans="1:6">
      <c r="A1686" s="5" t="str">
        <f t="shared" ref="A1686:A1749" si="31">"202308"</f>
        <v>202308</v>
      </c>
      <c r="B1686" s="5" t="str">
        <f>"23085016010"</f>
        <v>23085016010</v>
      </c>
      <c r="C1686" s="6">
        <v>84</v>
      </c>
      <c r="D1686" s="6">
        <v>115.5</v>
      </c>
      <c r="E1686" s="6">
        <v>199.5</v>
      </c>
      <c r="F1686" s="11"/>
    </row>
    <row r="1687" spans="1:6">
      <c r="A1687" s="5" t="str">
        <f t="shared" si="31"/>
        <v>202308</v>
      </c>
      <c r="B1687" s="5" t="str">
        <f>"23085015214"</f>
        <v>23085015214</v>
      </c>
      <c r="C1687" s="6">
        <v>88.5</v>
      </c>
      <c r="D1687" s="6">
        <v>111</v>
      </c>
      <c r="E1687" s="6">
        <v>199.5</v>
      </c>
      <c r="F1687" s="11"/>
    </row>
    <row r="1688" spans="1:6">
      <c r="A1688" s="5" t="str">
        <f t="shared" si="31"/>
        <v>202308</v>
      </c>
      <c r="B1688" s="5" t="str">
        <f>"23085016016"</f>
        <v>23085016016</v>
      </c>
      <c r="C1688" s="6">
        <v>82.5</v>
      </c>
      <c r="D1688" s="6">
        <v>117</v>
      </c>
      <c r="E1688" s="6">
        <v>199.5</v>
      </c>
      <c r="F1688" s="11"/>
    </row>
    <row r="1689" spans="1:6">
      <c r="A1689" s="5" t="str">
        <f t="shared" si="31"/>
        <v>202308</v>
      </c>
      <c r="B1689" s="5" t="str">
        <f>"23085015126"</f>
        <v>23085015126</v>
      </c>
      <c r="C1689" s="6">
        <v>90</v>
      </c>
      <c r="D1689" s="6">
        <v>109</v>
      </c>
      <c r="E1689" s="6">
        <v>199</v>
      </c>
      <c r="F1689" s="11"/>
    </row>
    <row r="1690" spans="1:6">
      <c r="A1690" s="5" t="str">
        <f t="shared" si="31"/>
        <v>202308</v>
      </c>
      <c r="B1690" s="5" t="str">
        <f>"23085015729"</f>
        <v>23085015729</v>
      </c>
      <c r="C1690" s="6">
        <v>84</v>
      </c>
      <c r="D1690" s="6">
        <v>115</v>
      </c>
      <c r="E1690" s="6">
        <v>199</v>
      </c>
      <c r="F1690" s="11"/>
    </row>
    <row r="1691" spans="1:6">
      <c r="A1691" s="5" t="str">
        <f t="shared" si="31"/>
        <v>202308</v>
      </c>
      <c r="B1691" s="5" t="str">
        <f>"23085015611"</f>
        <v>23085015611</v>
      </c>
      <c r="C1691" s="6">
        <v>85.5</v>
      </c>
      <c r="D1691" s="6">
        <v>113.5</v>
      </c>
      <c r="E1691" s="6">
        <v>199</v>
      </c>
      <c r="F1691" s="11"/>
    </row>
    <row r="1692" spans="1:6">
      <c r="A1692" s="5" t="str">
        <f t="shared" si="31"/>
        <v>202308</v>
      </c>
      <c r="B1692" s="5" t="str">
        <f>"23085015921"</f>
        <v>23085015921</v>
      </c>
      <c r="C1692" s="6">
        <v>85.5</v>
      </c>
      <c r="D1692" s="6">
        <v>113.5</v>
      </c>
      <c r="E1692" s="6">
        <v>199</v>
      </c>
      <c r="F1692" s="11"/>
    </row>
    <row r="1693" spans="1:6">
      <c r="A1693" s="5" t="str">
        <f t="shared" si="31"/>
        <v>202308</v>
      </c>
      <c r="B1693" s="5" t="str">
        <f>"23085015329"</f>
        <v>23085015329</v>
      </c>
      <c r="C1693" s="6">
        <v>91.5</v>
      </c>
      <c r="D1693" s="6">
        <v>107.5</v>
      </c>
      <c r="E1693" s="6">
        <v>199</v>
      </c>
      <c r="F1693" s="11"/>
    </row>
    <row r="1694" spans="1:6">
      <c r="A1694" s="5" t="str">
        <f t="shared" si="31"/>
        <v>202308</v>
      </c>
      <c r="B1694" s="5" t="str">
        <f>"23085015523"</f>
        <v>23085015523</v>
      </c>
      <c r="C1694" s="6">
        <v>91.5</v>
      </c>
      <c r="D1694" s="6">
        <v>107.5</v>
      </c>
      <c r="E1694" s="6">
        <v>199</v>
      </c>
      <c r="F1694" s="11"/>
    </row>
    <row r="1695" spans="1:6">
      <c r="A1695" s="5" t="str">
        <f t="shared" si="31"/>
        <v>202308</v>
      </c>
      <c r="B1695" s="5" t="str">
        <f>"23085015712"</f>
        <v>23085015712</v>
      </c>
      <c r="C1695" s="6">
        <v>88.5</v>
      </c>
      <c r="D1695" s="6">
        <v>110</v>
      </c>
      <c r="E1695" s="6">
        <v>198.5</v>
      </c>
      <c r="F1695" s="11"/>
    </row>
    <row r="1696" spans="1:6">
      <c r="A1696" s="5" t="str">
        <f t="shared" si="31"/>
        <v>202308</v>
      </c>
      <c r="B1696" s="5" t="str">
        <f>"23085015210"</f>
        <v>23085015210</v>
      </c>
      <c r="C1696" s="6">
        <v>84</v>
      </c>
      <c r="D1696" s="6">
        <v>114.5</v>
      </c>
      <c r="E1696" s="6">
        <v>198.5</v>
      </c>
      <c r="F1696" s="11"/>
    </row>
    <row r="1697" spans="1:6">
      <c r="A1697" s="5" t="str">
        <f t="shared" si="31"/>
        <v>202308</v>
      </c>
      <c r="B1697" s="5" t="str">
        <f>"23085015719"</f>
        <v>23085015719</v>
      </c>
      <c r="C1697" s="6">
        <v>96</v>
      </c>
      <c r="D1697" s="6">
        <v>101.5</v>
      </c>
      <c r="E1697" s="6">
        <v>197.5</v>
      </c>
      <c r="F1697" s="11"/>
    </row>
    <row r="1698" spans="1:6">
      <c r="A1698" s="5" t="str">
        <f t="shared" si="31"/>
        <v>202308</v>
      </c>
      <c r="B1698" s="5" t="str">
        <f>"23085015718"</f>
        <v>23085015718</v>
      </c>
      <c r="C1698" s="6">
        <v>85.5</v>
      </c>
      <c r="D1698" s="6">
        <v>112</v>
      </c>
      <c r="E1698" s="6">
        <v>197.5</v>
      </c>
      <c r="F1698" s="11"/>
    </row>
    <row r="1699" spans="1:6">
      <c r="A1699" s="5" t="str">
        <f t="shared" si="31"/>
        <v>202308</v>
      </c>
      <c r="B1699" s="5" t="str">
        <f>"23085015310"</f>
        <v>23085015310</v>
      </c>
      <c r="C1699" s="6">
        <v>81</v>
      </c>
      <c r="D1699" s="6">
        <v>116.5</v>
      </c>
      <c r="E1699" s="6">
        <v>197.5</v>
      </c>
      <c r="F1699" s="11"/>
    </row>
    <row r="1700" spans="1:6">
      <c r="A1700" s="5" t="str">
        <f t="shared" si="31"/>
        <v>202308</v>
      </c>
      <c r="B1700" s="5" t="str">
        <f>"23085015301"</f>
        <v>23085015301</v>
      </c>
      <c r="C1700" s="6">
        <v>76.5</v>
      </c>
      <c r="D1700" s="6">
        <v>121</v>
      </c>
      <c r="E1700" s="6">
        <v>197.5</v>
      </c>
      <c r="F1700" s="11"/>
    </row>
    <row r="1701" spans="1:6">
      <c r="A1701" s="5" t="str">
        <f t="shared" si="31"/>
        <v>202308</v>
      </c>
      <c r="B1701" s="5" t="str">
        <f>"23085016122"</f>
        <v>23085016122</v>
      </c>
      <c r="C1701" s="6">
        <v>93</v>
      </c>
      <c r="D1701" s="6">
        <v>104</v>
      </c>
      <c r="E1701" s="6">
        <v>197</v>
      </c>
      <c r="F1701" s="11"/>
    </row>
    <row r="1702" spans="1:6">
      <c r="A1702" s="5" t="str">
        <f t="shared" si="31"/>
        <v>202308</v>
      </c>
      <c r="B1702" s="5" t="str">
        <f>"23085015419"</f>
        <v>23085015419</v>
      </c>
      <c r="C1702" s="6">
        <v>99</v>
      </c>
      <c r="D1702" s="6">
        <v>97.5</v>
      </c>
      <c r="E1702" s="6">
        <v>196.5</v>
      </c>
      <c r="F1702" s="11"/>
    </row>
    <row r="1703" spans="1:6">
      <c r="A1703" s="5" t="str">
        <f t="shared" si="31"/>
        <v>202308</v>
      </c>
      <c r="B1703" s="5" t="str">
        <f>"23085015120"</f>
        <v>23085015120</v>
      </c>
      <c r="C1703" s="6">
        <v>84</v>
      </c>
      <c r="D1703" s="6">
        <v>112</v>
      </c>
      <c r="E1703" s="6">
        <v>196</v>
      </c>
      <c r="F1703" s="11"/>
    </row>
    <row r="1704" spans="1:6">
      <c r="A1704" s="5" t="str">
        <f t="shared" si="31"/>
        <v>202308</v>
      </c>
      <c r="B1704" s="5" t="str">
        <f>"23085015821"</f>
        <v>23085015821</v>
      </c>
      <c r="C1704" s="6">
        <v>93</v>
      </c>
      <c r="D1704" s="6">
        <v>102.5</v>
      </c>
      <c r="E1704" s="6">
        <v>195.5</v>
      </c>
      <c r="F1704" s="11"/>
    </row>
    <row r="1705" spans="1:6">
      <c r="A1705" s="5" t="str">
        <f t="shared" si="31"/>
        <v>202308</v>
      </c>
      <c r="B1705" s="5" t="str">
        <f>"23085016014"</f>
        <v>23085016014</v>
      </c>
      <c r="C1705" s="6">
        <v>78</v>
      </c>
      <c r="D1705" s="6">
        <v>117.5</v>
      </c>
      <c r="E1705" s="6">
        <v>195.5</v>
      </c>
      <c r="F1705" s="11"/>
    </row>
    <row r="1706" spans="1:6">
      <c r="A1706" s="5" t="str">
        <f t="shared" si="31"/>
        <v>202308</v>
      </c>
      <c r="B1706" s="5" t="str">
        <f>"23085016006"</f>
        <v>23085016006</v>
      </c>
      <c r="C1706" s="6">
        <v>82.5</v>
      </c>
      <c r="D1706" s="6">
        <v>112.5</v>
      </c>
      <c r="E1706" s="6">
        <v>195</v>
      </c>
      <c r="F1706" s="11"/>
    </row>
    <row r="1707" spans="1:6">
      <c r="A1707" s="5" t="str">
        <f t="shared" si="31"/>
        <v>202308</v>
      </c>
      <c r="B1707" s="5" t="str">
        <f>"23085015707"</f>
        <v>23085015707</v>
      </c>
      <c r="C1707" s="6">
        <v>81</v>
      </c>
      <c r="D1707" s="6">
        <v>114</v>
      </c>
      <c r="E1707" s="6">
        <v>195</v>
      </c>
      <c r="F1707" s="11"/>
    </row>
    <row r="1708" spans="1:6">
      <c r="A1708" s="5" t="str">
        <f t="shared" si="31"/>
        <v>202308</v>
      </c>
      <c r="B1708" s="5" t="str">
        <f>"23085016101"</f>
        <v>23085016101</v>
      </c>
      <c r="C1708" s="6">
        <v>84</v>
      </c>
      <c r="D1708" s="6">
        <v>110</v>
      </c>
      <c r="E1708" s="6">
        <v>194</v>
      </c>
      <c r="F1708" s="11"/>
    </row>
    <row r="1709" spans="1:6">
      <c r="A1709" s="5" t="str">
        <f t="shared" si="31"/>
        <v>202308</v>
      </c>
      <c r="B1709" s="5" t="str">
        <f>"23085016108"</f>
        <v>23085016108</v>
      </c>
      <c r="C1709" s="6">
        <v>96</v>
      </c>
      <c r="D1709" s="6">
        <v>97.5</v>
      </c>
      <c r="E1709" s="6">
        <v>193.5</v>
      </c>
      <c r="F1709" s="11"/>
    </row>
    <row r="1710" spans="1:6">
      <c r="A1710" s="5" t="str">
        <f t="shared" si="31"/>
        <v>202308</v>
      </c>
      <c r="B1710" s="5" t="str">
        <f>"23085016201"</f>
        <v>23085016201</v>
      </c>
      <c r="C1710" s="6">
        <v>84</v>
      </c>
      <c r="D1710" s="6">
        <v>108.5</v>
      </c>
      <c r="E1710" s="6">
        <v>192.5</v>
      </c>
      <c r="F1710" s="11"/>
    </row>
    <row r="1711" spans="1:6">
      <c r="A1711" s="5" t="str">
        <f t="shared" si="31"/>
        <v>202308</v>
      </c>
      <c r="B1711" s="5" t="str">
        <f>"23085015428"</f>
        <v>23085015428</v>
      </c>
      <c r="C1711" s="6">
        <v>93</v>
      </c>
      <c r="D1711" s="6">
        <v>99.5</v>
      </c>
      <c r="E1711" s="6">
        <v>192.5</v>
      </c>
      <c r="F1711" s="11"/>
    </row>
    <row r="1712" spans="1:6">
      <c r="A1712" s="5" t="str">
        <f t="shared" si="31"/>
        <v>202308</v>
      </c>
      <c r="B1712" s="5" t="str">
        <f>"23085016211"</f>
        <v>23085016211</v>
      </c>
      <c r="C1712" s="6">
        <v>93</v>
      </c>
      <c r="D1712" s="6">
        <v>99.5</v>
      </c>
      <c r="E1712" s="6">
        <v>192.5</v>
      </c>
      <c r="F1712" s="11"/>
    </row>
    <row r="1713" spans="1:6">
      <c r="A1713" s="5" t="str">
        <f t="shared" si="31"/>
        <v>202308</v>
      </c>
      <c r="B1713" s="5" t="str">
        <f>"23085015901"</f>
        <v>23085015901</v>
      </c>
      <c r="C1713" s="6">
        <v>75</v>
      </c>
      <c r="D1713" s="6">
        <v>117</v>
      </c>
      <c r="E1713" s="6">
        <v>192</v>
      </c>
      <c r="F1713" s="11"/>
    </row>
    <row r="1714" spans="1:6">
      <c r="A1714" s="5" t="str">
        <f t="shared" si="31"/>
        <v>202308</v>
      </c>
      <c r="B1714" s="5" t="str">
        <f>"23085015928"</f>
        <v>23085015928</v>
      </c>
      <c r="C1714" s="6">
        <v>88.5</v>
      </c>
      <c r="D1714" s="6">
        <v>103.5</v>
      </c>
      <c r="E1714" s="6">
        <v>192</v>
      </c>
      <c r="F1714" s="11"/>
    </row>
    <row r="1715" spans="1:6">
      <c r="A1715" s="5" t="str">
        <f t="shared" si="31"/>
        <v>202308</v>
      </c>
      <c r="B1715" s="5" t="str">
        <f>"23085016126"</f>
        <v>23085016126</v>
      </c>
      <c r="C1715" s="6">
        <v>82.5</v>
      </c>
      <c r="D1715" s="6">
        <v>109.5</v>
      </c>
      <c r="E1715" s="6">
        <v>192</v>
      </c>
      <c r="F1715" s="11"/>
    </row>
    <row r="1716" spans="1:6">
      <c r="A1716" s="5" t="str">
        <f t="shared" si="31"/>
        <v>202308</v>
      </c>
      <c r="B1716" s="5" t="str">
        <f>"23085016116"</f>
        <v>23085016116</v>
      </c>
      <c r="C1716" s="6">
        <v>111</v>
      </c>
      <c r="D1716" s="6">
        <v>80.5</v>
      </c>
      <c r="E1716" s="6">
        <v>191.5</v>
      </c>
      <c r="F1716" s="11"/>
    </row>
    <row r="1717" spans="1:6">
      <c r="A1717" s="5" t="str">
        <f t="shared" si="31"/>
        <v>202308</v>
      </c>
      <c r="B1717" s="5" t="str">
        <f>"23085015529"</f>
        <v>23085015529</v>
      </c>
      <c r="C1717" s="6">
        <v>76.5</v>
      </c>
      <c r="D1717" s="6">
        <v>115</v>
      </c>
      <c r="E1717" s="6">
        <v>191.5</v>
      </c>
      <c r="F1717" s="11"/>
    </row>
    <row r="1718" spans="1:6">
      <c r="A1718" s="5" t="str">
        <f t="shared" si="31"/>
        <v>202308</v>
      </c>
      <c r="B1718" s="5" t="str">
        <f>"23085015314"</f>
        <v>23085015314</v>
      </c>
      <c r="C1718" s="6">
        <v>82.5</v>
      </c>
      <c r="D1718" s="6">
        <v>108.5</v>
      </c>
      <c r="E1718" s="6">
        <v>191</v>
      </c>
      <c r="F1718" s="11"/>
    </row>
    <row r="1719" spans="1:6">
      <c r="A1719" s="5" t="str">
        <f t="shared" si="31"/>
        <v>202308</v>
      </c>
      <c r="B1719" s="5" t="str">
        <f>"23085015409"</f>
        <v>23085015409</v>
      </c>
      <c r="C1719" s="6">
        <v>90</v>
      </c>
      <c r="D1719" s="6">
        <v>101</v>
      </c>
      <c r="E1719" s="6">
        <v>191</v>
      </c>
      <c r="F1719" s="11"/>
    </row>
    <row r="1720" spans="1:6">
      <c r="A1720" s="5" t="str">
        <f t="shared" si="31"/>
        <v>202308</v>
      </c>
      <c r="B1720" s="5" t="str">
        <f>"23085015903"</f>
        <v>23085015903</v>
      </c>
      <c r="C1720" s="6">
        <v>88.5</v>
      </c>
      <c r="D1720" s="6">
        <v>102.5</v>
      </c>
      <c r="E1720" s="6">
        <v>191</v>
      </c>
      <c r="F1720" s="11"/>
    </row>
    <row r="1721" spans="1:6">
      <c r="A1721" s="5" t="str">
        <f t="shared" si="31"/>
        <v>202308</v>
      </c>
      <c r="B1721" s="5" t="str">
        <f>"23085015828"</f>
        <v>23085015828</v>
      </c>
      <c r="C1721" s="6">
        <v>97.5</v>
      </c>
      <c r="D1721" s="6">
        <v>93</v>
      </c>
      <c r="E1721" s="6">
        <v>190.5</v>
      </c>
      <c r="F1721" s="11"/>
    </row>
    <row r="1722" spans="1:6">
      <c r="A1722" s="5" t="str">
        <f t="shared" si="31"/>
        <v>202308</v>
      </c>
      <c r="B1722" s="5" t="str">
        <f>"23085016114"</f>
        <v>23085016114</v>
      </c>
      <c r="C1722" s="6">
        <v>76.5</v>
      </c>
      <c r="D1722" s="6">
        <v>114</v>
      </c>
      <c r="E1722" s="6">
        <v>190.5</v>
      </c>
      <c r="F1722" s="11"/>
    </row>
    <row r="1723" spans="1:6">
      <c r="A1723" s="5" t="str">
        <f t="shared" si="31"/>
        <v>202308</v>
      </c>
      <c r="B1723" s="5" t="str">
        <f>"23085015628"</f>
        <v>23085015628</v>
      </c>
      <c r="C1723" s="6">
        <v>79.5</v>
      </c>
      <c r="D1723" s="6">
        <v>111</v>
      </c>
      <c r="E1723" s="6">
        <v>190.5</v>
      </c>
      <c r="F1723" s="11"/>
    </row>
    <row r="1724" spans="1:6">
      <c r="A1724" s="5" t="str">
        <f t="shared" si="31"/>
        <v>202308</v>
      </c>
      <c r="B1724" s="5" t="str">
        <f>"23085016121"</f>
        <v>23085016121</v>
      </c>
      <c r="C1724" s="6">
        <v>79.5</v>
      </c>
      <c r="D1724" s="6">
        <v>110.5</v>
      </c>
      <c r="E1724" s="6">
        <v>190</v>
      </c>
      <c r="F1724" s="11"/>
    </row>
    <row r="1725" spans="1:6">
      <c r="A1725" s="5" t="str">
        <f t="shared" si="31"/>
        <v>202308</v>
      </c>
      <c r="B1725" s="5" t="str">
        <f>"23085015910"</f>
        <v>23085015910</v>
      </c>
      <c r="C1725" s="6">
        <v>79.5</v>
      </c>
      <c r="D1725" s="6">
        <v>109</v>
      </c>
      <c r="E1725" s="6">
        <v>188.5</v>
      </c>
      <c r="F1725" s="11"/>
    </row>
    <row r="1726" spans="1:6">
      <c r="A1726" s="5" t="str">
        <f t="shared" si="31"/>
        <v>202308</v>
      </c>
      <c r="B1726" s="5" t="str">
        <f>"23085015303"</f>
        <v>23085015303</v>
      </c>
      <c r="C1726" s="6">
        <v>78</v>
      </c>
      <c r="D1726" s="6">
        <v>110</v>
      </c>
      <c r="E1726" s="6">
        <v>188</v>
      </c>
      <c r="F1726" s="11"/>
    </row>
    <row r="1727" spans="1:6">
      <c r="A1727" s="5" t="str">
        <f t="shared" si="31"/>
        <v>202308</v>
      </c>
      <c r="B1727" s="5" t="str">
        <f>"23085015710"</f>
        <v>23085015710</v>
      </c>
      <c r="C1727" s="6">
        <v>94.5</v>
      </c>
      <c r="D1727" s="6">
        <v>93.5</v>
      </c>
      <c r="E1727" s="6">
        <v>188</v>
      </c>
      <c r="F1727" s="11"/>
    </row>
    <row r="1728" spans="1:6">
      <c r="A1728" s="5" t="str">
        <f t="shared" si="31"/>
        <v>202308</v>
      </c>
      <c r="B1728" s="5" t="str">
        <f>"23085015524"</f>
        <v>23085015524</v>
      </c>
      <c r="C1728" s="6">
        <v>75</v>
      </c>
      <c r="D1728" s="6">
        <v>112.5</v>
      </c>
      <c r="E1728" s="6">
        <v>187.5</v>
      </c>
      <c r="F1728" s="11"/>
    </row>
    <row r="1729" spans="1:6">
      <c r="A1729" s="5" t="str">
        <f t="shared" si="31"/>
        <v>202308</v>
      </c>
      <c r="B1729" s="5" t="str">
        <f>"23085015414"</f>
        <v>23085015414</v>
      </c>
      <c r="C1729" s="6">
        <v>87</v>
      </c>
      <c r="D1729" s="6">
        <v>100</v>
      </c>
      <c r="E1729" s="6">
        <v>187</v>
      </c>
      <c r="F1729" s="11"/>
    </row>
    <row r="1730" spans="1:6">
      <c r="A1730" s="5" t="str">
        <f t="shared" si="31"/>
        <v>202308</v>
      </c>
      <c r="B1730" s="5" t="str">
        <f>"23085015027"</f>
        <v>23085015027</v>
      </c>
      <c r="C1730" s="6">
        <v>103.5</v>
      </c>
      <c r="D1730" s="6">
        <v>83.5</v>
      </c>
      <c r="E1730" s="6">
        <v>187</v>
      </c>
      <c r="F1730" s="11"/>
    </row>
    <row r="1731" spans="1:6">
      <c r="A1731" s="5" t="str">
        <f t="shared" si="31"/>
        <v>202308</v>
      </c>
      <c r="B1731" s="5" t="str">
        <f>"23085016109"</f>
        <v>23085016109</v>
      </c>
      <c r="C1731" s="6">
        <v>85.5</v>
      </c>
      <c r="D1731" s="6">
        <v>100</v>
      </c>
      <c r="E1731" s="6">
        <v>185.5</v>
      </c>
      <c r="F1731" s="11"/>
    </row>
    <row r="1732" spans="1:6">
      <c r="A1732" s="5" t="str">
        <f t="shared" si="31"/>
        <v>202308</v>
      </c>
      <c r="B1732" s="5" t="str">
        <f>"23085015127"</f>
        <v>23085015127</v>
      </c>
      <c r="C1732" s="6">
        <v>70.5</v>
      </c>
      <c r="D1732" s="6">
        <v>114.5</v>
      </c>
      <c r="E1732" s="6">
        <v>185</v>
      </c>
      <c r="F1732" s="11"/>
    </row>
    <row r="1733" spans="1:6">
      <c r="A1733" s="5" t="str">
        <f t="shared" si="31"/>
        <v>202308</v>
      </c>
      <c r="B1733" s="5" t="str">
        <f>"23085016110"</f>
        <v>23085016110</v>
      </c>
      <c r="C1733" s="6">
        <v>79.5</v>
      </c>
      <c r="D1733" s="6">
        <v>105</v>
      </c>
      <c r="E1733" s="6">
        <v>184.5</v>
      </c>
      <c r="F1733" s="11"/>
    </row>
    <row r="1734" spans="1:6">
      <c r="A1734" s="5" t="str">
        <f t="shared" si="31"/>
        <v>202308</v>
      </c>
      <c r="B1734" s="5" t="str">
        <f>"23085015114"</f>
        <v>23085015114</v>
      </c>
      <c r="C1734" s="6">
        <v>75</v>
      </c>
      <c r="D1734" s="6">
        <v>109.5</v>
      </c>
      <c r="E1734" s="6">
        <v>184.5</v>
      </c>
      <c r="F1734" s="11"/>
    </row>
    <row r="1735" spans="1:6">
      <c r="A1735" s="5" t="str">
        <f t="shared" si="31"/>
        <v>202308</v>
      </c>
      <c r="B1735" s="5" t="str">
        <f>"23085015717"</f>
        <v>23085015717</v>
      </c>
      <c r="C1735" s="6">
        <v>85.5</v>
      </c>
      <c r="D1735" s="6">
        <v>99</v>
      </c>
      <c r="E1735" s="6">
        <v>184.5</v>
      </c>
      <c r="F1735" s="11"/>
    </row>
    <row r="1736" spans="1:6">
      <c r="A1736" s="5" t="str">
        <f t="shared" si="31"/>
        <v>202308</v>
      </c>
      <c r="B1736" s="5" t="str">
        <f>"23085016027"</f>
        <v>23085016027</v>
      </c>
      <c r="C1736" s="6">
        <v>78</v>
      </c>
      <c r="D1736" s="6">
        <v>106</v>
      </c>
      <c r="E1736" s="6">
        <v>184</v>
      </c>
      <c r="F1736" s="11"/>
    </row>
    <row r="1737" spans="1:6">
      <c r="A1737" s="5" t="str">
        <f t="shared" si="31"/>
        <v>202308</v>
      </c>
      <c r="B1737" s="5" t="str">
        <f>"23085016124"</f>
        <v>23085016124</v>
      </c>
      <c r="C1737" s="6">
        <v>84</v>
      </c>
      <c r="D1737" s="6">
        <v>100</v>
      </c>
      <c r="E1737" s="6">
        <v>184</v>
      </c>
      <c r="F1737" s="11"/>
    </row>
    <row r="1738" spans="1:6">
      <c r="A1738" s="5" t="str">
        <f t="shared" si="31"/>
        <v>202308</v>
      </c>
      <c r="B1738" s="5" t="str">
        <f>"23085015802"</f>
        <v>23085015802</v>
      </c>
      <c r="C1738" s="6">
        <v>69</v>
      </c>
      <c r="D1738" s="6">
        <v>115</v>
      </c>
      <c r="E1738" s="6">
        <v>184</v>
      </c>
      <c r="F1738" s="11"/>
    </row>
    <row r="1739" spans="1:6">
      <c r="A1739" s="5" t="str">
        <f t="shared" si="31"/>
        <v>202308</v>
      </c>
      <c r="B1739" s="5" t="str">
        <f>"23085016115"</f>
        <v>23085016115</v>
      </c>
      <c r="C1739" s="6">
        <v>64.5</v>
      </c>
      <c r="D1739" s="6">
        <v>118.5</v>
      </c>
      <c r="E1739" s="6">
        <v>183</v>
      </c>
      <c r="F1739" s="11"/>
    </row>
    <row r="1740" spans="1:6">
      <c r="A1740" s="5" t="str">
        <f t="shared" si="31"/>
        <v>202308</v>
      </c>
      <c r="B1740" s="5" t="str">
        <f>"23085015025"</f>
        <v>23085015025</v>
      </c>
      <c r="C1740" s="6">
        <v>72</v>
      </c>
      <c r="D1740" s="6">
        <v>111</v>
      </c>
      <c r="E1740" s="6">
        <v>183</v>
      </c>
      <c r="F1740" s="11"/>
    </row>
    <row r="1741" spans="1:6">
      <c r="A1741" s="5" t="str">
        <f t="shared" si="31"/>
        <v>202308</v>
      </c>
      <c r="B1741" s="5" t="str">
        <f>"23085015201"</f>
        <v>23085015201</v>
      </c>
      <c r="C1741" s="6">
        <v>72</v>
      </c>
      <c r="D1741" s="6">
        <v>111</v>
      </c>
      <c r="E1741" s="6">
        <v>183</v>
      </c>
      <c r="F1741" s="11"/>
    </row>
    <row r="1742" spans="1:6">
      <c r="A1742" s="5" t="str">
        <f t="shared" si="31"/>
        <v>202308</v>
      </c>
      <c r="B1742" s="5" t="str">
        <f>"23085015424"</f>
        <v>23085015424</v>
      </c>
      <c r="C1742" s="6">
        <v>70.5</v>
      </c>
      <c r="D1742" s="6">
        <v>111.5</v>
      </c>
      <c r="E1742" s="6">
        <v>182</v>
      </c>
      <c r="F1742" s="11"/>
    </row>
    <row r="1743" spans="1:6">
      <c r="A1743" s="5" t="str">
        <f t="shared" si="31"/>
        <v>202308</v>
      </c>
      <c r="B1743" s="5" t="str">
        <f>"23085015528"</f>
        <v>23085015528</v>
      </c>
      <c r="C1743" s="6">
        <v>72</v>
      </c>
      <c r="D1743" s="6">
        <v>109.5</v>
      </c>
      <c r="E1743" s="6">
        <v>181.5</v>
      </c>
      <c r="F1743" s="11"/>
    </row>
    <row r="1744" spans="1:6">
      <c r="A1744" s="5" t="str">
        <f t="shared" si="31"/>
        <v>202308</v>
      </c>
      <c r="B1744" s="5" t="str">
        <f>"23085015405"</f>
        <v>23085015405</v>
      </c>
      <c r="C1744" s="6">
        <v>69</v>
      </c>
      <c r="D1744" s="6">
        <v>112.5</v>
      </c>
      <c r="E1744" s="6">
        <v>181.5</v>
      </c>
      <c r="F1744" s="11"/>
    </row>
    <row r="1745" spans="1:6">
      <c r="A1745" s="5" t="str">
        <f t="shared" si="31"/>
        <v>202308</v>
      </c>
      <c r="B1745" s="5" t="str">
        <f>"23085015911"</f>
        <v>23085015911</v>
      </c>
      <c r="C1745" s="6">
        <v>84</v>
      </c>
      <c r="D1745" s="6">
        <v>94</v>
      </c>
      <c r="E1745" s="6">
        <v>178</v>
      </c>
      <c r="F1745" s="11"/>
    </row>
    <row r="1746" spans="1:6">
      <c r="A1746" s="5" t="str">
        <f t="shared" si="31"/>
        <v>202308</v>
      </c>
      <c r="B1746" s="5" t="str">
        <f>"23085015709"</f>
        <v>23085015709</v>
      </c>
      <c r="C1746" s="6">
        <v>66</v>
      </c>
      <c r="D1746" s="6">
        <v>108.5</v>
      </c>
      <c r="E1746" s="6">
        <v>174.5</v>
      </c>
      <c r="F1746" s="11"/>
    </row>
    <row r="1747" spans="1:6">
      <c r="A1747" s="5" t="str">
        <f t="shared" si="31"/>
        <v>202308</v>
      </c>
      <c r="B1747" s="5" t="str">
        <f>"23085015926"</f>
        <v>23085015926</v>
      </c>
      <c r="C1747" s="6">
        <v>61.5</v>
      </c>
      <c r="D1747" s="6">
        <v>112</v>
      </c>
      <c r="E1747" s="6">
        <v>173.5</v>
      </c>
      <c r="F1747" s="11"/>
    </row>
    <row r="1748" spans="1:6">
      <c r="A1748" s="5" t="str">
        <f t="shared" si="31"/>
        <v>202308</v>
      </c>
      <c r="B1748" s="5" t="str">
        <f>"23085015104"</f>
        <v>23085015104</v>
      </c>
      <c r="C1748" s="6">
        <v>61.5</v>
      </c>
      <c r="D1748" s="6">
        <v>111.5</v>
      </c>
      <c r="E1748" s="6">
        <v>173</v>
      </c>
      <c r="F1748" s="11"/>
    </row>
    <row r="1749" spans="1:6">
      <c r="A1749" s="5" t="str">
        <f t="shared" si="31"/>
        <v>202308</v>
      </c>
      <c r="B1749" s="5" t="str">
        <f>"23085015323"</f>
        <v>23085015323</v>
      </c>
      <c r="C1749" s="6">
        <v>72</v>
      </c>
      <c r="D1749" s="6">
        <v>101</v>
      </c>
      <c r="E1749" s="6">
        <v>173</v>
      </c>
      <c r="F1749" s="11"/>
    </row>
    <row r="1750" spans="1:6">
      <c r="A1750" s="5" t="str">
        <f t="shared" ref="A1750:A1813" si="32">"202308"</f>
        <v>202308</v>
      </c>
      <c r="B1750" s="5" t="str">
        <f>"23085015326"</f>
        <v>23085015326</v>
      </c>
      <c r="C1750" s="6">
        <v>70.5</v>
      </c>
      <c r="D1750" s="6">
        <v>102</v>
      </c>
      <c r="E1750" s="6">
        <v>172.5</v>
      </c>
      <c r="F1750" s="11"/>
    </row>
    <row r="1751" spans="1:6">
      <c r="A1751" s="5" t="str">
        <f t="shared" si="32"/>
        <v>202308</v>
      </c>
      <c r="B1751" s="5" t="str">
        <f>"23085015124"</f>
        <v>23085015124</v>
      </c>
      <c r="C1751" s="6">
        <v>69</v>
      </c>
      <c r="D1751" s="6">
        <v>103</v>
      </c>
      <c r="E1751" s="6">
        <v>172</v>
      </c>
      <c r="F1751" s="11"/>
    </row>
    <row r="1752" spans="1:6">
      <c r="A1752" s="5" t="str">
        <f t="shared" si="32"/>
        <v>202308</v>
      </c>
      <c r="B1752" s="5" t="str">
        <f>"23085015925"</f>
        <v>23085015925</v>
      </c>
      <c r="C1752" s="6">
        <v>67.5</v>
      </c>
      <c r="D1752" s="6">
        <v>103.5</v>
      </c>
      <c r="E1752" s="6">
        <v>171</v>
      </c>
      <c r="F1752" s="11"/>
    </row>
    <row r="1753" spans="1:6">
      <c r="A1753" s="5" t="str">
        <f t="shared" si="32"/>
        <v>202308</v>
      </c>
      <c r="B1753" s="5" t="str">
        <f>"23085015117"</f>
        <v>23085015117</v>
      </c>
      <c r="C1753" s="6">
        <v>69</v>
      </c>
      <c r="D1753" s="6">
        <v>101</v>
      </c>
      <c r="E1753" s="6">
        <v>170</v>
      </c>
      <c r="F1753" s="11"/>
    </row>
    <row r="1754" spans="1:6">
      <c r="A1754" s="5" t="str">
        <f t="shared" si="32"/>
        <v>202308</v>
      </c>
      <c r="B1754" s="5" t="str">
        <f>"23085016030"</f>
        <v>23085016030</v>
      </c>
      <c r="C1754" s="6">
        <v>67.5</v>
      </c>
      <c r="D1754" s="6">
        <v>98.5</v>
      </c>
      <c r="E1754" s="6">
        <v>166</v>
      </c>
      <c r="F1754" s="11"/>
    </row>
    <row r="1755" spans="1:6">
      <c r="A1755" s="5" t="str">
        <f t="shared" si="32"/>
        <v>202308</v>
      </c>
      <c r="B1755" s="5" t="str">
        <f>"23085015130"</f>
        <v>23085015130</v>
      </c>
      <c r="C1755" s="6">
        <v>73.5</v>
      </c>
      <c r="D1755" s="6">
        <v>92.5</v>
      </c>
      <c r="E1755" s="6">
        <v>166</v>
      </c>
      <c r="F1755" s="11"/>
    </row>
    <row r="1756" spans="1:6">
      <c r="A1756" s="5" t="str">
        <f t="shared" si="32"/>
        <v>202308</v>
      </c>
      <c r="B1756" s="5" t="str">
        <f>"23085015814"</f>
        <v>23085015814</v>
      </c>
      <c r="C1756" s="6">
        <v>61.5</v>
      </c>
      <c r="D1756" s="6">
        <v>101.5</v>
      </c>
      <c r="E1756" s="6">
        <v>163</v>
      </c>
      <c r="F1756" s="11"/>
    </row>
    <row r="1757" spans="1:6">
      <c r="A1757" s="5" t="str">
        <f t="shared" si="32"/>
        <v>202308</v>
      </c>
      <c r="B1757" s="5" t="str">
        <f>"23085015504"</f>
        <v>23085015504</v>
      </c>
      <c r="C1757" s="6">
        <v>52.5</v>
      </c>
      <c r="D1757" s="6">
        <v>97.5</v>
      </c>
      <c r="E1757" s="6">
        <v>150</v>
      </c>
      <c r="F1757" s="11"/>
    </row>
    <row r="1758" spans="1:6">
      <c r="A1758" s="5" t="str">
        <f t="shared" si="32"/>
        <v>202308</v>
      </c>
      <c r="B1758" s="5" t="str">
        <f>"23085015708"</f>
        <v>23085015708</v>
      </c>
      <c r="C1758" s="6">
        <v>70.5</v>
      </c>
      <c r="D1758" s="6">
        <v>68.5</v>
      </c>
      <c r="E1758" s="6">
        <v>139</v>
      </c>
      <c r="F1758" s="11"/>
    </row>
    <row r="1759" spans="1:6">
      <c r="A1759" s="5" t="str">
        <f t="shared" si="32"/>
        <v>202308</v>
      </c>
      <c r="B1759" s="5" t="str">
        <f>"23085016127"</f>
        <v>23085016127</v>
      </c>
      <c r="C1759" s="6">
        <v>58.5</v>
      </c>
      <c r="D1759" s="6">
        <v>77</v>
      </c>
      <c r="E1759" s="6">
        <v>135.5</v>
      </c>
      <c r="F1759" s="11"/>
    </row>
    <row r="1760" spans="1:6">
      <c r="A1760" s="5" t="str">
        <f t="shared" si="32"/>
        <v>202308</v>
      </c>
      <c r="B1760" s="5" t="str">
        <f>"23085015705"</f>
        <v>23085015705</v>
      </c>
      <c r="C1760" s="6">
        <v>57</v>
      </c>
      <c r="D1760" s="6">
        <v>19.5</v>
      </c>
      <c r="E1760" s="6">
        <v>76.5</v>
      </c>
      <c r="F1760" s="11"/>
    </row>
    <row r="1761" spans="1:6">
      <c r="A1761" s="5" t="str">
        <f t="shared" si="32"/>
        <v>202308</v>
      </c>
      <c r="B1761" s="5" t="str">
        <f>"23085015915"</f>
        <v>23085015915</v>
      </c>
      <c r="C1761" s="6">
        <v>67.5</v>
      </c>
      <c r="D1761" s="6">
        <v>0</v>
      </c>
      <c r="E1761" s="6">
        <v>67.5</v>
      </c>
      <c r="F1761" s="11"/>
    </row>
    <row r="1762" spans="1:6">
      <c r="A1762" s="5" t="str">
        <f t="shared" si="32"/>
        <v>202308</v>
      </c>
      <c r="B1762" s="5" t="str">
        <f>"23085015704"</f>
        <v>23085015704</v>
      </c>
      <c r="C1762" s="6">
        <v>0</v>
      </c>
      <c r="D1762" s="6">
        <v>0</v>
      </c>
      <c r="E1762" s="6">
        <v>0</v>
      </c>
      <c r="F1762" s="11" t="s">
        <v>7</v>
      </c>
    </row>
    <row r="1763" spans="1:6">
      <c r="A1763" s="5" t="str">
        <f t="shared" si="32"/>
        <v>202308</v>
      </c>
      <c r="B1763" s="5" t="str">
        <f>"23085015415"</f>
        <v>23085015415</v>
      </c>
      <c r="C1763" s="6">
        <v>0</v>
      </c>
      <c r="D1763" s="6">
        <v>0</v>
      </c>
      <c r="E1763" s="6">
        <v>0</v>
      </c>
      <c r="F1763" s="11" t="s">
        <v>7</v>
      </c>
    </row>
    <row r="1764" spans="1:6">
      <c r="A1764" s="5" t="str">
        <f t="shared" si="32"/>
        <v>202308</v>
      </c>
      <c r="B1764" s="5" t="str">
        <f>"23085015505"</f>
        <v>23085015505</v>
      </c>
      <c r="C1764" s="6">
        <v>0</v>
      </c>
      <c r="D1764" s="6">
        <v>0</v>
      </c>
      <c r="E1764" s="6">
        <v>0</v>
      </c>
      <c r="F1764" s="11" t="s">
        <v>7</v>
      </c>
    </row>
    <row r="1765" spans="1:6">
      <c r="A1765" s="5" t="str">
        <f t="shared" si="32"/>
        <v>202308</v>
      </c>
      <c r="B1765" s="5" t="str">
        <f>"23085015426"</f>
        <v>23085015426</v>
      </c>
      <c r="C1765" s="6">
        <v>0</v>
      </c>
      <c r="D1765" s="6">
        <v>0</v>
      </c>
      <c r="E1765" s="6">
        <v>0</v>
      </c>
      <c r="F1765" s="11" t="s">
        <v>7</v>
      </c>
    </row>
    <row r="1766" spans="1:6">
      <c r="A1766" s="5" t="str">
        <f t="shared" si="32"/>
        <v>202308</v>
      </c>
      <c r="B1766" s="5" t="str">
        <f>"23085015030"</f>
        <v>23085015030</v>
      </c>
      <c r="C1766" s="6">
        <v>0</v>
      </c>
      <c r="D1766" s="6">
        <v>0</v>
      </c>
      <c r="E1766" s="6">
        <v>0</v>
      </c>
      <c r="F1766" s="11" t="s">
        <v>7</v>
      </c>
    </row>
    <row r="1767" spans="1:6">
      <c r="A1767" s="5" t="str">
        <f t="shared" si="32"/>
        <v>202308</v>
      </c>
      <c r="B1767" s="5" t="str">
        <f>"23085015103"</f>
        <v>23085015103</v>
      </c>
      <c r="C1767" s="6">
        <v>0</v>
      </c>
      <c r="D1767" s="6">
        <v>0</v>
      </c>
      <c r="E1767" s="6">
        <v>0</v>
      </c>
      <c r="F1767" s="11" t="s">
        <v>7</v>
      </c>
    </row>
    <row r="1768" spans="1:6">
      <c r="A1768" s="5" t="str">
        <f t="shared" si="32"/>
        <v>202308</v>
      </c>
      <c r="B1768" s="5" t="str">
        <f>"23085015507"</f>
        <v>23085015507</v>
      </c>
      <c r="C1768" s="6">
        <v>0</v>
      </c>
      <c r="D1768" s="6">
        <v>0</v>
      </c>
      <c r="E1768" s="6">
        <v>0</v>
      </c>
      <c r="F1768" s="11" t="s">
        <v>7</v>
      </c>
    </row>
    <row r="1769" spans="1:6">
      <c r="A1769" s="5" t="str">
        <f t="shared" si="32"/>
        <v>202308</v>
      </c>
      <c r="B1769" s="5" t="str">
        <f>"23085015502"</f>
        <v>23085015502</v>
      </c>
      <c r="C1769" s="6">
        <v>0</v>
      </c>
      <c r="D1769" s="6">
        <v>0</v>
      </c>
      <c r="E1769" s="6">
        <v>0</v>
      </c>
      <c r="F1769" s="11" t="s">
        <v>7</v>
      </c>
    </row>
    <row r="1770" spans="1:6">
      <c r="A1770" s="5" t="str">
        <f t="shared" si="32"/>
        <v>202308</v>
      </c>
      <c r="B1770" s="5" t="str">
        <f>"23085015516"</f>
        <v>23085015516</v>
      </c>
      <c r="C1770" s="6">
        <v>0</v>
      </c>
      <c r="D1770" s="6">
        <v>0</v>
      </c>
      <c r="E1770" s="6">
        <v>0</v>
      </c>
      <c r="F1770" s="11" t="s">
        <v>7</v>
      </c>
    </row>
    <row r="1771" spans="1:6">
      <c r="A1771" s="5" t="str">
        <f t="shared" si="32"/>
        <v>202308</v>
      </c>
      <c r="B1771" s="5" t="str">
        <f>"23085015918"</f>
        <v>23085015918</v>
      </c>
      <c r="C1771" s="6">
        <v>0</v>
      </c>
      <c r="D1771" s="6">
        <v>0</v>
      </c>
      <c r="E1771" s="6">
        <v>0</v>
      </c>
      <c r="F1771" s="11" t="s">
        <v>7</v>
      </c>
    </row>
    <row r="1772" spans="1:6">
      <c r="A1772" s="5" t="str">
        <f t="shared" si="32"/>
        <v>202308</v>
      </c>
      <c r="B1772" s="5" t="str">
        <f>"23085015115"</f>
        <v>23085015115</v>
      </c>
      <c r="C1772" s="6">
        <v>0</v>
      </c>
      <c r="D1772" s="6">
        <v>0</v>
      </c>
      <c r="E1772" s="6">
        <v>0</v>
      </c>
      <c r="F1772" s="11" t="s">
        <v>7</v>
      </c>
    </row>
    <row r="1773" spans="1:6">
      <c r="A1773" s="5" t="str">
        <f t="shared" si="32"/>
        <v>202308</v>
      </c>
      <c r="B1773" s="5" t="str">
        <f>"23085015826"</f>
        <v>23085015826</v>
      </c>
      <c r="C1773" s="6">
        <v>0</v>
      </c>
      <c r="D1773" s="6">
        <v>0</v>
      </c>
      <c r="E1773" s="6">
        <v>0</v>
      </c>
      <c r="F1773" s="11" t="s">
        <v>7</v>
      </c>
    </row>
    <row r="1774" spans="1:6">
      <c r="A1774" s="5" t="str">
        <f t="shared" si="32"/>
        <v>202308</v>
      </c>
      <c r="B1774" s="5" t="str">
        <f>"23085015920"</f>
        <v>23085015920</v>
      </c>
      <c r="C1774" s="6">
        <v>0</v>
      </c>
      <c r="D1774" s="6">
        <v>0</v>
      </c>
      <c r="E1774" s="6">
        <v>0</v>
      </c>
      <c r="F1774" s="11" t="s">
        <v>7</v>
      </c>
    </row>
    <row r="1775" spans="1:6">
      <c r="A1775" s="5" t="str">
        <f t="shared" si="32"/>
        <v>202308</v>
      </c>
      <c r="B1775" s="5" t="str">
        <f>"23085015427"</f>
        <v>23085015427</v>
      </c>
      <c r="C1775" s="6">
        <v>0</v>
      </c>
      <c r="D1775" s="6">
        <v>0</v>
      </c>
      <c r="E1775" s="6">
        <v>0</v>
      </c>
      <c r="F1775" s="11" t="s">
        <v>7</v>
      </c>
    </row>
    <row r="1776" spans="1:6">
      <c r="A1776" s="5" t="str">
        <f t="shared" si="32"/>
        <v>202308</v>
      </c>
      <c r="B1776" s="5" t="str">
        <f>"23085015506"</f>
        <v>23085015506</v>
      </c>
      <c r="C1776" s="6">
        <v>0</v>
      </c>
      <c r="D1776" s="6">
        <v>0</v>
      </c>
      <c r="E1776" s="6">
        <v>0</v>
      </c>
      <c r="F1776" s="11" t="s">
        <v>7</v>
      </c>
    </row>
    <row r="1777" spans="1:6">
      <c r="A1777" s="5" t="str">
        <f t="shared" si="32"/>
        <v>202308</v>
      </c>
      <c r="B1777" s="5" t="str">
        <f>"23085015808"</f>
        <v>23085015808</v>
      </c>
      <c r="C1777" s="6">
        <v>0</v>
      </c>
      <c r="D1777" s="6">
        <v>0</v>
      </c>
      <c r="E1777" s="6">
        <v>0</v>
      </c>
      <c r="F1777" s="11" t="s">
        <v>7</v>
      </c>
    </row>
    <row r="1778" spans="1:6">
      <c r="A1778" s="5" t="str">
        <f t="shared" si="32"/>
        <v>202308</v>
      </c>
      <c r="B1778" s="5" t="str">
        <f>"23085015312"</f>
        <v>23085015312</v>
      </c>
      <c r="C1778" s="6">
        <v>0</v>
      </c>
      <c r="D1778" s="6">
        <v>0</v>
      </c>
      <c r="E1778" s="6">
        <v>0</v>
      </c>
      <c r="F1778" s="11" t="s">
        <v>7</v>
      </c>
    </row>
    <row r="1779" spans="1:6">
      <c r="A1779" s="5" t="str">
        <f t="shared" si="32"/>
        <v>202308</v>
      </c>
      <c r="B1779" s="5" t="str">
        <f>"23085015521"</f>
        <v>23085015521</v>
      </c>
      <c r="C1779" s="6">
        <v>0</v>
      </c>
      <c r="D1779" s="6">
        <v>0</v>
      </c>
      <c r="E1779" s="6">
        <v>0</v>
      </c>
      <c r="F1779" s="11" t="s">
        <v>7</v>
      </c>
    </row>
    <row r="1780" spans="1:6">
      <c r="A1780" s="5" t="str">
        <f t="shared" si="32"/>
        <v>202308</v>
      </c>
      <c r="B1780" s="5" t="str">
        <f>"23085015615"</f>
        <v>23085015615</v>
      </c>
      <c r="C1780" s="6">
        <v>0</v>
      </c>
      <c r="D1780" s="6">
        <v>0</v>
      </c>
      <c r="E1780" s="6">
        <v>0</v>
      </c>
      <c r="F1780" s="11" t="s">
        <v>7</v>
      </c>
    </row>
    <row r="1781" spans="1:6">
      <c r="A1781" s="5" t="str">
        <f t="shared" si="32"/>
        <v>202308</v>
      </c>
      <c r="B1781" s="5" t="str">
        <f>"23085015906"</f>
        <v>23085015906</v>
      </c>
      <c r="C1781" s="6">
        <v>0</v>
      </c>
      <c r="D1781" s="6">
        <v>0</v>
      </c>
      <c r="E1781" s="6">
        <v>0</v>
      </c>
      <c r="F1781" s="11" t="s">
        <v>7</v>
      </c>
    </row>
    <row r="1782" spans="1:6">
      <c r="A1782" s="5" t="str">
        <f t="shared" si="32"/>
        <v>202308</v>
      </c>
      <c r="B1782" s="5" t="str">
        <f>"23085015525"</f>
        <v>23085015525</v>
      </c>
      <c r="C1782" s="6">
        <v>0</v>
      </c>
      <c r="D1782" s="6">
        <v>0</v>
      </c>
      <c r="E1782" s="6">
        <v>0</v>
      </c>
      <c r="F1782" s="11" t="s">
        <v>7</v>
      </c>
    </row>
    <row r="1783" spans="1:6">
      <c r="A1783" s="5" t="str">
        <f t="shared" si="32"/>
        <v>202308</v>
      </c>
      <c r="B1783" s="5" t="str">
        <f>"23085015515"</f>
        <v>23085015515</v>
      </c>
      <c r="C1783" s="6">
        <v>0</v>
      </c>
      <c r="D1783" s="6">
        <v>0</v>
      </c>
      <c r="E1783" s="6">
        <v>0</v>
      </c>
      <c r="F1783" s="11" t="s">
        <v>7</v>
      </c>
    </row>
    <row r="1784" spans="1:6">
      <c r="A1784" s="5" t="str">
        <f t="shared" si="32"/>
        <v>202308</v>
      </c>
      <c r="B1784" s="5" t="str">
        <f>"23085015908"</f>
        <v>23085015908</v>
      </c>
      <c r="C1784" s="6">
        <v>0</v>
      </c>
      <c r="D1784" s="6">
        <v>0</v>
      </c>
      <c r="E1784" s="6">
        <v>0</v>
      </c>
      <c r="F1784" s="11" t="s">
        <v>7</v>
      </c>
    </row>
    <row r="1785" spans="1:6">
      <c r="A1785" s="5" t="str">
        <f t="shared" si="32"/>
        <v>202308</v>
      </c>
      <c r="B1785" s="5" t="str">
        <f>"23085015302"</f>
        <v>23085015302</v>
      </c>
      <c r="C1785" s="6">
        <v>0</v>
      </c>
      <c r="D1785" s="6">
        <v>0</v>
      </c>
      <c r="E1785" s="6">
        <v>0</v>
      </c>
      <c r="F1785" s="11" t="s">
        <v>7</v>
      </c>
    </row>
    <row r="1786" spans="1:6">
      <c r="A1786" s="5" t="str">
        <f t="shared" si="32"/>
        <v>202308</v>
      </c>
      <c r="B1786" s="5" t="str">
        <f>"23085015206"</f>
        <v>23085015206</v>
      </c>
      <c r="C1786" s="6">
        <v>0</v>
      </c>
      <c r="D1786" s="6">
        <v>0</v>
      </c>
      <c r="E1786" s="6">
        <v>0</v>
      </c>
      <c r="F1786" s="11" t="s">
        <v>7</v>
      </c>
    </row>
    <row r="1787" spans="1:6">
      <c r="A1787" s="5" t="str">
        <f t="shared" si="32"/>
        <v>202308</v>
      </c>
      <c r="B1787" s="5" t="str">
        <f>"23085015213"</f>
        <v>23085015213</v>
      </c>
      <c r="C1787" s="6">
        <v>0</v>
      </c>
      <c r="D1787" s="6">
        <v>0</v>
      </c>
      <c r="E1787" s="6">
        <v>0</v>
      </c>
      <c r="F1787" s="11" t="s">
        <v>7</v>
      </c>
    </row>
    <row r="1788" spans="1:6">
      <c r="A1788" s="5" t="str">
        <f t="shared" si="32"/>
        <v>202308</v>
      </c>
      <c r="B1788" s="5" t="str">
        <f>"23085015425"</f>
        <v>23085015425</v>
      </c>
      <c r="C1788" s="6">
        <v>0</v>
      </c>
      <c r="D1788" s="6">
        <v>0</v>
      </c>
      <c r="E1788" s="6">
        <v>0</v>
      </c>
      <c r="F1788" s="11" t="s">
        <v>7</v>
      </c>
    </row>
    <row r="1789" spans="1:6">
      <c r="A1789" s="5" t="str">
        <f t="shared" si="32"/>
        <v>202308</v>
      </c>
      <c r="B1789" s="5" t="str">
        <f>"23085015923"</f>
        <v>23085015923</v>
      </c>
      <c r="C1789" s="6">
        <v>0</v>
      </c>
      <c r="D1789" s="6">
        <v>0</v>
      </c>
      <c r="E1789" s="6">
        <v>0</v>
      </c>
      <c r="F1789" s="11" t="s">
        <v>7</v>
      </c>
    </row>
    <row r="1790" spans="1:6">
      <c r="A1790" s="5" t="str">
        <f t="shared" si="32"/>
        <v>202308</v>
      </c>
      <c r="B1790" s="5" t="str">
        <f>"23085016021"</f>
        <v>23085016021</v>
      </c>
      <c r="C1790" s="6">
        <v>0</v>
      </c>
      <c r="D1790" s="6">
        <v>0</v>
      </c>
      <c r="E1790" s="6">
        <v>0</v>
      </c>
      <c r="F1790" s="11" t="s">
        <v>7</v>
      </c>
    </row>
    <row r="1791" spans="1:6">
      <c r="A1791" s="5" t="str">
        <f t="shared" si="32"/>
        <v>202308</v>
      </c>
      <c r="B1791" s="5" t="str">
        <f>"23085015308"</f>
        <v>23085015308</v>
      </c>
      <c r="C1791" s="6">
        <v>0</v>
      </c>
      <c r="D1791" s="6">
        <v>0</v>
      </c>
      <c r="E1791" s="6">
        <v>0</v>
      </c>
      <c r="F1791" s="11" t="s">
        <v>7</v>
      </c>
    </row>
    <row r="1792" spans="1:6">
      <c r="A1792" s="5" t="str">
        <f t="shared" si="32"/>
        <v>202308</v>
      </c>
      <c r="B1792" s="5" t="str">
        <f>"23085015121"</f>
        <v>23085015121</v>
      </c>
      <c r="C1792" s="6">
        <v>0</v>
      </c>
      <c r="D1792" s="6">
        <v>0</v>
      </c>
      <c r="E1792" s="6">
        <v>0</v>
      </c>
      <c r="F1792" s="11" t="s">
        <v>7</v>
      </c>
    </row>
    <row r="1793" spans="1:6">
      <c r="A1793" s="5" t="str">
        <f t="shared" si="32"/>
        <v>202308</v>
      </c>
      <c r="B1793" s="5" t="str">
        <f>"23085016123"</f>
        <v>23085016123</v>
      </c>
      <c r="C1793" s="6">
        <v>0</v>
      </c>
      <c r="D1793" s="6">
        <v>0</v>
      </c>
      <c r="E1793" s="6">
        <v>0</v>
      </c>
      <c r="F1793" s="11" t="s">
        <v>7</v>
      </c>
    </row>
    <row r="1794" spans="1:6">
      <c r="A1794" s="5" t="str">
        <f t="shared" si="32"/>
        <v>202308</v>
      </c>
      <c r="B1794" s="5" t="str">
        <f>"23085015909"</f>
        <v>23085015909</v>
      </c>
      <c r="C1794" s="6">
        <v>0</v>
      </c>
      <c r="D1794" s="6">
        <v>0</v>
      </c>
      <c r="E1794" s="6">
        <v>0</v>
      </c>
      <c r="F1794" s="11" t="s">
        <v>7</v>
      </c>
    </row>
    <row r="1795" spans="1:6">
      <c r="A1795" s="5" t="str">
        <f t="shared" si="32"/>
        <v>202308</v>
      </c>
      <c r="B1795" s="5" t="str">
        <f>"23085016007"</f>
        <v>23085016007</v>
      </c>
      <c r="C1795" s="6">
        <v>0</v>
      </c>
      <c r="D1795" s="6">
        <v>0</v>
      </c>
      <c r="E1795" s="6">
        <v>0</v>
      </c>
      <c r="F1795" s="11" t="s">
        <v>7</v>
      </c>
    </row>
    <row r="1796" spans="1:6">
      <c r="A1796" s="5" t="str">
        <f t="shared" si="32"/>
        <v>202308</v>
      </c>
      <c r="B1796" s="5" t="str">
        <f>"23085015725"</f>
        <v>23085015725</v>
      </c>
      <c r="C1796" s="6">
        <v>0</v>
      </c>
      <c r="D1796" s="6">
        <v>0</v>
      </c>
      <c r="E1796" s="6">
        <v>0</v>
      </c>
      <c r="F1796" s="11" t="s">
        <v>7</v>
      </c>
    </row>
    <row r="1797" spans="1:6">
      <c r="A1797" s="5" t="str">
        <f t="shared" si="32"/>
        <v>202308</v>
      </c>
      <c r="B1797" s="5" t="str">
        <f>"23085015726"</f>
        <v>23085015726</v>
      </c>
      <c r="C1797" s="6">
        <v>0</v>
      </c>
      <c r="D1797" s="6">
        <v>0</v>
      </c>
      <c r="E1797" s="6">
        <v>0</v>
      </c>
      <c r="F1797" s="11" t="s">
        <v>7</v>
      </c>
    </row>
    <row r="1798" spans="1:6">
      <c r="A1798" s="5" t="str">
        <f t="shared" si="32"/>
        <v>202308</v>
      </c>
      <c r="B1798" s="5" t="str">
        <f>"23085015702"</f>
        <v>23085015702</v>
      </c>
      <c r="C1798" s="6">
        <v>0</v>
      </c>
      <c r="D1798" s="6">
        <v>0</v>
      </c>
      <c r="E1798" s="6">
        <v>0</v>
      </c>
      <c r="F1798" s="11" t="s">
        <v>7</v>
      </c>
    </row>
    <row r="1799" spans="1:6">
      <c r="A1799" s="5" t="str">
        <f t="shared" si="32"/>
        <v>202308</v>
      </c>
      <c r="B1799" s="5" t="str">
        <f>"23085015829"</f>
        <v>23085015829</v>
      </c>
      <c r="C1799" s="6">
        <v>0</v>
      </c>
      <c r="D1799" s="6">
        <v>0</v>
      </c>
      <c r="E1799" s="6">
        <v>0</v>
      </c>
      <c r="F1799" s="11" t="s">
        <v>7</v>
      </c>
    </row>
    <row r="1800" spans="1:6">
      <c r="A1800" s="5" t="str">
        <f t="shared" si="32"/>
        <v>202308</v>
      </c>
      <c r="B1800" s="5" t="str">
        <f>"23085015924"</f>
        <v>23085015924</v>
      </c>
      <c r="C1800" s="6">
        <v>0</v>
      </c>
      <c r="D1800" s="6">
        <v>0</v>
      </c>
      <c r="E1800" s="6">
        <v>0</v>
      </c>
      <c r="F1800" s="11" t="s">
        <v>7</v>
      </c>
    </row>
    <row r="1801" spans="1:6">
      <c r="A1801" s="5" t="str">
        <f t="shared" si="32"/>
        <v>202308</v>
      </c>
      <c r="B1801" s="5" t="str">
        <f>"23085016011"</f>
        <v>23085016011</v>
      </c>
      <c r="C1801" s="6">
        <v>0</v>
      </c>
      <c r="D1801" s="6">
        <v>0</v>
      </c>
      <c r="E1801" s="6">
        <v>0</v>
      </c>
      <c r="F1801" s="11" t="s">
        <v>7</v>
      </c>
    </row>
    <row r="1802" spans="1:6">
      <c r="A1802" s="5" t="str">
        <f t="shared" si="32"/>
        <v>202308</v>
      </c>
      <c r="B1802" s="5" t="str">
        <f>"23085015418"</f>
        <v>23085015418</v>
      </c>
      <c r="C1802" s="6">
        <v>0</v>
      </c>
      <c r="D1802" s="6">
        <v>0</v>
      </c>
      <c r="E1802" s="6">
        <v>0</v>
      </c>
      <c r="F1802" s="11" t="s">
        <v>7</v>
      </c>
    </row>
    <row r="1803" spans="1:6">
      <c r="A1803" s="5" t="str">
        <f t="shared" si="32"/>
        <v>202308</v>
      </c>
      <c r="B1803" s="5" t="str">
        <f>"23085015217"</f>
        <v>23085015217</v>
      </c>
      <c r="C1803" s="6">
        <v>0</v>
      </c>
      <c r="D1803" s="6">
        <v>0</v>
      </c>
      <c r="E1803" s="6">
        <v>0</v>
      </c>
      <c r="F1803" s="11" t="s">
        <v>7</v>
      </c>
    </row>
    <row r="1804" spans="1:6">
      <c r="A1804" s="5" t="str">
        <f t="shared" si="32"/>
        <v>202308</v>
      </c>
      <c r="B1804" s="5" t="str">
        <f>"23085016205"</f>
        <v>23085016205</v>
      </c>
      <c r="C1804" s="6">
        <v>0</v>
      </c>
      <c r="D1804" s="6">
        <v>0</v>
      </c>
      <c r="E1804" s="6">
        <v>0</v>
      </c>
      <c r="F1804" s="11" t="s">
        <v>7</v>
      </c>
    </row>
    <row r="1805" spans="1:6">
      <c r="A1805" s="5" t="str">
        <f t="shared" si="32"/>
        <v>202308</v>
      </c>
      <c r="B1805" s="5" t="str">
        <f>"23085015517"</f>
        <v>23085015517</v>
      </c>
      <c r="C1805" s="6">
        <v>0</v>
      </c>
      <c r="D1805" s="6">
        <v>0</v>
      </c>
      <c r="E1805" s="6">
        <v>0</v>
      </c>
      <c r="F1805" s="11" t="s">
        <v>7</v>
      </c>
    </row>
    <row r="1806" spans="1:6">
      <c r="A1806" s="5" t="str">
        <f t="shared" si="32"/>
        <v>202308</v>
      </c>
      <c r="B1806" s="5" t="str">
        <f>"23085015118"</f>
        <v>23085015118</v>
      </c>
      <c r="C1806" s="6">
        <v>0</v>
      </c>
      <c r="D1806" s="6">
        <v>0</v>
      </c>
      <c r="E1806" s="6">
        <v>0</v>
      </c>
      <c r="F1806" s="11" t="s">
        <v>7</v>
      </c>
    </row>
    <row r="1807" spans="1:6">
      <c r="A1807" s="5" t="str">
        <f t="shared" si="32"/>
        <v>202308</v>
      </c>
      <c r="B1807" s="5" t="str">
        <f>"23085016212"</f>
        <v>23085016212</v>
      </c>
      <c r="C1807" s="6">
        <v>0</v>
      </c>
      <c r="D1807" s="6">
        <v>0</v>
      </c>
      <c r="E1807" s="6">
        <v>0</v>
      </c>
      <c r="F1807" s="11" t="s">
        <v>7</v>
      </c>
    </row>
    <row r="1808" spans="1:6">
      <c r="A1808" s="5" t="str">
        <f t="shared" si="32"/>
        <v>202308</v>
      </c>
      <c r="B1808" s="5" t="str">
        <f>"23085016210"</f>
        <v>23085016210</v>
      </c>
      <c r="C1808" s="6">
        <v>0</v>
      </c>
      <c r="D1808" s="6">
        <v>0</v>
      </c>
      <c r="E1808" s="6">
        <v>0</v>
      </c>
      <c r="F1808" s="11" t="s">
        <v>7</v>
      </c>
    </row>
    <row r="1809" spans="1:6">
      <c r="A1809" s="5" t="str">
        <f t="shared" si="32"/>
        <v>202308</v>
      </c>
      <c r="B1809" s="5" t="str">
        <f>"23085015904"</f>
        <v>23085015904</v>
      </c>
      <c r="C1809" s="6">
        <v>0</v>
      </c>
      <c r="D1809" s="6">
        <v>0</v>
      </c>
      <c r="E1809" s="6">
        <v>0</v>
      </c>
      <c r="F1809" s="11" t="s">
        <v>7</v>
      </c>
    </row>
    <row r="1810" spans="1:6">
      <c r="A1810" s="5" t="str">
        <f t="shared" si="32"/>
        <v>202308</v>
      </c>
      <c r="B1810" s="5" t="str">
        <f>"23085015227"</f>
        <v>23085015227</v>
      </c>
      <c r="C1810" s="6">
        <v>0</v>
      </c>
      <c r="D1810" s="6">
        <v>0</v>
      </c>
      <c r="E1810" s="6">
        <v>0</v>
      </c>
      <c r="F1810" s="11" t="s">
        <v>7</v>
      </c>
    </row>
    <row r="1811" spans="1:6">
      <c r="A1811" s="5" t="str">
        <f t="shared" si="32"/>
        <v>202308</v>
      </c>
      <c r="B1811" s="5" t="str">
        <f>"23085015404"</f>
        <v>23085015404</v>
      </c>
      <c r="C1811" s="6">
        <v>0</v>
      </c>
      <c r="D1811" s="6">
        <v>0</v>
      </c>
      <c r="E1811" s="6">
        <v>0</v>
      </c>
      <c r="F1811" s="11" t="s">
        <v>7</v>
      </c>
    </row>
    <row r="1812" spans="1:6">
      <c r="A1812" s="5" t="str">
        <f t="shared" si="32"/>
        <v>202308</v>
      </c>
      <c r="B1812" s="5" t="str">
        <f>"23085015818"</f>
        <v>23085015818</v>
      </c>
      <c r="C1812" s="6">
        <v>0</v>
      </c>
      <c r="D1812" s="6">
        <v>0</v>
      </c>
      <c r="E1812" s="6">
        <v>0</v>
      </c>
      <c r="F1812" s="11" t="s">
        <v>7</v>
      </c>
    </row>
    <row r="1813" spans="1:6">
      <c r="A1813" s="5" t="str">
        <f t="shared" si="32"/>
        <v>202308</v>
      </c>
      <c r="B1813" s="5" t="str">
        <f>"23085015916"</f>
        <v>23085015916</v>
      </c>
      <c r="C1813" s="6">
        <v>0</v>
      </c>
      <c r="D1813" s="6">
        <v>0</v>
      </c>
      <c r="E1813" s="6">
        <v>0</v>
      </c>
      <c r="F1813" s="11" t="s">
        <v>7</v>
      </c>
    </row>
    <row r="1814" spans="1:6">
      <c r="A1814" s="5" t="str">
        <f t="shared" ref="A1814:A1844" si="33">"202308"</f>
        <v>202308</v>
      </c>
      <c r="B1814" s="5" t="str">
        <f>"23085015107"</f>
        <v>23085015107</v>
      </c>
      <c r="C1814" s="6">
        <v>0</v>
      </c>
      <c r="D1814" s="6">
        <v>0</v>
      </c>
      <c r="E1814" s="6">
        <v>0</v>
      </c>
      <c r="F1814" s="11" t="s">
        <v>7</v>
      </c>
    </row>
    <row r="1815" spans="1:6">
      <c r="A1815" s="5" t="str">
        <f t="shared" si="33"/>
        <v>202308</v>
      </c>
      <c r="B1815" s="5" t="str">
        <f>"23085015407"</f>
        <v>23085015407</v>
      </c>
      <c r="C1815" s="6">
        <v>0</v>
      </c>
      <c r="D1815" s="6">
        <v>0</v>
      </c>
      <c r="E1815" s="6">
        <v>0</v>
      </c>
      <c r="F1815" s="11" t="s">
        <v>7</v>
      </c>
    </row>
    <row r="1816" spans="1:6">
      <c r="A1816" s="5" t="str">
        <f t="shared" si="33"/>
        <v>202308</v>
      </c>
      <c r="B1816" s="5" t="str">
        <f>"23085016013"</f>
        <v>23085016013</v>
      </c>
      <c r="C1816" s="6">
        <v>0</v>
      </c>
      <c r="D1816" s="6">
        <v>0</v>
      </c>
      <c r="E1816" s="6">
        <v>0</v>
      </c>
      <c r="F1816" s="11" t="s">
        <v>7</v>
      </c>
    </row>
    <row r="1817" spans="1:6">
      <c r="A1817" s="5" t="str">
        <f t="shared" si="33"/>
        <v>202308</v>
      </c>
      <c r="B1817" s="5" t="str">
        <f>"23085016001"</f>
        <v>23085016001</v>
      </c>
      <c r="C1817" s="6">
        <v>0</v>
      </c>
      <c r="D1817" s="6">
        <v>0</v>
      </c>
      <c r="E1817" s="6">
        <v>0</v>
      </c>
      <c r="F1817" s="11" t="s">
        <v>7</v>
      </c>
    </row>
    <row r="1818" spans="1:6">
      <c r="A1818" s="5" t="str">
        <f t="shared" si="33"/>
        <v>202308</v>
      </c>
      <c r="B1818" s="5" t="str">
        <f>"23085015518"</f>
        <v>23085015518</v>
      </c>
      <c r="C1818" s="6">
        <v>0</v>
      </c>
      <c r="D1818" s="6">
        <v>0</v>
      </c>
      <c r="E1818" s="6">
        <v>0</v>
      </c>
      <c r="F1818" s="11" t="s">
        <v>7</v>
      </c>
    </row>
    <row r="1819" spans="1:6">
      <c r="A1819" s="5" t="str">
        <f t="shared" si="33"/>
        <v>202308</v>
      </c>
      <c r="B1819" s="5" t="str">
        <f>"23085016002"</f>
        <v>23085016002</v>
      </c>
      <c r="C1819" s="6">
        <v>0</v>
      </c>
      <c r="D1819" s="6">
        <v>0</v>
      </c>
      <c r="E1819" s="6">
        <v>0</v>
      </c>
      <c r="F1819" s="11" t="s">
        <v>7</v>
      </c>
    </row>
    <row r="1820" spans="1:6">
      <c r="A1820" s="5" t="str">
        <f t="shared" si="33"/>
        <v>202308</v>
      </c>
      <c r="B1820" s="5" t="str">
        <f>"23085015619"</f>
        <v>23085015619</v>
      </c>
      <c r="C1820" s="6">
        <v>0</v>
      </c>
      <c r="D1820" s="6">
        <v>0</v>
      </c>
      <c r="E1820" s="6">
        <v>0</v>
      </c>
      <c r="F1820" s="11" t="s">
        <v>7</v>
      </c>
    </row>
    <row r="1821" spans="1:6">
      <c r="A1821" s="5" t="str">
        <f t="shared" si="33"/>
        <v>202308</v>
      </c>
      <c r="B1821" s="5" t="str">
        <f>"23085015028"</f>
        <v>23085015028</v>
      </c>
      <c r="C1821" s="6">
        <v>0</v>
      </c>
      <c r="D1821" s="6">
        <v>0</v>
      </c>
      <c r="E1821" s="6">
        <v>0</v>
      </c>
      <c r="F1821" s="11" t="s">
        <v>7</v>
      </c>
    </row>
    <row r="1822" spans="1:6">
      <c r="A1822" s="5" t="str">
        <f t="shared" si="33"/>
        <v>202308</v>
      </c>
      <c r="B1822" s="5" t="str">
        <f>"23085016203"</f>
        <v>23085016203</v>
      </c>
      <c r="C1822" s="6">
        <v>0</v>
      </c>
      <c r="D1822" s="6">
        <v>0</v>
      </c>
      <c r="E1822" s="6">
        <v>0</v>
      </c>
      <c r="F1822" s="11" t="s">
        <v>7</v>
      </c>
    </row>
    <row r="1823" spans="1:6">
      <c r="A1823" s="5" t="str">
        <f t="shared" si="33"/>
        <v>202308</v>
      </c>
      <c r="B1823" s="5" t="str">
        <f>"23085015411"</f>
        <v>23085015411</v>
      </c>
      <c r="C1823" s="6">
        <v>0</v>
      </c>
      <c r="D1823" s="6">
        <v>0</v>
      </c>
      <c r="E1823" s="6">
        <v>0</v>
      </c>
      <c r="F1823" s="11" t="s">
        <v>7</v>
      </c>
    </row>
    <row r="1824" spans="1:6">
      <c r="A1824" s="5" t="str">
        <f t="shared" si="33"/>
        <v>202308</v>
      </c>
      <c r="B1824" s="5" t="str">
        <f>"23085015824"</f>
        <v>23085015824</v>
      </c>
      <c r="C1824" s="6">
        <v>0</v>
      </c>
      <c r="D1824" s="6">
        <v>0</v>
      </c>
      <c r="E1824" s="6">
        <v>0</v>
      </c>
      <c r="F1824" s="11" t="s">
        <v>7</v>
      </c>
    </row>
    <row r="1825" spans="1:6">
      <c r="A1825" s="5" t="str">
        <f t="shared" si="33"/>
        <v>202308</v>
      </c>
      <c r="B1825" s="5" t="str">
        <f>"23085015513"</f>
        <v>23085015513</v>
      </c>
      <c r="C1825" s="6">
        <v>0</v>
      </c>
      <c r="D1825" s="6">
        <v>0</v>
      </c>
      <c r="E1825" s="6">
        <v>0</v>
      </c>
      <c r="F1825" s="11" t="s">
        <v>7</v>
      </c>
    </row>
    <row r="1826" spans="1:6">
      <c r="A1826" s="5" t="str">
        <f t="shared" si="33"/>
        <v>202308</v>
      </c>
      <c r="B1826" s="5" t="str">
        <f>"23085015417"</f>
        <v>23085015417</v>
      </c>
      <c r="C1826" s="6">
        <v>0</v>
      </c>
      <c r="D1826" s="6">
        <v>0</v>
      </c>
      <c r="E1826" s="6">
        <v>0</v>
      </c>
      <c r="F1826" s="11" t="s">
        <v>7</v>
      </c>
    </row>
    <row r="1827" spans="1:6">
      <c r="A1827" s="5" t="str">
        <f t="shared" si="33"/>
        <v>202308</v>
      </c>
      <c r="B1827" s="5" t="str">
        <f>"23085015803"</f>
        <v>23085015803</v>
      </c>
      <c r="C1827" s="6">
        <v>0</v>
      </c>
      <c r="D1827" s="6">
        <v>0</v>
      </c>
      <c r="E1827" s="6">
        <v>0</v>
      </c>
      <c r="F1827" s="11" t="s">
        <v>7</v>
      </c>
    </row>
    <row r="1828" spans="1:6">
      <c r="A1828" s="5" t="str">
        <f t="shared" si="33"/>
        <v>202308</v>
      </c>
      <c r="B1828" s="5" t="str">
        <f>"23085015413"</f>
        <v>23085015413</v>
      </c>
      <c r="C1828" s="6">
        <v>0</v>
      </c>
      <c r="D1828" s="6">
        <v>0</v>
      </c>
      <c r="E1828" s="6">
        <v>0</v>
      </c>
      <c r="F1828" s="11" t="s">
        <v>7</v>
      </c>
    </row>
    <row r="1829" spans="1:6">
      <c r="A1829" s="5" t="str">
        <f t="shared" si="33"/>
        <v>202308</v>
      </c>
      <c r="B1829" s="5" t="str">
        <f>"23085015629"</f>
        <v>23085015629</v>
      </c>
      <c r="C1829" s="6">
        <v>0</v>
      </c>
      <c r="D1829" s="6">
        <v>0</v>
      </c>
      <c r="E1829" s="6">
        <v>0</v>
      </c>
      <c r="F1829" s="11" t="s">
        <v>7</v>
      </c>
    </row>
    <row r="1830" spans="1:6">
      <c r="A1830" s="5" t="str">
        <f t="shared" si="33"/>
        <v>202308</v>
      </c>
      <c r="B1830" s="5" t="str">
        <f>"23085015610"</f>
        <v>23085015610</v>
      </c>
      <c r="C1830" s="6">
        <v>0</v>
      </c>
      <c r="D1830" s="6">
        <v>0</v>
      </c>
      <c r="E1830" s="6">
        <v>0</v>
      </c>
      <c r="F1830" s="11" t="s">
        <v>7</v>
      </c>
    </row>
    <row r="1831" spans="1:6">
      <c r="A1831" s="5" t="str">
        <f t="shared" si="33"/>
        <v>202308</v>
      </c>
      <c r="B1831" s="5" t="str">
        <f>"23085015110"</f>
        <v>23085015110</v>
      </c>
      <c r="C1831" s="6">
        <v>0</v>
      </c>
      <c r="D1831" s="6">
        <v>0</v>
      </c>
      <c r="E1831" s="6">
        <v>0</v>
      </c>
      <c r="F1831" s="11" t="s">
        <v>7</v>
      </c>
    </row>
    <row r="1832" spans="1:6">
      <c r="A1832" s="5" t="str">
        <f t="shared" si="33"/>
        <v>202308</v>
      </c>
      <c r="B1832" s="5" t="str">
        <f>"23085015208"</f>
        <v>23085015208</v>
      </c>
      <c r="C1832" s="6">
        <v>0</v>
      </c>
      <c r="D1832" s="6">
        <v>0</v>
      </c>
      <c r="E1832" s="6">
        <v>0</v>
      </c>
      <c r="F1832" s="11" t="s">
        <v>7</v>
      </c>
    </row>
    <row r="1833" spans="1:6">
      <c r="A1833" s="5" t="str">
        <f t="shared" si="33"/>
        <v>202308</v>
      </c>
      <c r="B1833" s="5" t="str">
        <f>"23085015512"</f>
        <v>23085015512</v>
      </c>
      <c r="C1833" s="6">
        <v>0</v>
      </c>
      <c r="D1833" s="6">
        <v>0</v>
      </c>
      <c r="E1833" s="6">
        <v>0</v>
      </c>
      <c r="F1833" s="11" t="s">
        <v>7</v>
      </c>
    </row>
    <row r="1834" spans="1:6">
      <c r="A1834" s="5" t="str">
        <f t="shared" si="33"/>
        <v>202308</v>
      </c>
      <c r="B1834" s="5" t="str">
        <f>"23085015420"</f>
        <v>23085015420</v>
      </c>
      <c r="C1834" s="6">
        <v>0</v>
      </c>
      <c r="D1834" s="6">
        <v>0</v>
      </c>
      <c r="E1834" s="6">
        <v>0</v>
      </c>
      <c r="F1834" s="11" t="s">
        <v>7</v>
      </c>
    </row>
    <row r="1835" spans="1:6">
      <c r="A1835" s="5" t="str">
        <f t="shared" si="33"/>
        <v>202308</v>
      </c>
      <c r="B1835" s="5" t="str">
        <f>"23085015422"</f>
        <v>23085015422</v>
      </c>
      <c r="C1835" s="6">
        <v>0</v>
      </c>
      <c r="D1835" s="6">
        <v>0</v>
      </c>
      <c r="E1835" s="6">
        <v>0</v>
      </c>
      <c r="F1835" s="11" t="s">
        <v>7</v>
      </c>
    </row>
    <row r="1836" spans="1:6">
      <c r="A1836" s="5" t="str">
        <f t="shared" si="33"/>
        <v>202308</v>
      </c>
      <c r="B1836" s="5" t="str">
        <f>"23085015806"</f>
        <v>23085015806</v>
      </c>
      <c r="C1836" s="6">
        <v>0</v>
      </c>
      <c r="D1836" s="6">
        <v>0</v>
      </c>
      <c r="E1836" s="6">
        <v>0</v>
      </c>
      <c r="F1836" s="11" t="s">
        <v>7</v>
      </c>
    </row>
    <row r="1837" spans="1:6">
      <c r="A1837" s="5" t="str">
        <f t="shared" si="33"/>
        <v>202308</v>
      </c>
      <c r="B1837" s="5" t="str">
        <f>"23085015701"</f>
        <v>23085015701</v>
      </c>
      <c r="C1837" s="6">
        <v>0</v>
      </c>
      <c r="D1837" s="6">
        <v>0</v>
      </c>
      <c r="E1837" s="6">
        <v>0</v>
      </c>
      <c r="F1837" s="11" t="s">
        <v>7</v>
      </c>
    </row>
    <row r="1838" spans="1:6">
      <c r="A1838" s="5" t="str">
        <f t="shared" si="33"/>
        <v>202308</v>
      </c>
      <c r="B1838" s="5" t="str">
        <f>"23085015226"</f>
        <v>23085015226</v>
      </c>
      <c r="C1838" s="6">
        <v>0</v>
      </c>
      <c r="D1838" s="6">
        <v>0</v>
      </c>
      <c r="E1838" s="6">
        <v>0</v>
      </c>
      <c r="F1838" s="11" t="s">
        <v>7</v>
      </c>
    </row>
    <row r="1839" spans="1:6">
      <c r="A1839" s="5" t="str">
        <f t="shared" si="33"/>
        <v>202308</v>
      </c>
      <c r="B1839" s="5" t="str">
        <f>"23085015316"</f>
        <v>23085015316</v>
      </c>
      <c r="C1839" s="6">
        <v>0</v>
      </c>
      <c r="D1839" s="6">
        <v>0</v>
      </c>
      <c r="E1839" s="6">
        <v>0</v>
      </c>
      <c r="F1839" s="11" t="s">
        <v>7</v>
      </c>
    </row>
    <row r="1840" spans="1:6">
      <c r="A1840" s="5" t="str">
        <f t="shared" si="33"/>
        <v>202308</v>
      </c>
      <c r="B1840" s="5" t="str">
        <f>"23085015429"</f>
        <v>23085015429</v>
      </c>
      <c r="C1840" s="6">
        <v>0</v>
      </c>
      <c r="D1840" s="6">
        <v>0</v>
      </c>
      <c r="E1840" s="6">
        <v>0</v>
      </c>
      <c r="F1840" s="11" t="s">
        <v>7</v>
      </c>
    </row>
    <row r="1841" spans="1:6">
      <c r="A1841" s="5" t="str">
        <f t="shared" si="33"/>
        <v>202308</v>
      </c>
      <c r="B1841" s="5" t="str">
        <f>"23085015218"</f>
        <v>23085015218</v>
      </c>
      <c r="C1841" s="6">
        <v>0</v>
      </c>
      <c r="D1841" s="6">
        <v>0</v>
      </c>
      <c r="E1841" s="6">
        <v>0</v>
      </c>
      <c r="F1841" s="11" t="s">
        <v>7</v>
      </c>
    </row>
    <row r="1842" spans="1:6">
      <c r="A1842" s="5" t="str">
        <f t="shared" si="33"/>
        <v>202308</v>
      </c>
      <c r="B1842" s="5" t="str">
        <f>"23085016111"</f>
        <v>23085016111</v>
      </c>
      <c r="C1842" s="6">
        <v>0</v>
      </c>
      <c r="D1842" s="6">
        <v>0</v>
      </c>
      <c r="E1842" s="6">
        <v>0</v>
      </c>
      <c r="F1842" s="11" t="s">
        <v>7</v>
      </c>
    </row>
    <row r="1843" spans="1:6">
      <c r="A1843" s="5" t="str">
        <f t="shared" si="33"/>
        <v>202308</v>
      </c>
      <c r="B1843" s="5" t="str">
        <f>"23085015812"</f>
        <v>23085015812</v>
      </c>
      <c r="C1843" s="6">
        <v>0</v>
      </c>
      <c r="D1843" s="6">
        <v>0</v>
      </c>
      <c r="E1843" s="6">
        <v>0</v>
      </c>
      <c r="F1843" s="11" t="s">
        <v>7</v>
      </c>
    </row>
    <row r="1844" spans="1:6">
      <c r="A1844" s="5" t="str">
        <f t="shared" si="33"/>
        <v>202308</v>
      </c>
      <c r="B1844" s="5" t="str">
        <f>"23085015216"</f>
        <v>23085015216</v>
      </c>
      <c r="C1844" s="6">
        <v>0</v>
      </c>
      <c r="D1844" s="6">
        <v>0</v>
      </c>
      <c r="E1844" s="6">
        <v>0</v>
      </c>
      <c r="F1844" s="11" t="s">
        <v>7</v>
      </c>
    </row>
    <row r="1845" spans="1:6">
      <c r="A1845" s="5" t="str">
        <f t="shared" ref="A1845:A1908" si="34">"202309"</f>
        <v>202309</v>
      </c>
      <c r="B1845" s="5" t="str">
        <f>"23085020211"</f>
        <v>23085020211</v>
      </c>
      <c r="C1845" s="6">
        <v>124.5</v>
      </c>
      <c r="D1845" s="6">
        <v>120.5</v>
      </c>
      <c r="E1845" s="6">
        <v>245</v>
      </c>
      <c r="F1845" s="11"/>
    </row>
    <row r="1846" spans="1:6">
      <c r="A1846" s="5" t="str">
        <f t="shared" si="34"/>
        <v>202309</v>
      </c>
      <c r="B1846" s="5" t="str">
        <f>"23085020907"</f>
        <v>23085020907</v>
      </c>
      <c r="C1846" s="6">
        <v>123</v>
      </c>
      <c r="D1846" s="6">
        <v>118.5</v>
      </c>
      <c r="E1846" s="6">
        <v>241.5</v>
      </c>
      <c r="F1846" s="11"/>
    </row>
    <row r="1847" spans="1:6">
      <c r="A1847" s="5" t="str">
        <f t="shared" si="34"/>
        <v>202309</v>
      </c>
      <c r="B1847" s="5" t="str">
        <f>"23085021513"</f>
        <v>23085021513</v>
      </c>
      <c r="C1847" s="6">
        <v>129</v>
      </c>
      <c r="D1847" s="6">
        <v>112</v>
      </c>
      <c r="E1847" s="6">
        <v>241</v>
      </c>
      <c r="F1847" s="11"/>
    </row>
    <row r="1848" spans="1:6">
      <c r="A1848" s="5" t="str">
        <f t="shared" si="34"/>
        <v>202309</v>
      </c>
      <c r="B1848" s="5" t="str">
        <f>"23085021505"</f>
        <v>23085021505</v>
      </c>
      <c r="C1848" s="6">
        <v>118.5</v>
      </c>
      <c r="D1848" s="6">
        <v>120.5</v>
      </c>
      <c r="E1848" s="6">
        <v>239</v>
      </c>
      <c r="F1848" s="11"/>
    </row>
    <row r="1849" spans="1:6">
      <c r="A1849" s="5" t="str">
        <f t="shared" si="34"/>
        <v>202309</v>
      </c>
      <c r="B1849" s="5" t="str">
        <f>"23085020409"</f>
        <v>23085020409</v>
      </c>
      <c r="C1849" s="6">
        <v>118.5</v>
      </c>
      <c r="D1849" s="6">
        <v>120</v>
      </c>
      <c r="E1849" s="6">
        <v>238.5</v>
      </c>
      <c r="F1849" s="11"/>
    </row>
    <row r="1850" spans="1:6">
      <c r="A1850" s="5" t="str">
        <f t="shared" si="34"/>
        <v>202309</v>
      </c>
      <c r="B1850" s="5" t="str">
        <f>"23085020925"</f>
        <v>23085020925</v>
      </c>
      <c r="C1850" s="6">
        <v>118.5</v>
      </c>
      <c r="D1850" s="6">
        <v>120</v>
      </c>
      <c r="E1850" s="6">
        <v>238.5</v>
      </c>
      <c r="F1850" s="11"/>
    </row>
    <row r="1851" spans="1:6">
      <c r="A1851" s="5" t="str">
        <f t="shared" si="34"/>
        <v>202309</v>
      </c>
      <c r="B1851" s="5" t="str">
        <f>"23085020621"</f>
        <v>23085020621</v>
      </c>
      <c r="C1851" s="6">
        <v>118.5</v>
      </c>
      <c r="D1851" s="6">
        <v>119</v>
      </c>
      <c r="E1851" s="6">
        <v>237.5</v>
      </c>
      <c r="F1851" s="11"/>
    </row>
    <row r="1852" spans="1:6">
      <c r="A1852" s="5" t="str">
        <f t="shared" si="34"/>
        <v>202309</v>
      </c>
      <c r="B1852" s="5" t="str">
        <f>"23085021823"</f>
        <v>23085021823</v>
      </c>
      <c r="C1852" s="6">
        <v>123</v>
      </c>
      <c r="D1852" s="6">
        <v>114.5</v>
      </c>
      <c r="E1852" s="6">
        <v>237.5</v>
      </c>
      <c r="F1852" s="11"/>
    </row>
    <row r="1853" spans="1:6">
      <c r="A1853" s="5" t="str">
        <f t="shared" si="34"/>
        <v>202309</v>
      </c>
      <c r="B1853" s="5" t="str">
        <f>"23085021216"</f>
        <v>23085021216</v>
      </c>
      <c r="C1853" s="6">
        <v>120</v>
      </c>
      <c r="D1853" s="6">
        <v>117.5</v>
      </c>
      <c r="E1853" s="6">
        <v>237.5</v>
      </c>
      <c r="F1853" s="11"/>
    </row>
    <row r="1854" spans="1:6">
      <c r="A1854" s="5" t="str">
        <f t="shared" si="34"/>
        <v>202309</v>
      </c>
      <c r="B1854" s="5" t="str">
        <f>"23085016518"</f>
        <v>23085016518</v>
      </c>
      <c r="C1854" s="6">
        <v>120</v>
      </c>
      <c r="D1854" s="6">
        <v>117.5</v>
      </c>
      <c r="E1854" s="6">
        <v>237.5</v>
      </c>
      <c r="F1854" s="11"/>
    </row>
    <row r="1855" spans="1:6">
      <c r="A1855" s="5" t="str">
        <f t="shared" si="34"/>
        <v>202309</v>
      </c>
      <c r="B1855" s="5" t="str">
        <f>"23085020122"</f>
        <v>23085020122</v>
      </c>
      <c r="C1855" s="6">
        <v>118.5</v>
      </c>
      <c r="D1855" s="6">
        <v>119</v>
      </c>
      <c r="E1855" s="6">
        <v>237.5</v>
      </c>
      <c r="F1855" s="11"/>
    </row>
    <row r="1856" spans="1:6">
      <c r="A1856" s="5" t="str">
        <f t="shared" si="34"/>
        <v>202309</v>
      </c>
      <c r="B1856" s="5" t="str">
        <f>"23085016328"</f>
        <v>23085016328</v>
      </c>
      <c r="C1856" s="6">
        <v>120</v>
      </c>
      <c r="D1856" s="6">
        <v>117</v>
      </c>
      <c r="E1856" s="6">
        <v>237</v>
      </c>
      <c r="F1856" s="11"/>
    </row>
    <row r="1857" spans="1:6">
      <c r="A1857" s="5" t="str">
        <f t="shared" si="34"/>
        <v>202309</v>
      </c>
      <c r="B1857" s="5" t="str">
        <f>"23085021110"</f>
        <v>23085021110</v>
      </c>
      <c r="C1857" s="6">
        <v>120</v>
      </c>
      <c r="D1857" s="6">
        <v>117</v>
      </c>
      <c r="E1857" s="6">
        <v>237</v>
      </c>
      <c r="F1857" s="11"/>
    </row>
    <row r="1858" spans="1:6">
      <c r="A1858" s="5" t="str">
        <f t="shared" si="34"/>
        <v>202309</v>
      </c>
      <c r="B1858" s="5" t="str">
        <f>"23085020612"</f>
        <v>23085020612</v>
      </c>
      <c r="C1858" s="6">
        <v>117</v>
      </c>
      <c r="D1858" s="6">
        <v>119</v>
      </c>
      <c r="E1858" s="6">
        <v>236</v>
      </c>
      <c r="F1858" s="11"/>
    </row>
    <row r="1859" spans="1:6">
      <c r="A1859" s="5" t="str">
        <f t="shared" si="34"/>
        <v>202309</v>
      </c>
      <c r="B1859" s="5" t="str">
        <f>"23085020425"</f>
        <v>23085020425</v>
      </c>
      <c r="C1859" s="6">
        <v>118.5</v>
      </c>
      <c r="D1859" s="6">
        <v>117.5</v>
      </c>
      <c r="E1859" s="6">
        <v>236</v>
      </c>
      <c r="F1859" s="11"/>
    </row>
    <row r="1860" spans="1:6">
      <c r="A1860" s="5" t="str">
        <f t="shared" si="34"/>
        <v>202309</v>
      </c>
      <c r="B1860" s="5" t="str">
        <f>"23085020908"</f>
        <v>23085020908</v>
      </c>
      <c r="C1860" s="6">
        <v>117</v>
      </c>
      <c r="D1860" s="6">
        <v>118.5</v>
      </c>
      <c r="E1860" s="6">
        <v>235.5</v>
      </c>
      <c r="F1860" s="11"/>
    </row>
    <row r="1861" spans="1:6">
      <c r="A1861" s="5" t="str">
        <f t="shared" si="34"/>
        <v>202309</v>
      </c>
      <c r="B1861" s="5" t="str">
        <f>"23085016526"</f>
        <v>23085016526</v>
      </c>
      <c r="C1861" s="6">
        <v>117</v>
      </c>
      <c r="D1861" s="6">
        <v>118.5</v>
      </c>
      <c r="E1861" s="6">
        <v>235.5</v>
      </c>
      <c r="F1861" s="11"/>
    </row>
    <row r="1862" spans="1:6">
      <c r="A1862" s="5" t="str">
        <f t="shared" si="34"/>
        <v>202309</v>
      </c>
      <c r="B1862" s="5" t="str">
        <f>"23085020917"</f>
        <v>23085020917</v>
      </c>
      <c r="C1862" s="6">
        <v>118.5</v>
      </c>
      <c r="D1862" s="6">
        <v>116.5</v>
      </c>
      <c r="E1862" s="6">
        <v>235</v>
      </c>
      <c r="F1862" s="11"/>
    </row>
    <row r="1863" spans="1:6">
      <c r="A1863" s="5" t="str">
        <f t="shared" si="34"/>
        <v>202309</v>
      </c>
      <c r="B1863" s="5" t="str">
        <f>"23085021326"</f>
        <v>23085021326</v>
      </c>
      <c r="C1863" s="6">
        <v>117</v>
      </c>
      <c r="D1863" s="6">
        <v>117.5</v>
      </c>
      <c r="E1863" s="6">
        <v>234.5</v>
      </c>
      <c r="F1863" s="11"/>
    </row>
    <row r="1864" spans="1:6">
      <c r="A1864" s="5" t="str">
        <f t="shared" si="34"/>
        <v>202309</v>
      </c>
      <c r="B1864" s="5" t="str">
        <f>"23085020101"</f>
        <v>23085020101</v>
      </c>
      <c r="C1864" s="6">
        <v>115.5</v>
      </c>
      <c r="D1864" s="6">
        <v>119</v>
      </c>
      <c r="E1864" s="6">
        <v>234.5</v>
      </c>
      <c r="F1864" s="11"/>
    </row>
    <row r="1865" spans="1:6">
      <c r="A1865" s="5" t="str">
        <f t="shared" si="34"/>
        <v>202309</v>
      </c>
      <c r="B1865" s="5" t="str">
        <f>"23085020723"</f>
        <v>23085020723</v>
      </c>
      <c r="C1865" s="6">
        <v>117</v>
      </c>
      <c r="D1865" s="6">
        <v>117.5</v>
      </c>
      <c r="E1865" s="6">
        <v>234.5</v>
      </c>
      <c r="F1865" s="11"/>
    </row>
    <row r="1866" spans="1:6">
      <c r="A1866" s="5" t="str">
        <f t="shared" si="34"/>
        <v>202309</v>
      </c>
      <c r="B1866" s="5" t="str">
        <f>"23085020822"</f>
        <v>23085020822</v>
      </c>
      <c r="C1866" s="6">
        <v>114</v>
      </c>
      <c r="D1866" s="6">
        <v>120.5</v>
      </c>
      <c r="E1866" s="6">
        <v>234.5</v>
      </c>
      <c r="F1866" s="11"/>
    </row>
    <row r="1867" spans="1:6">
      <c r="A1867" s="5" t="str">
        <f t="shared" si="34"/>
        <v>202309</v>
      </c>
      <c r="B1867" s="5" t="str">
        <f>"23085020511"</f>
        <v>23085020511</v>
      </c>
      <c r="C1867" s="6">
        <v>111</v>
      </c>
      <c r="D1867" s="6">
        <v>123</v>
      </c>
      <c r="E1867" s="6">
        <v>234</v>
      </c>
      <c r="F1867" s="11"/>
    </row>
    <row r="1868" spans="1:6">
      <c r="A1868" s="5" t="str">
        <f t="shared" si="34"/>
        <v>202309</v>
      </c>
      <c r="B1868" s="5" t="str">
        <f>"23085021021"</f>
        <v>23085021021</v>
      </c>
      <c r="C1868" s="6">
        <v>121.5</v>
      </c>
      <c r="D1868" s="6">
        <v>112.5</v>
      </c>
      <c r="E1868" s="6">
        <v>234</v>
      </c>
      <c r="F1868" s="11"/>
    </row>
    <row r="1869" spans="1:6">
      <c r="A1869" s="5" t="str">
        <f t="shared" si="34"/>
        <v>202309</v>
      </c>
      <c r="B1869" s="5" t="str">
        <f>"23085020203"</f>
        <v>23085020203</v>
      </c>
      <c r="C1869" s="6">
        <v>117</v>
      </c>
      <c r="D1869" s="6">
        <v>117</v>
      </c>
      <c r="E1869" s="6">
        <v>234</v>
      </c>
      <c r="F1869" s="11"/>
    </row>
    <row r="1870" spans="1:6">
      <c r="A1870" s="5" t="str">
        <f t="shared" si="34"/>
        <v>202309</v>
      </c>
      <c r="B1870" s="5" t="str">
        <f>"23085020310"</f>
        <v>23085020310</v>
      </c>
      <c r="C1870" s="6">
        <v>120</v>
      </c>
      <c r="D1870" s="6">
        <v>114</v>
      </c>
      <c r="E1870" s="6">
        <v>234</v>
      </c>
      <c r="F1870" s="11"/>
    </row>
    <row r="1871" spans="1:6">
      <c r="A1871" s="5" t="str">
        <f t="shared" si="34"/>
        <v>202309</v>
      </c>
      <c r="B1871" s="5" t="str">
        <f>"23085020912"</f>
        <v>23085020912</v>
      </c>
      <c r="C1871" s="6">
        <v>115.5</v>
      </c>
      <c r="D1871" s="6">
        <v>118.5</v>
      </c>
      <c r="E1871" s="6">
        <v>234</v>
      </c>
      <c r="F1871" s="11"/>
    </row>
    <row r="1872" spans="1:6">
      <c r="A1872" s="5" t="str">
        <f t="shared" si="34"/>
        <v>202309</v>
      </c>
      <c r="B1872" s="5" t="str">
        <f>"23085021325"</f>
        <v>23085021325</v>
      </c>
      <c r="C1872" s="6">
        <v>112.5</v>
      </c>
      <c r="D1872" s="6">
        <v>121</v>
      </c>
      <c r="E1872" s="6">
        <v>233.5</v>
      </c>
      <c r="F1872" s="11"/>
    </row>
    <row r="1873" spans="1:6">
      <c r="A1873" s="5" t="str">
        <f t="shared" si="34"/>
        <v>202309</v>
      </c>
      <c r="B1873" s="5" t="str">
        <f>"23085021024"</f>
        <v>23085021024</v>
      </c>
      <c r="C1873" s="6">
        <v>115.5</v>
      </c>
      <c r="D1873" s="6">
        <v>118</v>
      </c>
      <c r="E1873" s="6">
        <v>233.5</v>
      </c>
      <c r="F1873" s="11"/>
    </row>
    <row r="1874" spans="1:6">
      <c r="A1874" s="5" t="str">
        <f t="shared" si="34"/>
        <v>202309</v>
      </c>
      <c r="B1874" s="5" t="str">
        <f>"23085021525"</f>
        <v>23085021525</v>
      </c>
      <c r="C1874" s="6">
        <v>117</v>
      </c>
      <c r="D1874" s="6">
        <v>116.5</v>
      </c>
      <c r="E1874" s="6">
        <v>233.5</v>
      </c>
      <c r="F1874" s="11"/>
    </row>
    <row r="1875" spans="1:6">
      <c r="A1875" s="5" t="str">
        <f t="shared" si="34"/>
        <v>202309</v>
      </c>
      <c r="B1875" s="5" t="str">
        <f>"23085021501"</f>
        <v>23085021501</v>
      </c>
      <c r="C1875" s="6">
        <v>114</v>
      </c>
      <c r="D1875" s="6">
        <v>119.5</v>
      </c>
      <c r="E1875" s="6">
        <v>233.5</v>
      </c>
      <c r="F1875" s="11"/>
    </row>
    <row r="1876" spans="1:6">
      <c r="A1876" s="5" t="str">
        <f t="shared" si="34"/>
        <v>202309</v>
      </c>
      <c r="B1876" s="5" t="str">
        <f>"23085016219"</f>
        <v>23085016219</v>
      </c>
      <c r="C1876" s="6">
        <v>118.5</v>
      </c>
      <c r="D1876" s="6">
        <v>115</v>
      </c>
      <c r="E1876" s="6">
        <v>233.5</v>
      </c>
      <c r="F1876" s="11"/>
    </row>
    <row r="1877" spans="1:6">
      <c r="A1877" s="5" t="str">
        <f t="shared" si="34"/>
        <v>202309</v>
      </c>
      <c r="B1877" s="5" t="str">
        <f>"23085021423"</f>
        <v>23085021423</v>
      </c>
      <c r="C1877" s="6">
        <v>117</v>
      </c>
      <c r="D1877" s="6">
        <v>116.5</v>
      </c>
      <c r="E1877" s="6">
        <v>233.5</v>
      </c>
      <c r="F1877" s="11"/>
    </row>
    <row r="1878" spans="1:6">
      <c r="A1878" s="5" t="str">
        <f t="shared" si="34"/>
        <v>202309</v>
      </c>
      <c r="B1878" s="5" t="str">
        <f>"23085020709"</f>
        <v>23085020709</v>
      </c>
      <c r="C1878" s="6">
        <v>114</v>
      </c>
      <c r="D1878" s="6">
        <v>119.5</v>
      </c>
      <c r="E1878" s="6">
        <v>233.5</v>
      </c>
      <c r="F1878" s="11"/>
    </row>
    <row r="1879" spans="1:6">
      <c r="A1879" s="5" t="str">
        <f t="shared" si="34"/>
        <v>202309</v>
      </c>
      <c r="B1879" s="5" t="str">
        <f>"23085020619"</f>
        <v>23085020619</v>
      </c>
      <c r="C1879" s="6">
        <v>118.5</v>
      </c>
      <c r="D1879" s="6">
        <v>115</v>
      </c>
      <c r="E1879" s="6">
        <v>233.5</v>
      </c>
      <c r="F1879" s="11"/>
    </row>
    <row r="1880" spans="1:6">
      <c r="A1880" s="5" t="str">
        <f t="shared" si="34"/>
        <v>202309</v>
      </c>
      <c r="B1880" s="5" t="str">
        <f>"23085020602"</f>
        <v>23085020602</v>
      </c>
      <c r="C1880" s="6">
        <v>112.5</v>
      </c>
      <c r="D1880" s="6">
        <v>120.5</v>
      </c>
      <c r="E1880" s="6">
        <v>233</v>
      </c>
      <c r="F1880" s="11"/>
    </row>
    <row r="1881" spans="1:6">
      <c r="A1881" s="5" t="str">
        <f t="shared" si="34"/>
        <v>202309</v>
      </c>
      <c r="B1881" s="5" t="str">
        <f>"23085021129"</f>
        <v>23085021129</v>
      </c>
      <c r="C1881" s="6">
        <v>120</v>
      </c>
      <c r="D1881" s="6">
        <v>113</v>
      </c>
      <c r="E1881" s="6">
        <v>233</v>
      </c>
      <c r="F1881" s="11"/>
    </row>
    <row r="1882" spans="1:6">
      <c r="A1882" s="5" t="str">
        <f t="shared" si="34"/>
        <v>202309</v>
      </c>
      <c r="B1882" s="5" t="str">
        <f>"23085016404"</f>
        <v>23085016404</v>
      </c>
      <c r="C1882" s="6">
        <v>115.5</v>
      </c>
      <c r="D1882" s="6">
        <v>117</v>
      </c>
      <c r="E1882" s="6">
        <v>232.5</v>
      </c>
      <c r="F1882" s="11"/>
    </row>
    <row r="1883" spans="1:6">
      <c r="A1883" s="5" t="str">
        <f t="shared" si="34"/>
        <v>202309</v>
      </c>
      <c r="B1883" s="5" t="str">
        <f>"23085021522"</f>
        <v>23085021522</v>
      </c>
      <c r="C1883" s="6">
        <v>118.5</v>
      </c>
      <c r="D1883" s="6">
        <v>113.5</v>
      </c>
      <c r="E1883" s="6">
        <v>232</v>
      </c>
      <c r="F1883" s="11"/>
    </row>
    <row r="1884" spans="1:6">
      <c r="A1884" s="5" t="str">
        <f t="shared" si="34"/>
        <v>202309</v>
      </c>
      <c r="B1884" s="5" t="str">
        <f>"23085016320"</f>
        <v>23085016320</v>
      </c>
      <c r="C1884" s="6">
        <v>114</v>
      </c>
      <c r="D1884" s="6">
        <v>118</v>
      </c>
      <c r="E1884" s="6">
        <v>232</v>
      </c>
      <c r="F1884" s="11"/>
    </row>
    <row r="1885" spans="1:6">
      <c r="A1885" s="5" t="str">
        <f t="shared" si="34"/>
        <v>202309</v>
      </c>
      <c r="B1885" s="5" t="str">
        <f>"23085016420"</f>
        <v>23085016420</v>
      </c>
      <c r="C1885" s="6">
        <v>112.5</v>
      </c>
      <c r="D1885" s="6">
        <v>119</v>
      </c>
      <c r="E1885" s="6">
        <v>231.5</v>
      </c>
      <c r="F1885" s="11"/>
    </row>
    <row r="1886" spans="1:6">
      <c r="A1886" s="5" t="str">
        <f t="shared" si="34"/>
        <v>202309</v>
      </c>
      <c r="B1886" s="5" t="str">
        <f>"23085020312"</f>
        <v>23085020312</v>
      </c>
      <c r="C1886" s="6">
        <v>120</v>
      </c>
      <c r="D1886" s="6">
        <v>111.5</v>
      </c>
      <c r="E1886" s="6">
        <v>231.5</v>
      </c>
      <c r="F1886" s="11"/>
    </row>
    <row r="1887" spans="1:6">
      <c r="A1887" s="5" t="str">
        <f t="shared" si="34"/>
        <v>202309</v>
      </c>
      <c r="B1887" s="5" t="str">
        <f>"23085021502"</f>
        <v>23085021502</v>
      </c>
      <c r="C1887" s="6">
        <v>120</v>
      </c>
      <c r="D1887" s="6">
        <v>111</v>
      </c>
      <c r="E1887" s="6">
        <v>231</v>
      </c>
      <c r="F1887" s="11"/>
    </row>
    <row r="1888" spans="1:6">
      <c r="A1888" s="5" t="str">
        <f t="shared" si="34"/>
        <v>202309</v>
      </c>
      <c r="B1888" s="5" t="str">
        <f>"23085020727"</f>
        <v>23085020727</v>
      </c>
      <c r="C1888" s="6">
        <v>115.5</v>
      </c>
      <c r="D1888" s="6">
        <v>115.5</v>
      </c>
      <c r="E1888" s="6">
        <v>231</v>
      </c>
      <c r="F1888" s="11"/>
    </row>
    <row r="1889" spans="1:6">
      <c r="A1889" s="5" t="str">
        <f t="shared" si="34"/>
        <v>202309</v>
      </c>
      <c r="B1889" s="5" t="str">
        <f>"23085021805"</f>
        <v>23085021805</v>
      </c>
      <c r="C1889" s="6">
        <v>121.5</v>
      </c>
      <c r="D1889" s="6">
        <v>109.5</v>
      </c>
      <c r="E1889" s="6">
        <v>231</v>
      </c>
      <c r="F1889" s="11"/>
    </row>
    <row r="1890" spans="1:6">
      <c r="A1890" s="5" t="str">
        <f t="shared" si="34"/>
        <v>202309</v>
      </c>
      <c r="B1890" s="5" t="str">
        <f>"23085016406"</f>
        <v>23085016406</v>
      </c>
      <c r="C1890" s="6">
        <v>117</v>
      </c>
      <c r="D1890" s="6">
        <v>113.5</v>
      </c>
      <c r="E1890" s="6">
        <v>230.5</v>
      </c>
      <c r="F1890" s="11"/>
    </row>
    <row r="1891" spans="1:6">
      <c r="A1891" s="5" t="str">
        <f t="shared" si="34"/>
        <v>202309</v>
      </c>
      <c r="B1891" s="5" t="str">
        <f>"23085021215"</f>
        <v>23085021215</v>
      </c>
      <c r="C1891" s="6">
        <v>115.5</v>
      </c>
      <c r="D1891" s="6">
        <v>115</v>
      </c>
      <c r="E1891" s="6">
        <v>230.5</v>
      </c>
      <c r="F1891" s="11"/>
    </row>
    <row r="1892" spans="1:6">
      <c r="A1892" s="5" t="str">
        <f t="shared" si="34"/>
        <v>202309</v>
      </c>
      <c r="B1892" s="5" t="str">
        <f>"23085021309"</f>
        <v>23085021309</v>
      </c>
      <c r="C1892" s="6">
        <v>121.5</v>
      </c>
      <c r="D1892" s="6">
        <v>109</v>
      </c>
      <c r="E1892" s="6">
        <v>230.5</v>
      </c>
      <c r="F1892" s="11"/>
    </row>
    <row r="1893" spans="1:6">
      <c r="A1893" s="5" t="str">
        <f t="shared" si="34"/>
        <v>202309</v>
      </c>
      <c r="B1893" s="5" t="str">
        <f>"23085020808"</f>
        <v>23085020808</v>
      </c>
      <c r="C1893" s="6">
        <v>111</v>
      </c>
      <c r="D1893" s="6">
        <v>119.5</v>
      </c>
      <c r="E1893" s="6">
        <v>230.5</v>
      </c>
      <c r="F1893" s="11"/>
    </row>
    <row r="1894" spans="1:6">
      <c r="A1894" s="5" t="str">
        <f t="shared" si="34"/>
        <v>202309</v>
      </c>
      <c r="B1894" s="5" t="str">
        <f>"23085020415"</f>
        <v>23085020415</v>
      </c>
      <c r="C1894" s="6">
        <v>115.5</v>
      </c>
      <c r="D1894" s="6">
        <v>115</v>
      </c>
      <c r="E1894" s="6">
        <v>230.5</v>
      </c>
      <c r="F1894" s="11"/>
    </row>
    <row r="1895" spans="1:6">
      <c r="A1895" s="5" t="str">
        <f t="shared" si="34"/>
        <v>202309</v>
      </c>
      <c r="B1895" s="5" t="str">
        <f>"23085020817"</f>
        <v>23085020817</v>
      </c>
      <c r="C1895" s="6">
        <v>114</v>
      </c>
      <c r="D1895" s="6">
        <v>116</v>
      </c>
      <c r="E1895" s="6">
        <v>230</v>
      </c>
      <c r="F1895" s="11"/>
    </row>
    <row r="1896" spans="1:6">
      <c r="A1896" s="5" t="str">
        <f t="shared" si="34"/>
        <v>202309</v>
      </c>
      <c r="B1896" s="5" t="str">
        <f>"23085021709"</f>
        <v>23085021709</v>
      </c>
      <c r="C1896" s="6">
        <v>115.5</v>
      </c>
      <c r="D1896" s="6">
        <v>114.5</v>
      </c>
      <c r="E1896" s="6">
        <v>230</v>
      </c>
      <c r="F1896" s="11"/>
    </row>
    <row r="1897" spans="1:6">
      <c r="A1897" s="5" t="str">
        <f t="shared" si="34"/>
        <v>202309</v>
      </c>
      <c r="B1897" s="5" t="str">
        <f>"23085020507"</f>
        <v>23085020507</v>
      </c>
      <c r="C1897" s="6">
        <v>112.5</v>
      </c>
      <c r="D1897" s="6">
        <v>117</v>
      </c>
      <c r="E1897" s="6">
        <v>229.5</v>
      </c>
      <c r="F1897" s="11"/>
    </row>
    <row r="1898" spans="1:6">
      <c r="A1898" s="5" t="str">
        <f t="shared" si="34"/>
        <v>202309</v>
      </c>
      <c r="B1898" s="5" t="str">
        <f>"23085016515"</f>
        <v>23085016515</v>
      </c>
      <c r="C1898" s="6">
        <v>112.5</v>
      </c>
      <c r="D1898" s="6">
        <v>117</v>
      </c>
      <c r="E1898" s="6">
        <v>229.5</v>
      </c>
      <c r="F1898" s="11"/>
    </row>
    <row r="1899" spans="1:6">
      <c r="A1899" s="5" t="str">
        <f t="shared" si="34"/>
        <v>202309</v>
      </c>
      <c r="B1899" s="5" t="str">
        <f>"23085020213"</f>
        <v>23085020213</v>
      </c>
      <c r="C1899" s="6">
        <v>114</v>
      </c>
      <c r="D1899" s="6">
        <v>115.5</v>
      </c>
      <c r="E1899" s="6">
        <v>229.5</v>
      </c>
      <c r="F1899" s="11"/>
    </row>
    <row r="1900" spans="1:6">
      <c r="A1900" s="5" t="str">
        <f t="shared" si="34"/>
        <v>202309</v>
      </c>
      <c r="B1900" s="5" t="str">
        <f>"23085020325"</f>
        <v>23085020325</v>
      </c>
      <c r="C1900" s="6">
        <v>112.5</v>
      </c>
      <c r="D1900" s="6">
        <v>117</v>
      </c>
      <c r="E1900" s="6">
        <v>229.5</v>
      </c>
      <c r="F1900" s="11"/>
    </row>
    <row r="1901" spans="1:6">
      <c r="A1901" s="5" t="str">
        <f t="shared" si="34"/>
        <v>202309</v>
      </c>
      <c r="B1901" s="5" t="str">
        <f>"23085021225"</f>
        <v>23085021225</v>
      </c>
      <c r="C1901" s="6">
        <v>114</v>
      </c>
      <c r="D1901" s="6">
        <v>115.5</v>
      </c>
      <c r="E1901" s="6">
        <v>229.5</v>
      </c>
      <c r="F1901" s="11"/>
    </row>
    <row r="1902" spans="1:6">
      <c r="A1902" s="5" t="str">
        <f t="shared" si="34"/>
        <v>202309</v>
      </c>
      <c r="B1902" s="5" t="str">
        <f>"23085020802"</f>
        <v>23085020802</v>
      </c>
      <c r="C1902" s="6">
        <v>109.5</v>
      </c>
      <c r="D1902" s="6">
        <v>120</v>
      </c>
      <c r="E1902" s="6">
        <v>229.5</v>
      </c>
      <c r="F1902" s="11"/>
    </row>
    <row r="1903" spans="1:6">
      <c r="A1903" s="5" t="str">
        <f t="shared" si="34"/>
        <v>202309</v>
      </c>
      <c r="B1903" s="5" t="str">
        <f>"23085021314"</f>
        <v>23085021314</v>
      </c>
      <c r="C1903" s="6">
        <v>118.5</v>
      </c>
      <c r="D1903" s="6">
        <v>111</v>
      </c>
      <c r="E1903" s="6">
        <v>229.5</v>
      </c>
      <c r="F1903" s="11"/>
    </row>
    <row r="1904" spans="1:6">
      <c r="A1904" s="5" t="str">
        <f t="shared" si="34"/>
        <v>202309</v>
      </c>
      <c r="B1904" s="5" t="str">
        <f>"23085021715"</f>
        <v>23085021715</v>
      </c>
      <c r="C1904" s="6">
        <v>108</v>
      </c>
      <c r="D1904" s="6">
        <v>121</v>
      </c>
      <c r="E1904" s="6">
        <v>229</v>
      </c>
      <c r="F1904" s="11"/>
    </row>
    <row r="1905" spans="1:6">
      <c r="A1905" s="5" t="str">
        <f t="shared" si="34"/>
        <v>202309</v>
      </c>
      <c r="B1905" s="5" t="str">
        <f>"23085020126"</f>
        <v>23085020126</v>
      </c>
      <c r="C1905" s="6">
        <v>115.5</v>
      </c>
      <c r="D1905" s="6">
        <v>113.5</v>
      </c>
      <c r="E1905" s="6">
        <v>229</v>
      </c>
      <c r="F1905" s="11"/>
    </row>
    <row r="1906" spans="1:6">
      <c r="A1906" s="5" t="str">
        <f t="shared" si="34"/>
        <v>202309</v>
      </c>
      <c r="B1906" s="5" t="str">
        <f>"23085020114"</f>
        <v>23085020114</v>
      </c>
      <c r="C1906" s="6">
        <v>117</v>
      </c>
      <c r="D1906" s="6">
        <v>111.5</v>
      </c>
      <c r="E1906" s="6">
        <v>228.5</v>
      </c>
      <c r="F1906" s="11"/>
    </row>
    <row r="1907" spans="1:6">
      <c r="A1907" s="5" t="str">
        <f t="shared" si="34"/>
        <v>202309</v>
      </c>
      <c r="B1907" s="5" t="str">
        <f>"23085021329"</f>
        <v>23085021329</v>
      </c>
      <c r="C1907" s="6">
        <v>114</v>
      </c>
      <c r="D1907" s="6">
        <v>114.5</v>
      </c>
      <c r="E1907" s="6">
        <v>228.5</v>
      </c>
      <c r="F1907" s="11"/>
    </row>
    <row r="1908" spans="1:6">
      <c r="A1908" s="5" t="str">
        <f t="shared" si="34"/>
        <v>202309</v>
      </c>
      <c r="B1908" s="5" t="str">
        <f>"23085021422"</f>
        <v>23085021422</v>
      </c>
      <c r="C1908" s="6">
        <v>115.5</v>
      </c>
      <c r="D1908" s="6">
        <v>113</v>
      </c>
      <c r="E1908" s="6">
        <v>228.5</v>
      </c>
      <c r="F1908" s="11"/>
    </row>
    <row r="1909" spans="1:6">
      <c r="A1909" s="5" t="str">
        <f t="shared" ref="A1909:A1972" si="35">"202309"</f>
        <v>202309</v>
      </c>
      <c r="B1909" s="5" t="str">
        <f>"23085020330"</f>
        <v>23085020330</v>
      </c>
      <c r="C1909" s="6">
        <v>112.5</v>
      </c>
      <c r="D1909" s="6">
        <v>116</v>
      </c>
      <c r="E1909" s="6">
        <v>228.5</v>
      </c>
      <c r="F1909" s="11"/>
    </row>
    <row r="1910" spans="1:6">
      <c r="A1910" s="5" t="str">
        <f t="shared" si="35"/>
        <v>202309</v>
      </c>
      <c r="B1910" s="5" t="str">
        <f>"23085021213"</f>
        <v>23085021213</v>
      </c>
      <c r="C1910" s="6">
        <v>111</v>
      </c>
      <c r="D1910" s="6">
        <v>117.5</v>
      </c>
      <c r="E1910" s="6">
        <v>228.5</v>
      </c>
      <c r="F1910" s="11"/>
    </row>
    <row r="1911" spans="1:6">
      <c r="A1911" s="5" t="str">
        <f t="shared" si="35"/>
        <v>202309</v>
      </c>
      <c r="B1911" s="5" t="str">
        <f>"23085021820"</f>
        <v>23085021820</v>
      </c>
      <c r="C1911" s="6">
        <v>111</v>
      </c>
      <c r="D1911" s="6">
        <v>117.5</v>
      </c>
      <c r="E1911" s="6">
        <v>228.5</v>
      </c>
      <c r="F1911" s="11"/>
    </row>
    <row r="1912" spans="1:6">
      <c r="A1912" s="5" t="str">
        <f t="shared" si="35"/>
        <v>202309</v>
      </c>
      <c r="B1912" s="5" t="str">
        <f>"23085021818"</f>
        <v>23085021818</v>
      </c>
      <c r="C1912" s="6">
        <v>114</v>
      </c>
      <c r="D1912" s="6">
        <v>114</v>
      </c>
      <c r="E1912" s="6">
        <v>228</v>
      </c>
      <c r="F1912" s="11"/>
    </row>
    <row r="1913" spans="1:6">
      <c r="A1913" s="5" t="str">
        <f t="shared" si="35"/>
        <v>202309</v>
      </c>
      <c r="B1913" s="5" t="str">
        <f>"23085020915"</f>
        <v>23085020915</v>
      </c>
      <c r="C1913" s="6">
        <v>112.5</v>
      </c>
      <c r="D1913" s="6">
        <v>115.5</v>
      </c>
      <c r="E1913" s="6">
        <v>228</v>
      </c>
      <c r="F1913" s="11"/>
    </row>
    <row r="1914" spans="1:6">
      <c r="A1914" s="5" t="str">
        <f t="shared" si="35"/>
        <v>202309</v>
      </c>
      <c r="B1914" s="5" t="str">
        <f>"23085021221"</f>
        <v>23085021221</v>
      </c>
      <c r="C1914" s="6">
        <v>111</v>
      </c>
      <c r="D1914" s="6">
        <v>117</v>
      </c>
      <c r="E1914" s="6">
        <v>228</v>
      </c>
      <c r="F1914" s="11"/>
    </row>
    <row r="1915" spans="1:6">
      <c r="A1915" s="5" t="str">
        <f t="shared" si="35"/>
        <v>202309</v>
      </c>
      <c r="B1915" s="5" t="str">
        <f>"23085020128"</f>
        <v>23085020128</v>
      </c>
      <c r="C1915" s="6">
        <v>117</v>
      </c>
      <c r="D1915" s="6">
        <v>111</v>
      </c>
      <c r="E1915" s="6">
        <v>228</v>
      </c>
      <c r="F1915" s="11"/>
    </row>
    <row r="1916" spans="1:6">
      <c r="A1916" s="5" t="str">
        <f t="shared" si="35"/>
        <v>202309</v>
      </c>
      <c r="B1916" s="5" t="str">
        <f>"23085020423"</f>
        <v>23085020423</v>
      </c>
      <c r="C1916" s="6">
        <v>114</v>
      </c>
      <c r="D1916" s="6">
        <v>114</v>
      </c>
      <c r="E1916" s="6">
        <v>228</v>
      </c>
      <c r="F1916" s="11"/>
    </row>
    <row r="1917" spans="1:6">
      <c r="A1917" s="5" t="str">
        <f t="shared" si="35"/>
        <v>202309</v>
      </c>
      <c r="B1917" s="5" t="str">
        <f>"23085021507"</f>
        <v>23085021507</v>
      </c>
      <c r="C1917" s="6">
        <v>111</v>
      </c>
      <c r="D1917" s="6">
        <v>117</v>
      </c>
      <c r="E1917" s="6">
        <v>228</v>
      </c>
      <c r="F1917" s="11"/>
    </row>
    <row r="1918" spans="1:6">
      <c r="A1918" s="5" t="str">
        <f t="shared" si="35"/>
        <v>202309</v>
      </c>
      <c r="B1918" s="5" t="str">
        <f>"23085021614"</f>
        <v>23085021614</v>
      </c>
      <c r="C1918" s="6">
        <v>106.5</v>
      </c>
      <c r="D1918" s="6">
        <v>121.5</v>
      </c>
      <c r="E1918" s="6">
        <v>228</v>
      </c>
      <c r="F1918" s="11"/>
    </row>
    <row r="1919" spans="1:6">
      <c r="A1919" s="5" t="str">
        <f t="shared" si="35"/>
        <v>202309</v>
      </c>
      <c r="B1919" s="5" t="str">
        <f>"23085020405"</f>
        <v>23085020405</v>
      </c>
      <c r="C1919" s="6">
        <v>115.5</v>
      </c>
      <c r="D1919" s="6">
        <v>112.5</v>
      </c>
      <c r="E1919" s="6">
        <v>228</v>
      </c>
      <c r="F1919" s="11"/>
    </row>
    <row r="1920" spans="1:6">
      <c r="A1920" s="5" t="str">
        <f t="shared" si="35"/>
        <v>202309</v>
      </c>
      <c r="B1920" s="5" t="str">
        <f>"23085021104"</f>
        <v>23085021104</v>
      </c>
      <c r="C1920" s="6">
        <v>112.5</v>
      </c>
      <c r="D1920" s="6">
        <v>115.5</v>
      </c>
      <c r="E1920" s="6">
        <v>228</v>
      </c>
      <c r="F1920" s="11"/>
    </row>
    <row r="1921" spans="1:6">
      <c r="A1921" s="5" t="str">
        <f t="shared" si="35"/>
        <v>202309</v>
      </c>
      <c r="B1921" s="5" t="str">
        <f>"23085016423"</f>
        <v>23085016423</v>
      </c>
      <c r="C1921" s="6">
        <v>118.5</v>
      </c>
      <c r="D1921" s="6">
        <v>109</v>
      </c>
      <c r="E1921" s="6">
        <v>227.5</v>
      </c>
      <c r="F1921" s="11"/>
    </row>
    <row r="1922" spans="1:6">
      <c r="A1922" s="5" t="str">
        <f t="shared" si="35"/>
        <v>202309</v>
      </c>
      <c r="B1922" s="5" t="str">
        <f>"23085020326"</f>
        <v>23085020326</v>
      </c>
      <c r="C1922" s="6">
        <v>111</v>
      </c>
      <c r="D1922" s="6">
        <v>116.5</v>
      </c>
      <c r="E1922" s="6">
        <v>227.5</v>
      </c>
      <c r="F1922" s="11"/>
    </row>
    <row r="1923" spans="1:6">
      <c r="A1923" s="5" t="str">
        <f t="shared" si="35"/>
        <v>202309</v>
      </c>
      <c r="B1923" s="5" t="str">
        <f>"23085020721"</f>
        <v>23085020721</v>
      </c>
      <c r="C1923" s="6">
        <v>115.5</v>
      </c>
      <c r="D1923" s="6">
        <v>112</v>
      </c>
      <c r="E1923" s="6">
        <v>227.5</v>
      </c>
      <c r="F1923" s="11"/>
    </row>
    <row r="1924" spans="1:6">
      <c r="A1924" s="5" t="str">
        <f t="shared" si="35"/>
        <v>202309</v>
      </c>
      <c r="B1924" s="5" t="str">
        <f>"23085021206"</f>
        <v>23085021206</v>
      </c>
      <c r="C1924" s="6">
        <v>111</v>
      </c>
      <c r="D1924" s="6">
        <v>116.5</v>
      </c>
      <c r="E1924" s="6">
        <v>227.5</v>
      </c>
      <c r="F1924" s="11"/>
    </row>
    <row r="1925" spans="1:6">
      <c r="A1925" s="5" t="str">
        <f t="shared" si="35"/>
        <v>202309</v>
      </c>
      <c r="B1925" s="5" t="str">
        <f>"23085016217"</f>
        <v>23085016217</v>
      </c>
      <c r="C1925" s="6">
        <v>106.5</v>
      </c>
      <c r="D1925" s="6">
        <v>120.5</v>
      </c>
      <c r="E1925" s="6">
        <v>227</v>
      </c>
      <c r="F1925" s="11"/>
    </row>
    <row r="1926" spans="1:6">
      <c r="A1926" s="5" t="str">
        <f t="shared" si="35"/>
        <v>202309</v>
      </c>
      <c r="B1926" s="5" t="str">
        <f>"23085021723"</f>
        <v>23085021723</v>
      </c>
      <c r="C1926" s="6">
        <v>108</v>
      </c>
      <c r="D1926" s="6">
        <v>119</v>
      </c>
      <c r="E1926" s="6">
        <v>227</v>
      </c>
      <c r="F1926" s="11"/>
    </row>
    <row r="1927" spans="1:6">
      <c r="A1927" s="5" t="str">
        <f t="shared" si="35"/>
        <v>202309</v>
      </c>
      <c r="B1927" s="5" t="str">
        <f>"23085021016"</f>
        <v>23085021016</v>
      </c>
      <c r="C1927" s="6">
        <v>106.5</v>
      </c>
      <c r="D1927" s="6">
        <v>120.5</v>
      </c>
      <c r="E1927" s="6">
        <v>227</v>
      </c>
      <c r="F1927" s="11"/>
    </row>
    <row r="1928" spans="1:6">
      <c r="A1928" s="5" t="str">
        <f t="shared" si="35"/>
        <v>202309</v>
      </c>
      <c r="B1928" s="5" t="str">
        <f>"23085021727"</f>
        <v>23085021727</v>
      </c>
      <c r="C1928" s="6">
        <v>111</v>
      </c>
      <c r="D1928" s="6">
        <v>115.5</v>
      </c>
      <c r="E1928" s="6">
        <v>226.5</v>
      </c>
      <c r="F1928" s="11"/>
    </row>
    <row r="1929" spans="1:6">
      <c r="A1929" s="5" t="str">
        <f t="shared" si="35"/>
        <v>202309</v>
      </c>
      <c r="B1929" s="5" t="str">
        <f>"23085016222"</f>
        <v>23085016222</v>
      </c>
      <c r="C1929" s="6">
        <v>108</v>
      </c>
      <c r="D1929" s="6">
        <v>118.5</v>
      </c>
      <c r="E1929" s="6">
        <v>226.5</v>
      </c>
      <c r="F1929" s="11"/>
    </row>
    <row r="1930" spans="1:6">
      <c r="A1930" s="5" t="str">
        <f t="shared" si="35"/>
        <v>202309</v>
      </c>
      <c r="B1930" s="5" t="str">
        <f>"23085016413"</f>
        <v>23085016413</v>
      </c>
      <c r="C1930" s="6">
        <v>108</v>
      </c>
      <c r="D1930" s="6">
        <v>118</v>
      </c>
      <c r="E1930" s="6">
        <v>226</v>
      </c>
      <c r="F1930" s="11"/>
    </row>
    <row r="1931" spans="1:6">
      <c r="A1931" s="5" t="str">
        <f t="shared" si="35"/>
        <v>202309</v>
      </c>
      <c r="B1931" s="5" t="str">
        <f>"23085021619"</f>
        <v>23085021619</v>
      </c>
      <c r="C1931" s="6">
        <v>111</v>
      </c>
      <c r="D1931" s="6">
        <v>115</v>
      </c>
      <c r="E1931" s="6">
        <v>226</v>
      </c>
      <c r="F1931" s="11"/>
    </row>
    <row r="1932" spans="1:6">
      <c r="A1932" s="5" t="str">
        <f t="shared" si="35"/>
        <v>202309</v>
      </c>
      <c r="B1932" s="5" t="str">
        <f>"23085020829"</f>
        <v>23085020829</v>
      </c>
      <c r="C1932" s="6">
        <v>109.5</v>
      </c>
      <c r="D1932" s="6">
        <v>116.5</v>
      </c>
      <c r="E1932" s="6">
        <v>226</v>
      </c>
      <c r="F1932" s="11"/>
    </row>
    <row r="1933" spans="1:6">
      <c r="A1933" s="5" t="str">
        <f t="shared" si="35"/>
        <v>202309</v>
      </c>
      <c r="B1933" s="5" t="str">
        <f>"23085021429"</f>
        <v>23085021429</v>
      </c>
      <c r="C1933" s="6">
        <v>108</v>
      </c>
      <c r="D1933" s="6">
        <v>118</v>
      </c>
      <c r="E1933" s="6">
        <v>226</v>
      </c>
      <c r="F1933" s="11"/>
    </row>
    <row r="1934" spans="1:6">
      <c r="A1934" s="5" t="str">
        <f t="shared" si="35"/>
        <v>202309</v>
      </c>
      <c r="B1934" s="5" t="str">
        <f>"23085016415"</f>
        <v>23085016415</v>
      </c>
      <c r="C1934" s="6">
        <v>109.5</v>
      </c>
      <c r="D1934" s="6">
        <v>116.5</v>
      </c>
      <c r="E1934" s="6">
        <v>226</v>
      </c>
      <c r="F1934" s="11"/>
    </row>
    <row r="1935" spans="1:6">
      <c r="A1935" s="5" t="str">
        <f t="shared" si="35"/>
        <v>202309</v>
      </c>
      <c r="B1935" s="5" t="str">
        <f>"23085020704"</f>
        <v>23085020704</v>
      </c>
      <c r="C1935" s="6">
        <v>112.5</v>
      </c>
      <c r="D1935" s="6">
        <v>113.5</v>
      </c>
      <c r="E1935" s="6">
        <v>226</v>
      </c>
      <c r="F1935" s="11"/>
    </row>
    <row r="1936" spans="1:6">
      <c r="A1936" s="5" t="str">
        <f t="shared" si="35"/>
        <v>202309</v>
      </c>
      <c r="B1936" s="5" t="str">
        <f>"23085016327"</f>
        <v>23085016327</v>
      </c>
      <c r="C1936" s="6">
        <v>111</v>
      </c>
      <c r="D1936" s="6">
        <v>114.5</v>
      </c>
      <c r="E1936" s="6">
        <v>225.5</v>
      </c>
      <c r="F1936" s="11"/>
    </row>
    <row r="1937" spans="1:6">
      <c r="A1937" s="5" t="str">
        <f t="shared" si="35"/>
        <v>202309</v>
      </c>
      <c r="B1937" s="5" t="str">
        <f>"23085016427"</f>
        <v>23085016427</v>
      </c>
      <c r="C1937" s="6">
        <v>106.5</v>
      </c>
      <c r="D1937" s="6">
        <v>119</v>
      </c>
      <c r="E1937" s="6">
        <v>225.5</v>
      </c>
      <c r="F1937" s="11"/>
    </row>
    <row r="1938" spans="1:6">
      <c r="A1938" s="5" t="str">
        <f t="shared" si="35"/>
        <v>202309</v>
      </c>
      <c r="B1938" s="5" t="str">
        <f>"23085016523"</f>
        <v>23085016523</v>
      </c>
      <c r="C1938" s="6">
        <v>106.5</v>
      </c>
      <c r="D1938" s="6">
        <v>119</v>
      </c>
      <c r="E1938" s="6">
        <v>225.5</v>
      </c>
      <c r="F1938" s="11"/>
    </row>
    <row r="1939" spans="1:6">
      <c r="A1939" s="5" t="str">
        <f t="shared" si="35"/>
        <v>202309</v>
      </c>
      <c r="B1939" s="5" t="str">
        <f>"23085016522"</f>
        <v>23085016522</v>
      </c>
      <c r="C1939" s="6">
        <v>109.5</v>
      </c>
      <c r="D1939" s="6">
        <v>116</v>
      </c>
      <c r="E1939" s="6">
        <v>225.5</v>
      </c>
      <c r="F1939" s="11"/>
    </row>
    <row r="1940" spans="1:6">
      <c r="A1940" s="5" t="str">
        <f t="shared" si="35"/>
        <v>202309</v>
      </c>
      <c r="B1940" s="5" t="str">
        <f>"23085020916"</f>
        <v>23085020916</v>
      </c>
      <c r="C1940" s="6">
        <v>114</v>
      </c>
      <c r="D1940" s="6">
        <v>111.5</v>
      </c>
      <c r="E1940" s="6">
        <v>225.5</v>
      </c>
      <c r="F1940" s="11"/>
    </row>
    <row r="1941" spans="1:6">
      <c r="A1941" s="5" t="str">
        <f t="shared" si="35"/>
        <v>202309</v>
      </c>
      <c r="B1941" s="5" t="str">
        <f>"23085020204"</f>
        <v>23085020204</v>
      </c>
      <c r="C1941" s="6">
        <v>112.5</v>
      </c>
      <c r="D1941" s="6">
        <v>113</v>
      </c>
      <c r="E1941" s="6">
        <v>225.5</v>
      </c>
      <c r="F1941" s="11"/>
    </row>
    <row r="1942" spans="1:6">
      <c r="A1942" s="5" t="str">
        <f t="shared" si="35"/>
        <v>202309</v>
      </c>
      <c r="B1942" s="5" t="str">
        <f>"23085020124"</f>
        <v>23085020124</v>
      </c>
      <c r="C1942" s="6">
        <v>109.5</v>
      </c>
      <c r="D1942" s="6">
        <v>115.5</v>
      </c>
      <c r="E1942" s="6">
        <v>225</v>
      </c>
      <c r="F1942" s="11"/>
    </row>
    <row r="1943" spans="1:6">
      <c r="A1943" s="5" t="str">
        <f t="shared" si="35"/>
        <v>202309</v>
      </c>
      <c r="B1943" s="5" t="str">
        <f>"23085021210"</f>
        <v>23085021210</v>
      </c>
      <c r="C1943" s="6">
        <v>117</v>
      </c>
      <c r="D1943" s="6">
        <v>108</v>
      </c>
      <c r="E1943" s="6">
        <v>225</v>
      </c>
      <c r="F1943" s="11"/>
    </row>
    <row r="1944" spans="1:6">
      <c r="A1944" s="5" t="str">
        <f t="shared" si="35"/>
        <v>202309</v>
      </c>
      <c r="B1944" s="5" t="str">
        <f>"23085020712"</f>
        <v>23085020712</v>
      </c>
      <c r="C1944" s="6">
        <v>109.5</v>
      </c>
      <c r="D1944" s="6">
        <v>115.5</v>
      </c>
      <c r="E1944" s="6">
        <v>225</v>
      </c>
      <c r="F1944" s="11"/>
    </row>
    <row r="1945" spans="1:6">
      <c r="A1945" s="5" t="str">
        <f t="shared" si="35"/>
        <v>202309</v>
      </c>
      <c r="B1945" s="5" t="str">
        <f>"23085021410"</f>
        <v>23085021410</v>
      </c>
      <c r="C1945" s="6">
        <v>114</v>
      </c>
      <c r="D1945" s="6">
        <v>111</v>
      </c>
      <c r="E1945" s="6">
        <v>225</v>
      </c>
      <c r="F1945" s="11"/>
    </row>
    <row r="1946" spans="1:6">
      <c r="A1946" s="5" t="str">
        <f t="shared" si="35"/>
        <v>202309</v>
      </c>
      <c r="B1946" s="5" t="str">
        <f>"23085020903"</f>
        <v>23085020903</v>
      </c>
      <c r="C1946" s="6">
        <v>109.5</v>
      </c>
      <c r="D1946" s="6">
        <v>115</v>
      </c>
      <c r="E1946" s="6">
        <v>224.5</v>
      </c>
      <c r="F1946" s="11"/>
    </row>
    <row r="1947" spans="1:6">
      <c r="A1947" s="5" t="str">
        <f t="shared" si="35"/>
        <v>202309</v>
      </c>
      <c r="B1947" s="5" t="str">
        <f>"23085021524"</f>
        <v>23085021524</v>
      </c>
      <c r="C1947" s="6">
        <v>105</v>
      </c>
      <c r="D1947" s="6">
        <v>119.5</v>
      </c>
      <c r="E1947" s="6">
        <v>224.5</v>
      </c>
      <c r="F1947" s="11"/>
    </row>
    <row r="1948" spans="1:6">
      <c r="A1948" s="5" t="str">
        <f t="shared" si="35"/>
        <v>202309</v>
      </c>
      <c r="B1948" s="5" t="str">
        <f>"23085021019"</f>
        <v>23085021019</v>
      </c>
      <c r="C1948" s="6">
        <v>115.5</v>
      </c>
      <c r="D1948" s="6">
        <v>109</v>
      </c>
      <c r="E1948" s="6">
        <v>224.5</v>
      </c>
      <c r="F1948" s="11"/>
    </row>
    <row r="1949" spans="1:6">
      <c r="A1949" s="5" t="str">
        <f t="shared" si="35"/>
        <v>202309</v>
      </c>
      <c r="B1949" s="5" t="str">
        <f>"23085021419"</f>
        <v>23085021419</v>
      </c>
      <c r="C1949" s="6">
        <v>106.5</v>
      </c>
      <c r="D1949" s="6">
        <v>118</v>
      </c>
      <c r="E1949" s="6">
        <v>224.5</v>
      </c>
      <c r="F1949" s="11"/>
    </row>
    <row r="1950" spans="1:6">
      <c r="A1950" s="5" t="str">
        <f t="shared" si="35"/>
        <v>202309</v>
      </c>
      <c r="B1950" s="5" t="str">
        <f>"23085016324"</f>
        <v>23085016324</v>
      </c>
      <c r="C1950" s="6">
        <v>103.5</v>
      </c>
      <c r="D1950" s="6">
        <v>121</v>
      </c>
      <c r="E1950" s="6">
        <v>224.5</v>
      </c>
      <c r="F1950" s="11"/>
    </row>
    <row r="1951" spans="1:6">
      <c r="A1951" s="5" t="str">
        <f t="shared" si="35"/>
        <v>202309</v>
      </c>
      <c r="B1951" s="5" t="str">
        <f>"23085021118"</f>
        <v>23085021118</v>
      </c>
      <c r="C1951" s="6">
        <v>111</v>
      </c>
      <c r="D1951" s="6">
        <v>113</v>
      </c>
      <c r="E1951" s="6">
        <v>224</v>
      </c>
      <c r="F1951" s="11"/>
    </row>
    <row r="1952" spans="1:6">
      <c r="A1952" s="5" t="str">
        <f t="shared" si="35"/>
        <v>202309</v>
      </c>
      <c r="B1952" s="5" t="str">
        <f>"23085016421"</f>
        <v>23085016421</v>
      </c>
      <c r="C1952" s="6">
        <v>109.5</v>
      </c>
      <c r="D1952" s="6">
        <v>114.5</v>
      </c>
      <c r="E1952" s="6">
        <v>224</v>
      </c>
      <c r="F1952" s="11"/>
    </row>
    <row r="1953" spans="1:6">
      <c r="A1953" s="5" t="str">
        <f t="shared" si="35"/>
        <v>202309</v>
      </c>
      <c r="B1953" s="5" t="str">
        <f>"23085021330"</f>
        <v>23085021330</v>
      </c>
      <c r="C1953" s="6">
        <v>109.5</v>
      </c>
      <c r="D1953" s="6">
        <v>114.5</v>
      </c>
      <c r="E1953" s="6">
        <v>224</v>
      </c>
      <c r="F1953" s="11"/>
    </row>
    <row r="1954" spans="1:6">
      <c r="A1954" s="5" t="str">
        <f t="shared" si="35"/>
        <v>202309</v>
      </c>
      <c r="B1954" s="5" t="str">
        <f>"23085020316"</f>
        <v>23085020316</v>
      </c>
      <c r="C1954" s="6">
        <v>115.5</v>
      </c>
      <c r="D1954" s="6">
        <v>108.5</v>
      </c>
      <c r="E1954" s="6">
        <v>224</v>
      </c>
      <c r="F1954" s="11"/>
    </row>
    <row r="1955" spans="1:6">
      <c r="A1955" s="5" t="str">
        <f t="shared" si="35"/>
        <v>202309</v>
      </c>
      <c r="B1955" s="5" t="str">
        <f>"23085021729"</f>
        <v>23085021729</v>
      </c>
      <c r="C1955" s="6">
        <v>112.5</v>
      </c>
      <c r="D1955" s="6">
        <v>111</v>
      </c>
      <c r="E1955" s="6">
        <v>223.5</v>
      </c>
      <c r="F1955" s="11"/>
    </row>
    <row r="1956" spans="1:6">
      <c r="A1956" s="5" t="str">
        <f t="shared" si="35"/>
        <v>202309</v>
      </c>
      <c r="B1956" s="5" t="str">
        <f>"23085021730"</f>
        <v>23085021730</v>
      </c>
      <c r="C1956" s="6">
        <v>108</v>
      </c>
      <c r="D1956" s="6">
        <v>115.5</v>
      </c>
      <c r="E1956" s="6">
        <v>223.5</v>
      </c>
      <c r="F1956" s="11"/>
    </row>
    <row r="1957" spans="1:6">
      <c r="A1957" s="5" t="str">
        <f t="shared" si="35"/>
        <v>202309</v>
      </c>
      <c r="B1957" s="5" t="str">
        <f>"23085020103"</f>
        <v>23085020103</v>
      </c>
      <c r="C1957" s="6">
        <v>106.5</v>
      </c>
      <c r="D1957" s="6">
        <v>117</v>
      </c>
      <c r="E1957" s="6">
        <v>223.5</v>
      </c>
      <c r="F1957" s="11"/>
    </row>
    <row r="1958" spans="1:6">
      <c r="A1958" s="5" t="str">
        <f t="shared" si="35"/>
        <v>202309</v>
      </c>
      <c r="B1958" s="5" t="str">
        <f>"23085016426"</f>
        <v>23085016426</v>
      </c>
      <c r="C1958" s="6">
        <v>109.5</v>
      </c>
      <c r="D1958" s="6">
        <v>114</v>
      </c>
      <c r="E1958" s="6">
        <v>223.5</v>
      </c>
      <c r="F1958" s="11"/>
    </row>
    <row r="1959" spans="1:6">
      <c r="A1959" s="5" t="str">
        <f t="shared" si="35"/>
        <v>202309</v>
      </c>
      <c r="B1959" s="5" t="str">
        <f>"23085020801"</f>
        <v>23085020801</v>
      </c>
      <c r="C1959" s="6">
        <v>105</v>
      </c>
      <c r="D1959" s="6">
        <v>118</v>
      </c>
      <c r="E1959" s="6">
        <v>223</v>
      </c>
      <c r="F1959" s="11"/>
    </row>
    <row r="1960" spans="1:6">
      <c r="A1960" s="5" t="str">
        <f t="shared" si="35"/>
        <v>202309</v>
      </c>
      <c r="B1960" s="5" t="str">
        <f>"23085020805"</f>
        <v>23085020805</v>
      </c>
      <c r="C1960" s="6">
        <v>112.5</v>
      </c>
      <c r="D1960" s="6">
        <v>110.5</v>
      </c>
      <c r="E1960" s="6">
        <v>223</v>
      </c>
      <c r="F1960" s="11"/>
    </row>
    <row r="1961" spans="1:6">
      <c r="A1961" s="5" t="str">
        <f t="shared" si="35"/>
        <v>202309</v>
      </c>
      <c r="B1961" s="5" t="str">
        <f>"23085020224"</f>
        <v>23085020224</v>
      </c>
      <c r="C1961" s="6">
        <v>111</v>
      </c>
      <c r="D1961" s="6">
        <v>112</v>
      </c>
      <c r="E1961" s="6">
        <v>223</v>
      </c>
      <c r="F1961" s="11"/>
    </row>
    <row r="1962" spans="1:6">
      <c r="A1962" s="5" t="str">
        <f t="shared" si="35"/>
        <v>202309</v>
      </c>
      <c r="B1962" s="5" t="str">
        <f>"23085016530"</f>
        <v>23085016530</v>
      </c>
      <c r="C1962" s="6">
        <v>111</v>
      </c>
      <c r="D1962" s="6">
        <v>112</v>
      </c>
      <c r="E1962" s="6">
        <v>223</v>
      </c>
      <c r="F1962" s="11"/>
    </row>
    <row r="1963" spans="1:6">
      <c r="A1963" s="5" t="str">
        <f t="shared" si="35"/>
        <v>202309</v>
      </c>
      <c r="B1963" s="5" t="str">
        <f>"23085020605"</f>
        <v>23085020605</v>
      </c>
      <c r="C1963" s="6">
        <v>109.5</v>
      </c>
      <c r="D1963" s="6">
        <v>113.5</v>
      </c>
      <c r="E1963" s="6">
        <v>223</v>
      </c>
      <c r="F1963" s="11"/>
    </row>
    <row r="1964" spans="1:6">
      <c r="A1964" s="5" t="str">
        <f t="shared" si="35"/>
        <v>202309</v>
      </c>
      <c r="B1964" s="5" t="str">
        <f>"23085020815"</f>
        <v>23085020815</v>
      </c>
      <c r="C1964" s="6">
        <v>108</v>
      </c>
      <c r="D1964" s="6">
        <v>115</v>
      </c>
      <c r="E1964" s="6">
        <v>223</v>
      </c>
      <c r="F1964" s="11"/>
    </row>
    <row r="1965" spans="1:6">
      <c r="A1965" s="5" t="str">
        <f t="shared" si="35"/>
        <v>202309</v>
      </c>
      <c r="B1965" s="5" t="str">
        <f>"23085021003"</f>
        <v>23085021003</v>
      </c>
      <c r="C1965" s="6">
        <v>105</v>
      </c>
      <c r="D1965" s="6">
        <v>117.5</v>
      </c>
      <c r="E1965" s="6">
        <v>222.5</v>
      </c>
      <c r="F1965" s="11"/>
    </row>
    <row r="1966" spans="1:6">
      <c r="A1966" s="5" t="str">
        <f t="shared" si="35"/>
        <v>202309</v>
      </c>
      <c r="B1966" s="5" t="str">
        <f>"23085020201"</f>
        <v>23085020201</v>
      </c>
      <c r="C1966" s="6">
        <v>109.5</v>
      </c>
      <c r="D1966" s="6">
        <v>113</v>
      </c>
      <c r="E1966" s="6">
        <v>222.5</v>
      </c>
      <c r="F1966" s="11"/>
    </row>
    <row r="1967" spans="1:6">
      <c r="A1967" s="5" t="str">
        <f t="shared" si="35"/>
        <v>202309</v>
      </c>
      <c r="B1967" s="5" t="str">
        <f>"23085021425"</f>
        <v>23085021425</v>
      </c>
      <c r="C1967" s="6">
        <v>117</v>
      </c>
      <c r="D1967" s="6">
        <v>105.5</v>
      </c>
      <c r="E1967" s="6">
        <v>222.5</v>
      </c>
      <c r="F1967" s="11"/>
    </row>
    <row r="1968" spans="1:6">
      <c r="A1968" s="5" t="str">
        <f t="shared" si="35"/>
        <v>202309</v>
      </c>
      <c r="B1968" s="5" t="str">
        <f>"23085021503"</f>
        <v>23085021503</v>
      </c>
      <c r="C1968" s="6">
        <v>108</v>
      </c>
      <c r="D1968" s="6">
        <v>114.5</v>
      </c>
      <c r="E1968" s="6">
        <v>222.5</v>
      </c>
      <c r="F1968" s="11"/>
    </row>
    <row r="1969" spans="1:6">
      <c r="A1969" s="5" t="str">
        <f t="shared" si="35"/>
        <v>202309</v>
      </c>
      <c r="B1969" s="5" t="str">
        <f>"23085021113"</f>
        <v>23085021113</v>
      </c>
      <c r="C1969" s="6">
        <v>109.5</v>
      </c>
      <c r="D1969" s="6">
        <v>113</v>
      </c>
      <c r="E1969" s="6">
        <v>222.5</v>
      </c>
      <c r="F1969" s="11"/>
    </row>
    <row r="1970" spans="1:6">
      <c r="A1970" s="5" t="str">
        <f t="shared" si="35"/>
        <v>202309</v>
      </c>
      <c r="B1970" s="5" t="str">
        <f>"23085020628"</f>
        <v>23085020628</v>
      </c>
      <c r="C1970" s="6">
        <v>103.5</v>
      </c>
      <c r="D1970" s="6">
        <v>119</v>
      </c>
      <c r="E1970" s="6">
        <v>222.5</v>
      </c>
      <c r="F1970" s="11"/>
    </row>
    <row r="1971" spans="1:6">
      <c r="A1971" s="5" t="str">
        <f t="shared" si="35"/>
        <v>202309</v>
      </c>
      <c r="B1971" s="5" t="str">
        <f>"23085021304"</f>
        <v>23085021304</v>
      </c>
      <c r="C1971" s="6">
        <v>112.5</v>
      </c>
      <c r="D1971" s="6">
        <v>109.5</v>
      </c>
      <c r="E1971" s="6">
        <v>222</v>
      </c>
      <c r="F1971" s="11"/>
    </row>
    <row r="1972" spans="1:6">
      <c r="A1972" s="5" t="str">
        <f t="shared" si="35"/>
        <v>202309</v>
      </c>
      <c r="B1972" s="5" t="str">
        <f>"23085016405"</f>
        <v>23085016405</v>
      </c>
      <c r="C1972" s="6">
        <v>109.5</v>
      </c>
      <c r="D1972" s="6">
        <v>112.5</v>
      </c>
      <c r="E1972" s="6">
        <v>222</v>
      </c>
      <c r="F1972" s="11"/>
    </row>
    <row r="1973" spans="1:6">
      <c r="A1973" s="5" t="str">
        <f t="shared" ref="A1973:A2036" si="36">"202309"</f>
        <v>202309</v>
      </c>
      <c r="B1973" s="5" t="str">
        <f>"23085020909"</f>
        <v>23085020909</v>
      </c>
      <c r="C1973" s="6">
        <v>108</v>
      </c>
      <c r="D1973" s="6">
        <v>114</v>
      </c>
      <c r="E1973" s="6">
        <v>222</v>
      </c>
      <c r="F1973" s="11"/>
    </row>
    <row r="1974" spans="1:6">
      <c r="A1974" s="5" t="str">
        <f t="shared" si="36"/>
        <v>202309</v>
      </c>
      <c r="B1974" s="5" t="str">
        <f>"23085021407"</f>
        <v>23085021407</v>
      </c>
      <c r="C1974" s="6">
        <v>106.5</v>
      </c>
      <c r="D1974" s="6">
        <v>115.5</v>
      </c>
      <c r="E1974" s="6">
        <v>222</v>
      </c>
      <c r="F1974" s="11"/>
    </row>
    <row r="1975" spans="1:6">
      <c r="A1975" s="5" t="str">
        <f t="shared" si="36"/>
        <v>202309</v>
      </c>
      <c r="B1975" s="5" t="str">
        <f>"23085020627"</f>
        <v>23085020627</v>
      </c>
      <c r="C1975" s="6">
        <v>114</v>
      </c>
      <c r="D1975" s="6">
        <v>108</v>
      </c>
      <c r="E1975" s="6">
        <v>222</v>
      </c>
      <c r="F1975" s="11"/>
    </row>
    <row r="1976" spans="1:6">
      <c r="A1976" s="5" t="str">
        <f t="shared" si="36"/>
        <v>202309</v>
      </c>
      <c r="B1976" s="5" t="str">
        <f>"23085020902"</f>
        <v>23085020902</v>
      </c>
      <c r="C1976" s="6">
        <v>109.5</v>
      </c>
      <c r="D1976" s="6">
        <v>112.5</v>
      </c>
      <c r="E1976" s="6">
        <v>222</v>
      </c>
      <c r="F1976" s="11"/>
    </row>
    <row r="1977" spans="1:6">
      <c r="A1977" s="5" t="str">
        <f t="shared" si="36"/>
        <v>202309</v>
      </c>
      <c r="B1977" s="5" t="str">
        <f>"23085021211"</f>
        <v>23085021211</v>
      </c>
      <c r="C1977" s="6">
        <v>108</v>
      </c>
      <c r="D1977" s="6">
        <v>113.5</v>
      </c>
      <c r="E1977" s="6">
        <v>221.5</v>
      </c>
      <c r="F1977" s="11"/>
    </row>
    <row r="1978" spans="1:6">
      <c r="A1978" s="5" t="str">
        <f t="shared" si="36"/>
        <v>202309</v>
      </c>
      <c r="B1978" s="5" t="str">
        <f>"23085021630"</f>
        <v>23085021630</v>
      </c>
      <c r="C1978" s="6">
        <v>108</v>
      </c>
      <c r="D1978" s="6">
        <v>113.5</v>
      </c>
      <c r="E1978" s="6">
        <v>221.5</v>
      </c>
      <c r="F1978" s="11"/>
    </row>
    <row r="1979" spans="1:6">
      <c r="A1979" s="5" t="str">
        <f t="shared" si="36"/>
        <v>202309</v>
      </c>
      <c r="B1979" s="5" t="str">
        <f>"23085021603"</f>
        <v>23085021603</v>
      </c>
      <c r="C1979" s="6">
        <v>100.5</v>
      </c>
      <c r="D1979" s="6">
        <v>121</v>
      </c>
      <c r="E1979" s="6">
        <v>221.5</v>
      </c>
      <c r="F1979" s="11"/>
    </row>
    <row r="1980" spans="1:6">
      <c r="A1980" s="5" t="str">
        <f t="shared" si="36"/>
        <v>202309</v>
      </c>
      <c r="B1980" s="5" t="str">
        <f>"23085020404"</f>
        <v>23085020404</v>
      </c>
      <c r="C1980" s="6">
        <v>106.5</v>
      </c>
      <c r="D1980" s="6">
        <v>114.5</v>
      </c>
      <c r="E1980" s="6">
        <v>221</v>
      </c>
      <c r="F1980" s="11"/>
    </row>
    <row r="1981" spans="1:6">
      <c r="A1981" s="5" t="str">
        <f t="shared" si="36"/>
        <v>202309</v>
      </c>
      <c r="B1981" s="5" t="str">
        <f>"23085020803"</f>
        <v>23085020803</v>
      </c>
      <c r="C1981" s="6">
        <v>109.5</v>
      </c>
      <c r="D1981" s="6">
        <v>111.5</v>
      </c>
      <c r="E1981" s="6">
        <v>221</v>
      </c>
      <c r="F1981" s="11"/>
    </row>
    <row r="1982" spans="1:6">
      <c r="A1982" s="5" t="str">
        <f t="shared" si="36"/>
        <v>202309</v>
      </c>
      <c r="B1982" s="5" t="str">
        <f>"23085020715"</f>
        <v>23085020715</v>
      </c>
      <c r="C1982" s="6">
        <v>100.5</v>
      </c>
      <c r="D1982" s="6">
        <v>120.5</v>
      </c>
      <c r="E1982" s="6">
        <v>221</v>
      </c>
      <c r="F1982" s="11"/>
    </row>
    <row r="1983" spans="1:6">
      <c r="A1983" s="5" t="str">
        <f t="shared" si="36"/>
        <v>202309</v>
      </c>
      <c r="B1983" s="5" t="str">
        <f>"23085016310"</f>
        <v>23085016310</v>
      </c>
      <c r="C1983" s="6">
        <v>100.5</v>
      </c>
      <c r="D1983" s="6">
        <v>120.5</v>
      </c>
      <c r="E1983" s="6">
        <v>221</v>
      </c>
      <c r="F1983" s="11"/>
    </row>
    <row r="1984" spans="1:6">
      <c r="A1984" s="5" t="str">
        <f t="shared" si="36"/>
        <v>202309</v>
      </c>
      <c r="B1984" s="5" t="str">
        <f>"23085020413"</f>
        <v>23085020413</v>
      </c>
      <c r="C1984" s="6">
        <v>109.5</v>
      </c>
      <c r="D1984" s="6">
        <v>111.5</v>
      </c>
      <c r="E1984" s="6">
        <v>221</v>
      </c>
      <c r="F1984" s="11"/>
    </row>
    <row r="1985" spans="1:6">
      <c r="A1985" s="5" t="str">
        <f t="shared" si="36"/>
        <v>202309</v>
      </c>
      <c r="B1985" s="5" t="str">
        <f>"23085016429"</f>
        <v>23085016429</v>
      </c>
      <c r="C1985" s="6">
        <v>106.5</v>
      </c>
      <c r="D1985" s="6">
        <v>114.5</v>
      </c>
      <c r="E1985" s="6">
        <v>221</v>
      </c>
      <c r="F1985" s="11"/>
    </row>
    <row r="1986" spans="1:6">
      <c r="A1986" s="5" t="str">
        <f t="shared" si="36"/>
        <v>202309</v>
      </c>
      <c r="B1986" s="5" t="str">
        <f>"23085021319"</f>
        <v>23085021319</v>
      </c>
      <c r="C1986" s="6">
        <v>103.5</v>
      </c>
      <c r="D1986" s="6">
        <v>117.5</v>
      </c>
      <c r="E1986" s="6">
        <v>221</v>
      </c>
      <c r="F1986" s="11"/>
    </row>
    <row r="1987" spans="1:6">
      <c r="A1987" s="5" t="str">
        <f t="shared" si="36"/>
        <v>202309</v>
      </c>
      <c r="B1987" s="5" t="str">
        <f>"23085020623"</f>
        <v>23085020623</v>
      </c>
      <c r="C1987" s="6">
        <v>109.5</v>
      </c>
      <c r="D1987" s="6">
        <v>111.5</v>
      </c>
      <c r="E1987" s="6">
        <v>221</v>
      </c>
      <c r="F1987" s="11"/>
    </row>
    <row r="1988" spans="1:6">
      <c r="A1988" s="5" t="str">
        <f t="shared" si="36"/>
        <v>202309</v>
      </c>
      <c r="B1988" s="5" t="str">
        <f>"23085016529"</f>
        <v>23085016529</v>
      </c>
      <c r="C1988" s="6">
        <v>111</v>
      </c>
      <c r="D1988" s="6">
        <v>110</v>
      </c>
      <c r="E1988" s="6">
        <v>221</v>
      </c>
      <c r="F1988" s="11"/>
    </row>
    <row r="1989" spans="1:6">
      <c r="A1989" s="5" t="str">
        <f t="shared" si="36"/>
        <v>202309</v>
      </c>
      <c r="B1989" s="5" t="str">
        <f>"23085020107"</f>
        <v>23085020107</v>
      </c>
      <c r="C1989" s="6">
        <v>102</v>
      </c>
      <c r="D1989" s="6">
        <v>119</v>
      </c>
      <c r="E1989" s="6">
        <v>221</v>
      </c>
      <c r="F1989" s="11"/>
    </row>
    <row r="1990" spans="1:6">
      <c r="A1990" s="5" t="str">
        <f t="shared" si="36"/>
        <v>202309</v>
      </c>
      <c r="B1990" s="5" t="str">
        <f>"23085016403"</f>
        <v>23085016403</v>
      </c>
      <c r="C1990" s="6">
        <v>96</v>
      </c>
      <c r="D1990" s="6">
        <v>124.5</v>
      </c>
      <c r="E1990" s="6">
        <v>220.5</v>
      </c>
      <c r="F1990" s="11"/>
    </row>
    <row r="1991" spans="1:6">
      <c r="A1991" s="5" t="str">
        <f t="shared" si="36"/>
        <v>202309</v>
      </c>
      <c r="B1991" s="5" t="str">
        <f>"23085021023"</f>
        <v>23085021023</v>
      </c>
      <c r="C1991" s="6">
        <v>102</v>
      </c>
      <c r="D1991" s="6">
        <v>118.5</v>
      </c>
      <c r="E1991" s="6">
        <v>220.5</v>
      </c>
      <c r="F1991" s="11"/>
    </row>
    <row r="1992" spans="1:6">
      <c r="A1992" s="5" t="str">
        <f t="shared" si="36"/>
        <v>202309</v>
      </c>
      <c r="B1992" s="5" t="str">
        <f>"23085020504"</f>
        <v>23085020504</v>
      </c>
      <c r="C1992" s="6">
        <v>103.5</v>
      </c>
      <c r="D1992" s="6">
        <v>117</v>
      </c>
      <c r="E1992" s="6">
        <v>220.5</v>
      </c>
      <c r="F1992" s="11"/>
    </row>
    <row r="1993" spans="1:6">
      <c r="A1993" s="5" t="str">
        <f t="shared" si="36"/>
        <v>202309</v>
      </c>
      <c r="B1993" s="5" t="str">
        <f>"23085021510"</f>
        <v>23085021510</v>
      </c>
      <c r="C1993" s="6">
        <v>100.5</v>
      </c>
      <c r="D1993" s="6">
        <v>120</v>
      </c>
      <c r="E1993" s="6">
        <v>220.5</v>
      </c>
      <c r="F1993" s="11"/>
    </row>
    <row r="1994" spans="1:6">
      <c r="A1994" s="5" t="str">
        <f t="shared" si="36"/>
        <v>202309</v>
      </c>
      <c r="B1994" s="5" t="str">
        <f>"23085021720"</f>
        <v>23085021720</v>
      </c>
      <c r="C1994" s="6">
        <v>109.5</v>
      </c>
      <c r="D1994" s="6">
        <v>111</v>
      </c>
      <c r="E1994" s="6">
        <v>220.5</v>
      </c>
      <c r="F1994" s="11"/>
    </row>
    <row r="1995" spans="1:6">
      <c r="A1995" s="5" t="str">
        <f t="shared" si="36"/>
        <v>202309</v>
      </c>
      <c r="B1995" s="5" t="str">
        <f>"23085020321"</f>
        <v>23085020321</v>
      </c>
      <c r="C1995" s="6">
        <v>112.5</v>
      </c>
      <c r="D1995" s="6">
        <v>108</v>
      </c>
      <c r="E1995" s="6">
        <v>220.5</v>
      </c>
      <c r="F1995" s="11"/>
    </row>
    <row r="1996" spans="1:6">
      <c r="A1996" s="5" t="str">
        <f t="shared" si="36"/>
        <v>202309</v>
      </c>
      <c r="B1996" s="5" t="str">
        <f>"23085020728"</f>
        <v>23085020728</v>
      </c>
      <c r="C1996" s="6">
        <v>103.5</v>
      </c>
      <c r="D1996" s="6">
        <v>117</v>
      </c>
      <c r="E1996" s="6">
        <v>220.5</v>
      </c>
      <c r="F1996" s="11"/>
    </row>
    <row r="1997" spans="1:6">
      <c r="A1997" s="5" t="str">
        <f t="shared" si="36"/>
        <v>202309</v>
      </c>
      <c r="B1997" s="5" t="str">
        <f>"23085021009"</f>
        <v>23085021009</v>
      </c>
      <c r="C1997" s="6">
        <v>106.5</v>
      </c>
      <c r="D1997" s="6">
        <v>114</v>
      </c>
      <c r="E1997" s="6">
        <v>220.5</v>
      </c>
      <c r="F1997" s="11"/>
    </row>
    <row r="1998" spans="1:6">
      <c r="A1998" s="5" t="str">
        <f t="shared" si="36"/>
        <v>202309</v>
      </c>
      <c r="B1998" s="5" t="str">
        <f>"23085020607"</f>
        <v>23085020607</v>
      </c>
      <c r="C1998" s="6">
        <v>102</v>
      </c>
      <c r="D1998" s="6">
        <v>118</v>
      </c>
      <c r="E1998" s="6">
        <v>220</v>
      </c>
      <c r="F1998" s="11"/>
    </row>
    <row r="1999" spans="1:6">
      <c r="A1999" s="5" t="str">
        <f t="shared" si="36"/>
        <v>202309</v>
      </c>
      <c r="B1999" s="5" t="str">
        <f>"23085020218"</f>
        <v>23085020218</v>
      </c>
      <c r="C1999" s="6">
        <v>102</v>
      </c>
      <c r="D1999" s="6">
        <v>118</v>
      </c>
      <c r="E1999" s="6">
        <v>220</v>
      </c>
      <c r="F1999" s="11"/>
    </row>
    <row r="2000" spans="1:6">
      <c r="A2000" s="5" t="str">
        <f t="shared" si="36"/>
        <v>202309</v>
      </c>
      <c r="B2000" s="5" t="str">
        <f>"23085021516"</f>
        <v>23085021516</v>
      </c>
      <c r="C2000" s="6">
        <v>103.5</v>
      </c>
      <c r="D2000" s="6">
        <v>116.5</v>
      </c>
      <c r="E2000" s="6">
        <v>220</v>
      </c>
      <c r="F2000" s="11"/>
    </row>
    <row r="2001" spans="1:6">
      <c r="A2001" s="5" t="str">
        <f t="shared" si="36"/>
        <v>202309</v>
      </c>
      <c r="B2001" s="5" t="str">
        <f>"23085021621"</f>
        <v>23085021621</v>
      </c>
      <c r="C2001" s="6">
        <v>102</v>
      </c>
      <c r="D2001" s="6">
        <v>118</v>
      </c>
      <c r="E2001" s="6">
        <v>220</v>
      </c>
      <c r="F2001" s="11"/>
    </row>
    <row r="2002" spans="1:6">
      <c r="A2002" s="5" t="str">
        <f t="shared" si="36"/>
        <v>202309</v>
      </c>
      <c r="B2002" s="5" t="str">
        <f>"23085021122"</f>
        <v>23085021122</v>
      </c>
      <c r="C2002" s="6">
        <v>106.5</v>
      </c>
      <c r="D2002" s="6">
        <v>113.5</v>
      </c>
      <c r="E2002" s="6">
        <v>220</v>
      </c>
      <c r="F2002" s="11"/>
    </row>
    <row r="2003" spans="1:6">
      <c r="A2003" s="5" t="str">
        <f t="shared" si="36"/>
        <v>202309</v>
      </c>
      <c r="B2003" s="5" t="str">
        <f>"23085021028"</f>
        <v>23085021028</v>
      </c>
      <c r="C2003" s="6">
        <v>106.5</v>
      </c>
      <c r="D2003" s="6">
        <v>113.5</v>
      </c>
      <c r="E2003" s="6">
        <v>220</v>
      </c>
      <c r="F2003" s="11"/>
    </row>
    <row r="2004" spans="1:6">
      <c r="A2004" s="5" t="str">
        <f t="shared" si="36"/>
        <v>202309</v>
      </c>
      <c r="B2004" s="5" t="str">
        <f>"23085021520"</f>
        <v>23085021520</v>
      </c>
      <c r="C2004" s="6">
        <v>99</v>
      </c>
      <c r="D2004" s="6">
        <v>121</v>
      </c>
      <c r="E2004" s="6">
        <v>220</v>
      </c>
      <c r="F2004" s="11"/>
    </row>
    <row r="2005" spans="1:6">
      <c r="A2005" s="5" t="str">
        <f t="shared" si="36"/>
        <v>202309</v>
      </c>
      <c r="B2005" s="5" t="str">
        <f>"23085021802"</f>
        <v>23085021802</v>
      </c>
      <c r="C2005" s="6">
        <v>102</v>
      </c>
      <c r="D2005" s="6">
        <v>118</v>
      </c>
      <c r="E2005" s="6">
        <v>220</v>
      </c>
      <c r="F2005" s="11"/>
    </row>
    <row r="2006" spans="1:6">
      <c r="A2006" s="5" t="str">
        <f t="shared" si="36"/>
        <v>202309</v>
      </c>
      <c r="B2006" s="5" t="str">
        <f>"23085021317"</f>
        <v>23085021317</v>
      </c>
      <c r="C2006" s="6">
        <v>106.5</v>
      </c>
      <c r="D2006" s="6">
        <v>113.5</v>
      </c>
      <c r="E2006" s="6">
        <v>220</v>
      </c>
      <c r="F2006" s="11"/>
    </row>
    <row r="2007" spans="1:6">
      <c r="A2007" s="5" t="str">
        <f t="shared" si="36"/>
        <v>202309</v>
      </c>
      <c r="B2007" s="5" t="str">
        <f>"23085021807"</f>
        <v>23085021807</v>
      </c>
      <c r="C2007" s="6">
        <v>105</v>
      </c>
      <c r="D2007" s="6">
        <v>114.5</v>
      </c>
      <c r="E2007" s="6">
        <v>219.5</v>
      </c>
      <c r="F2007" s="11"/>
    </row>
    <row r="2008" spans="1:6">
      <c r="A2008" s="5" t="str">
        <f t="shared" si="36"/>
        <v>202309</v>
      </c>
      <c r="B2008" s="5" t="str">
        <f>"23085021312"</f>
        <v>23085021312</v>
      </c>
      <c r="C2008" s="6">
        <v>103.5</v>
      </c>
      <c r="D2008" s="6">
        <v>116</v>
      </c>
      <c r="E2008" s="6">
        <v>219.5</v>
      </c>
      <c r="F2008" s="11"/>
    </row>
    <row r="2009" spans="1:6">
      <c r="A2009" s="5" t="str">
        <f t="shared" si="36"/>
        <v>202309</v>
      </c>
      <c r="B2009" s="5" t="str">
        <f>"23085020613"</f>
        <v>23085020613</v>
      </c>
      <c r="C2009" s="6">
        <v>99</v>
      </c>
      <c r="D2009" s="6">
        <v>120.5</v>
      </c>
      <c r="E2009" s="6">
        <v>219.5</v>
      </c>
      <c r="F2009" s="11"/>
    </row>
    <row r="2010" spans="1:6">
      <c r="A2010" s="5" t="str">
        <f t="shared" si="36"/>
        <v>202309</v>
      </c>
      <c r="B2010" s="5" t="str">
        <f>"23085020820"</f>
        <v>23085020820</v>
      </c>
      <c r="C2010" s="6">
        <v>103.5</v>
      </c>
      <c r="D2010" s="6">
        <v>116</v>
      </c>
      <c r="E2010" s="6">
        <v>219.5</v>
      </c>
      <c r="F2010" s="11"/>
    </row>
    <row r="2011" spans="1:6">
      <c r="A2011" s="5" t="str">
        <f t="shared" si="36"/>
        <v>202309</v>
      </c>
      <c r="B2011" s="5" t="str">
        <f>"23085021403"</f>
        <v>23085021403</v>
      </c>
      <c r="C2011" s="6">
        <v>105</v>
      </c>
      <c r="D2011" s="6">
        <v>114.5</v>
      </c>
      <c r="E2011" s="6">
        <v>219.5</v>
      </c>
      <c r="F2011" s="11"/>
    </row>
    <row r="2012" spans="1:6">
      <c r="A2012" s="5" t="str">
        <f t="shared" si="36"/>
        <v>202309</v>
      </c>
      <c r="B2012" s="5" t="str">
        <f>"23085020819"</f>
        <v>23085020819</v>
      </c>
      <c r="C2012" s="6">
        <v>102</v>
      </c>
      <c r="D2012" s="6">
        <v>117.5</v>
      </c>
      <c r="E2012" s="6">
        <v>219.5</v>
      </c>
      <c r="F2012" s="11"/>
    </row>
    <row r="2013" spans="1:6">
      <c r="A2013" s="5" t="str">
        <f t="shared" si="36"/>
        <v>202309</v>
      </c>
      <c r="B2013" s="5" t="str">
        <f>"23085021521"</f>
        <v>23085021521</v>
      </c>
      <c r="C2013" s="6">
        <v>102</v>
      </c>
      <c r="D2013" s="6">
        <v>117</v>
      </c>
      <c r="E2013" s="6">
        <v>219</v>
      </c>
      <c r="F2013" s="11"/>
    </row>
    <row r="2014" spans="1:6">
      <c r="A2014" s="5" t="str">
        <f t="shared" si="36"/>
        <v>202309</v>
      </c>
      <c r="B2014" s="5" t="str">
        <f>"23085016524"</f>
        <v>23085016524</v>
      </c>
      <c r="C2014" s="6">
        <v>103.5</v>
      </c>
      <c r="D2014" s="6">
        <v>115.5</v>
      </c>
      <c r="E2014" s="6">
        <v>219</v>
      </c>
      <c r="F2014" s="11"/>
    </row>
    <row r="2015" spans="1:6">
      <c r="A2015" s="5" t="str">
        <f t="shared" si="36"/>
        <v>202309</v>
      </c>
      <c r="B2015" s="5" t="str">
        <f>"23085021722"</f>
        <v>23085021722</v>
      </c>
      <c r="C2015" s="6">
        <v>100.5</v>
      </c>
      <c r="D2015" s="6">
        <v>118.5</v>
      </c>
      <c r="E2015" s="6">
        <v>219</v>
      </c>
      <c r="F2015" s="11"/>
    </row>
    <row r="2016" spans="1:6">
      <c r="A2016" s="5" t="str">
        <f t="shared" si="36"/>
        <v>202309</v>
      </c>
      <c r="B2016" s="5" t="str">
        <f>"23085021607"</f>
        <v>23085021607</v>
      </c>
      <c r="C2016" s="6">
        <v>96</v>
      </c>
      <c r="D2016" s="6">
        <v>123</v>
      </c>
      <c r="E2016" s="6">
        <v>219</v>
      </c>
      <c r="F2016" s="11"/>
    </row>
    <row r="2017" spans="1:6">
      <c r="A2017" s="5" t="str">
        <f t="shared" si="36"/>
        <v>202309</v>
      </c>
      <c r="B2017" s="5" t="str">
        <f>"23085021026"</f>
        <v>23085021026</v>
      </c>
      <c r="C2017" s="6">
        <v>97.5</v>
      </c>
      <c r="D2017" s="6">
        <v>121</v>
      </c>
      <c r="E2017" s="6">
        <v>218.5</v>
      </c>
      <c r="F2017" s="11"/>
    </row>
    <row r="2018" spans="1:6">
      <c r="A2018" s="5" t="str">
        <f t="shared" si="36"/>
        <v>202309</v>
      </c>
      <c r="B2018" s="5" t="str">
        <f>"23085021717"</f>
        <v>23085021717</v>
      </c>
      <c r="C2018" s="6">
        <v>99</v>
      </c>
      <c r="D2018" s="6">
        <v>119.5</v>
      </c>
      <c r="E2018" s="6">
        <v>218.5</v>
      </c>
      <c r="F2018" s="11"/>
    </row>
    <row r="2019" spans="1:6">
      <c r="A2019" s="5" t="str">
        <f t="shared" si="36"/>
        <v>202309</v>
      </c>
      <c r="B2019" s="5" t="str">
        <f>"23085021025"</f>
        <v>23085021025</v>
      </c>
      <c r="C2019" s="6">
        <v>102</v>
      </c>
      <c r="D2019" s="6">
        <v>116.5</v>
      </c>
      <c r="E2019" s="6">
        <v>218.5</v>
      </c>
      <c r="F2019" s="11"/>
    </row>
    <row r="2020" spans="1:6">
      <c r="A2020" s="5" t="str">
        <f t="shared" si="36"/>
        <v>202309</v>
      </c>
      <c r="B2020" s="5" t="str">
        <f>"23085020904"</f>
        <v>23085020904</v>
      </c>
      <c r="C2020" s="6">
        <v>96</v>
      </c>
      <c r="D2020" s="6">
        <v>122.5</v>
      </c>
      <c r="E2020" s="6">
        <v>218.5</v>
      </c>
      <c r="F2020" s="11"/>
    </row>
    <row r="2021" spans="1:6">
      <c r="A2021" s="5" t="str">
        <f t="shared" si="36"/>
        <v>202309</v>
      </c>
      <c r="B2021" s="5" t="str">
        <f>"23085020813"</f>
        <v>23085020813</v>
      </c>
      <c r="C2021" s="6">
        <v>97.5</v>
      </c>
      <c r="D2021" s="6">
        <v>121</v>
      </c>
      <c r="E2021" s="6">
        <v>218.5</v>
      </c>
      <c r="F2021" s="11"/>
    </row>
    <row r="2022" spans="1:6">
      <c r="A2022" s="5" t="str">
        <f t="shared" si="36"/>
        <v>202309</v>
      </c>
      <c r="B2022" s="5" t="str">
        <f>"23085016223"</f>
        <v>23085016223</v>
      </c>
      <c r="C2022" s="6">
        <v>97.5</v>
      </c>
      <c r="D2022" s="6">
        <v>121</v>
      </c>
      <c r="E2022" s="6">
        <v>218.5</v>
      </c>
      <c r="F2022" s="11"/>
    </row>
    <row r="2023" spans="1:6">
      <c r="A2023" s="5" t="str">
        <f t="shared" si="36"/>
        <v>202309</v>
      </c>
      <c r="B2023" s="5" t="str">
        <f>"23085021308"</f>
        <v>23085021308</v>
      </c>
      <c r="C2023" s="6">
        <v>102</v>
      </c>
      <c r="D2023" s="6">
        <v>116.5</v>
      </c>
      <c r="E2023" s="6">
        <v>218.5</v>
      </c>
      <c r="F2023" s="11"/>
    </row>
    <row r="2024" spans="1:6">
      <c r="A2024" s="5" t="str">
        <f t="shared" si="36"/>
        <v>202309</v>
      </c>
      <c r="B2024" s="5" t="str">
        <f>"23085021424"</f>
        <v>23085021424</v>
      </c>
      <c r="C2024" s="6">
        <v>105</v>
      </c>
      <c r="D2024" s="6">
        <v>113</v>
      </c>
      <c r="E2024" s="6">
        <v>218</v>
      </c>
      <c r="F2024" s="11"/>
    </row>
    <row r="2025" spans="1:6">
      <c r="A2025" s="5" t="str">
        <f t="shared" si="36"/>
        <v>202309</v>
      </c>
      <c r="B2025" s="5" t="str">
        <f>"23085020823"</f>
        <v>23085020823</v>
      </c>
      <c r="C2025" s="6">
        <v>102</v>
      </c>
      <c r="D2025" s="6">
        <v>116</v>
      </c>
      <c r="E2025" s="6">
        <v>218</v>
      </c>
      <c r="F2025" s="11"/>
    </row>
    <row r="2026" spans="1:6">
      <c r="A2026" s="5" t="str">
        <f t="shared" si="36"/>
        <v>202309</v>
      </c>
      <c r="B2026" s="5" t="str">
        <f>"23085021018"</f>
        <v>23085021018</v>
      </c>
      <c r="C2026" s="6">
        <v>97.5</v>
      </c>
      <c r="D2026" s="6">
        <v>120.5</v>
      </c>
      <c r="E2026" s="6">
        <v>218</v>
      </c>
      <c r="F2026" s="11"/>
    </row>
    <row r="2027" spans="1:6">
      <c r="A2027" s="5" t="str">
        <f t="shared" si="36"/>
        <v>202309</v>
      </c>
      <c r="B2027" s="5" t="str">
        <f>"23085016402"</f>
        <v>23085016402</v>
      </c>
      <c r="C2027" s="6">
        <v>99</v>
      </c>
      <c r="D2027" s="6">
        <v>119</v>
      </c>
      <c r="E2027" s="6">
        <v>218</v>
      </c>
      <c r="F2027" s="11"/>
    </row>
    <row r="2028" spans="1:6">
      <c r="A2028" s="5" t="str">
        <f t="shared" si="36"/>
        <v>202309</v>
      </c>
      <c r="B2028" s="5" t="str">
        <f>"23085021208"</f>
        <v>23085021208</v>
      </c>
      <c r="C2028" s="6">
        <v>99</v>
      </c>
      <c r="D2028" s="6">
        <v>119</v>
      </c>
      <c r="E2028" s="6">
        <v>218</v>
      </c>
      <c r="F2028" s="11"/>
    </row>
    <row r="2029" spans="1:6">
      <c r="A2029" s="5" t="str">
        <f t="shared" si="36"/>
        <v>202309</v>
      </c>
      <c r="B2029" s="5" t="str">
        <f>"23085021126"</f>
        <v>23085021126</v>
      </c>
      <c r="C2029" s="6">
        <v>100.5</v>
      </c>
      <c r="D2029" s="6">
        <v>117.5</v>
      </c>
      <c r="E2029" s="6">
        <v>218</v>
      </c>
      <c r="F2029" s="11"/>
    </row>
    <row r="2030" spans="1:6">
      <c r="A2030" s="5" t="str">
        <f t="shared" si="36"/>
        <v>202309</v>
      </c>
      <c r="B2030" s="5" t="str">
        <f>"23085020420"</f>
        <v>23085020420</v>
      </c>
      <c r="C2030" s="6">
        <v>112.5</v>
      </c>
      <c r="D2030" s="6">
        <v>105.5</v>
      </c>
      <c r="E2030" s="6">
        <v>218</v>
      </c>
      <c r="F2030" s="11"/>
    </row>
    <row r="2031" spans="1:6">
      <c r="A2031" s="5" t="str">
        <f t="shared" si="36"/>
        <v>202309</v>
      </c>
      <c r="B2031" s="5" t="str">
        <f>"23085021808"</f>
        <v>23085021808</v>
      </c>
      <c r="C2031" s="6">
        <v>114</v>
      </c>
      <c r="D2031" s="6">
        <v>104</v>
      </c>
      <c r="E2031" s="6">
        <v>218</v>
      </c>
      <c r="F2031" s="11"/>
    </row>
    <row r="2032" spans="1:6">
      <c r="A2032" s="5" t="str">
        <f t="shared" si="36"/>
        <v>202309</v>
      </c>
      <c r="B2032" s="5" t="str">
        <f>"23085021111"</f>
        <v>23085021111</v>
      </c>
      <c r="C2032" s="6">
        <v>103.5</v>
      </c>
      <c r="D2032" s="6">
        <v>114.5</v>
      </c>
      <c r="E2032" s="6">
        <v>218</v>
      </c>
      <c r="F2032" s="11"/>
    </row>
    <row r="2033" spans="1:6">
      <c r="A2033" s="5" t="str">
        <f t="shared" si="36"/>
        <v>202309</v>
      </c>
      <c r="B2033" s="5" t="str">
        <f>"23085020515"</f>
        <v>23085020515</v>
      </c>
      <c r="C2033" s="6">
        <v>100.5</v>
      </c>
      <c r="D2033" s="6">
        <v>117</v>
      </c>
      <c r="E2033" s="6">
        <v>217.5</v>
      </c>
      <c r="F2033" s="11"/>
    </row>
    <row r="2034" spans="1:6">
      <c r="A2034" s="5" t="str">
        <f t="shared" si="36"/>
        <v>202309</v>
      </c>
      <c r="B2034" s="5" t="str">
        <f>"23085021418"</f>
        <v>23085021418</v>
      </c>
      <c r="C2034" s="6">
        <v>114</v>
      </c>
      <c r="D2034" s="6">
        <v>103.5</v>
      </c>
      <c r="E2034" s="6">
        <v>217.5</v>
      </c>
      <c r="F2034" s="11"/>
    </row>
    <row r="2035" spans="1:6">
      <c r="A2035" s="5" t="str">
        <f t="shared" si="36"/>
        <v>202309</v>
      </c>
      <c r="B2035" s="5" t="str">
        <f>"23085020102"</f>
        <v>23085020102</v>
      </c>
      <c r="C2035" s="6">
        <v>108</v>
      </c>
      <c r="D2035" s="6">
        <v>109.5</v>
      </c>
      <c r="E2035" s="6">
        <v>217.5</v>
      </c>
      <c r="F2035" s="11"/>
    </row>
    <row r="2036" spans="1:6">
      <c r="A2036" s="5" t="str">
        <f t="shared" si="36"/>
        <v>202309</v>
      </c>
      <c r="B2036" s="5" t="str">
        <f>"23085020729"</f>
        <v>23085020729</v>
      </c>
      <c r="C2036" s="6">
        <v>114</v>
      </c>
      <c r="D2036" s="6">
        <v>103.5</v>
      </c>
      <c r="E2036" s="6">
        <v>217.5</v>
      </c>
      <c r="F2036" s="11"/>
    </row>
    <row r="2037" spans="1:6">
      <c r="A2037" s="5" t="str">
        <f t="shared" ref="A2037:A2100" si="37">"202309"</f>
        <v>202309</v>
      </c>
      <c r="B2037" s="5" t="str">
        <f>"23085016509"</f>
        <v>23085016509</v>
      </c>
      <c r="C2037" s="6">
        <v>97.5</v>
      </c>
      <c r="D2037" s="6">
        <v>119.5</v>
      </c>
      <c r="E2037" s="6">
        <v>217</v>
      </c>
      <c r="F2037" s="11"/>
    </row>
    <row r="2038" spans="1:6">
      <c r="A2038" s="5" t="str">
        <f t="shared" si="37"/>
        <v>202309</v>
      </c>
      <c r="B2038" s="5" t="str">
        <f>"23085021114"</f>
        <v>23085021114</v>
      </c>
      <c r="C2038" s="6">
        <v>99</v>
      </c>
      <c r="D2038" s="6">
        <v>118</v>
      </c>
      <c r="E2038" s="6">
        <v>217</v>
      </c>
      <c r="F2038" s="11"/>
    </row>
    <row r="2039" spans="1:6">
      <c r="A2039" s="5" t="str">
        <f t="shared" si="37"/>
        <v>202309</v>
      </c>
      <c r="B2039" s="5" t="str">
        <f>"23085020724"</f>
        <v>23085020724</v>
      </c>
      <c r="C2039" s="6">
        <v>99</v>
      </c>
      <c r="D2039" s="6">
        <v>117.5</v>
      </c>
      <c r="E2039" s="6">
        <v>216.5</v>
      </c>
      <c r="F2039" s="11"/>
    </row>
    <row r="2040" spans="1:6">
      <c r="A2040" s="5" t="str">
        <f t="shared" si="37"/>
        <v>202309</v>
      </c>
      <c r="B2040" s="5" t="str">
        <f>"23085021022"</f>
        <v>23085021022</v>
      </c>
      <c r="C2040" s="6">
        <v>103.5</v>
      </c>
      <c r="D2040" s="6">
        <v>113</v>
      </c>
      <c r="E2040" s="6">
        <v>216.5</v>
      </c>
      <c r="F2040" s="11"/>
    </row>
    <row r="2041" spans="1:6">
      <c r="A2041" s="5" t="str">
        <f t="shared" si="37"/>
        <v>202309</v>
      </c>
      <c r="B2041" s="5" t="str">
        <f>"23085020911"</f>
        <v>23085020911</v>
      </c>
      <c r="C2041" s="6">
        <v>111</v>
      </c>
      <c r="D2041" s="6">
        <v>105.5</v>
      </c>
      <c r="E2041" s="6">
        <v>216.5</v>
      </c>
      <c r="F2041" s="11"/>
    </row>
    <row r="2042" spans="1:6">
      <c r="A2042" s="5" t="str">
        <f t="shared" si="37"/>
        <v>202309</v>
      </c>
      <c r="B2042" s="5" t="str">
        <f>"23085021620"</f>
        <v>23085021620</v>
      </c>
      <c r="C2042" s="6">
        <v>103.5</v>
      </c>
      <c r="D2042" s="6">
        <v>113</v>
      </c>
      <c r="E2042" s="6">
        <v>216.5</v>
      </c>
      <c r="F2042" s="11"/>
    </row>
    <row r="2043" spans="1:6">
      <c r="A2043" s="5" t="str">
        <f t="shared" si="37"/>
        <v>202309</v>
      </c>
      <c r="B2043" s="5" t="str">
        <f>"23085020929"</f>
        <v>23085020929</v>
      </c>
      <c r="C2043" s="6">
        <v>99</v>
      </c>
      <c r="D2043" s="6">
        <v>117</v>
      </c>
      <c r="E2043" s="6">
        <v>216</v>
      </c>
      <c r="F2043" s="11"/>
    </row>
    <row r="2044" spans="1:6">
      <c r="A2044" s="5" t="str">
        <f t="shared" si="37"/>
        <v>202309</v>
      </c>
      <c r="B2044" s="5" t="str">
        <f>"23085016314"</f>
        <v>23085016314</v>
      </c>
      <c r="C2044" s="6">
        <v>94.5</v>
      </c>
      <c r="D2044" s="6">
        <v>121.5</v>
      </c>
      <c r="E2044" s="6">
        <v>216</v>
      </c>
      <c r="F2044" s="11"/>
    </row>
    <row r="2045" spans="1:6">
      <c r="A2045" s="5" t="str">
        <f t="shared" si="37"/>
        <v>202309</v>
      </c>
      <c r="B2045" s="5" t="str">
        <f>"23085021406"</f>
        <v>23085021406</v>
      </c>
      <c r="C2045" s="6">
        <v>103.5</v>
      </c>
      <c r="D2045" s="6">
        <v>112.5</v>
      </c>
      <c r="E2045" s="6">
        <v>216</v>
      </c>
      <c r="F2045" s="11"/>
    </row>
    <row r="2046" spans="1:6">
      <c r="A2046" s="5" t="str">
        <f t="shared" si="37"/>
        <v>202309</v>
      </c>
      <c r="B2046" s="5" t="str">
        <f>"23085021523"</f>
        <v>23085021523</v>
      </c>
      <c r="C2046" s="6">
        <v>96</v>
      </c>
      <c r="D2046" s="6">
        <v>120</v>
      </c>
      <c r="E2046" s="6">
        <v>216</v>
      </c>
      <c r="F2046" s="11"/>
    </row>
    <row r="2047" spans="1:6">
      <c r="A2047" s="5" t="str">
        <f t="shared" si="37"/>
        <v>202309</v>
      </c>
      <c r="B2047" s="5" t="str">
        <f>"23085016220"</f>
        <v>23085016220</v>
      </c>
      <c r="C2047" s="6">
        <v>103.5</v>
      </c>
      <c r="D2047" s="6">
        <v>112</v>
      </c>
      <c r="E2047" s="6">
        <v>215.5</v>
      </c>
      <c r="F2047" s="11"/>
    </row>
    <row r="2048" spans="1:6">
      <c r="A2048" s="5" t="str">
        <f t="shared" si="37"/>
        <v>202309</v>
      </c>
      <c r="B2048" s="5" t="str">
        <f>"23085021622"</f>
        <v>23085021622</v>
      </c>
      <c r="C2048" s="6">
        <v>103.5</v>
      </c>
      <c r="D2048" s="6">
        <v>112</v>
      </c>
      <c r="E2048" s="6">
        <v>215.5</v>
      </c>
      <c r="F2048" s="11"/>
    </row>
    <row r="2049" spans="1:6">
      <c r="A2049" s="5" t="str">
        <f t="shared" si="37"/>
        <v>202309</v>
      </c>
      <c r="B2049" s="5" t="str">
        <f>"23085020308"</f>
        <v>23085020308</v>
      </c>
      <c r="C2049" s="6">
        <v>117</v>
      </c>
      <c r="D2049" s="6">
        <v>98.5</v>
      </c>
      <c r="E2049" s="6">
        <v>215.5</v>
      </c>
      <c r="F2049" s="11"/>
    </row>
    <row r="2050" spans="1:6">
      <c r="A2050" s="5" t="str">
        <f t="shared" si="37"/>
        <v>202309</v>
      </c>
      <c r="B2050" s="5" t="str">
        <f>"23085016511"</f>
        <v>23085016511</v>
      </c>
      <c r="C2050" s="6">
        <v>102</v>
      </c>
      <c r="D2050" s="6">
        <v>113.5</v>
      </c>
      <c r="E2050" s="6">
        <v>215.5</v>
      </c>
      <c r="F2050" s="11"/>
    </row>
    <row r="2051" spans="1:6">
      <c r="A2051" s="5" t="str">
        <f t="shared" si="37"/>
        <v>202309</v>
      </c>
      <c r="B2051" s="5" t="str">
        <f>"23085021323"</f>
        <v>23085021323</v>
      </c>
      <c r="C2051" s="6">
        <v>97.5</v>
      </c>
      <c r="D2051" s="6">
        <v>118</v>
      </c>
      <c r="E2051" s="6">
        <v>215.5</v>
      </c>
      <c r="F2051" s="11"/>
    </row>
    <row r="2052" spans="1:6">
      <c r="A2052" s="5" t="str">
        <f t="shared" si="37"/>
        <v>202309</v>
      </c>
      <c r="B2052" s="5" t="str">
        <f>"23085021705"</f>
        <v>23085021705</v>
      </c>
      <c r="C2052" s="6">
        <v>94.5</v>
      </c>
      <c r="D2052" s="6">
        <v>120.5</v>
      </c>
      <c r="E2052" s="6">
        <v>215</v>
      </c>
      <c r="F2052" s="11"/>
    </row>
    <row r="2053" spans="1:6">
      <c r="A2053" s="5" t="str">
        <f t="shared" si="37"/>
        <v>202309</v>
      </c>
      <c r="B2053" s="5" t="str">
        <f>"23085021814"</f>
        <v>23085021814</v>
      </c>
      <c r="C2053" s="6">
        <v>100.5</v>
      </c>
      <c r="D2053" s="6">
        <v>114.5</v>
      </c>
      <c r="E2053" s="6">
        <v>215</v>
      </c>
      <c r="F2053" s="11"/>
    </row>
    <row r="2054" spans="1:6">
      <c r="A2054" s="5" t="str">
        <f t="shared" si="37"/>
        <v>202309</v>
      </c>
      <c r="B2054" s="5" t="str">
        <f>"23085020130"</f>
        <v>23085020130</v>
      </c>
      <c r="C2054" s="6">
        <v>105</v>
      </c>
      <c r="D2054" s="6">
        <v>110</v>
      </c>
      <c r="E2054" s="6">
        <v>215</v>
      </c>
      <c r="F2054" s="11"/>
    </row>
    <row r="2055" spans="1:6">
      <c r="A2055" s="5" t="str">
        <f t="shared" si="37"/>
        <v>202309</v>
      </c>
      <c r="B2055" s="5" t="str">
        <f>"23085016316"</f>
        <v>23085016316</v>
      </c>
      <c r="C2055" s="6">
        <v>100.5</v>
      </c>
      <c r="D2055" s="6">
        <v>114.5</v>
      </c>
      <c r="E2055" s="6">
        <v>215</v>
      </c>
      <c r="F2055" s="11"/>
    </row>
    <row r="2056" spans="1:6">
      <c r="A2056" s="5" t="str">
        <f t="shared" si="37"/>
        <v>202309</v>
      </c>
      <c r="B2056" s="5" t="str">
        <f>"23085020229"</f>
        <v>23085020229</v>
      </c>
      <c r="C2056" s="6">
        <v>96</v>
      </c>
      <c r="D2056" s="6">
        <v>119</v>
      </c>
      <c r="E2056" s="6">
        <v>215</v>
      </c>
      <c r="F2056" s="11"/>
    </row>
    <row r="2057" spans="1:6">
      <c r="A2057" s="5" t="str">
        <f t="shared" si="37"/>
        <v>202309</v>
      </c>
      <c r="B2057" s="5" t="str">
        <f>"23085020523"</f>
        <v>23085020523</v>
      </c>
      <c r="C2057" s="6">
        <v>100.5</v>
      </c>
      <c r="D2057" s="6">
        <v>114</v>
      </c>
      <c r="E2057" s="6">
        <v>214.5</v>
      </c>
      <c r="F2057" s="11"/>
    </row>
    <row r="2058" spans="1:6">
      <c r="A2058" s="5" t="str">
        <f t="shared" si="37"/>
        <v>202309</v>
      </c>
      <c r="B2058" s="5" t="str">
        <f>"23085021404"</f>
        <v>23085021404</v>
      </c>
      <c r="C2058" s="6">
        <v>105</v>
      </c>
      <c r="D2058" s="6">
        <v>109.5</v>
      </c>
      <c r="E2058" s="6">
        <v>214.5</v>
      </c>
      <c r="F2058" s="11"/>
    </row>
    <row r="2059" spans="1:6">
      <c r="A2059" s="5" t="str">
        <f t="shared" si="37"/>
        <v>202309</v>
      </c>
      <c r="B2059" s="5" t="str">
        <f>"23085020118"</f>
        <v>23085020118</v>
      </c>
      <c r="C2059" s="6">
        <v>99</v>
      </c>
      <c r="D2059" s="6">
        <v>115.5</v>
      </c>
      <c r="E2059" s="6">
        <v>214.5</v>
      </c>
      <c r="F2059" s="11"/>
    </row>
    <row r="2060" spans="1:6">
      <c r="A2060" s="5" t="str">
        <f t="shared" si="37"/>
        <v>202309</v>
      </c>
      <c r="B2060" s="5" t="str">
        <f>"23085020111"</f>
        <v>23085020111</v>
      </c>
      <c r="C2060" s="6">
        <v>102</v>
      </c>
      <c r="D2060" s="6">
        <v>112.5</v>
      </c>
      <c r="E2060" s="6">
        <v>214.5</v>
      </c>
      <c r="F2060" s="11"/>
    </row>
    <row r="2061" spans="1:6">
      <c r="A2061" s="5" t="str">
        <f t="shared" si="37"/>
        <v>202309</v>
      </c>
      <c r="B2061" s="5" t="str">
        <f>"23085021512"</f>
        <v>23085021512</v>
      </c>
      <c r="C2061" s="6">
        <v>102</v>
      </c>
      <c r="D2061" s="6">
        <v>112.5</v>
      </c>
      <c r="E2061" s="6">
        <v>214.5</v>
      </c>
      <c r="F2061" s="11"/>
    </row>
    <row r="2062" spans="1:6">
      <c r="A2062" s="5" t="str">
        <f t="shared" si="37"/>
        <v>202309</v>
      </c>
      <c r="B2062" s="5" t="str">
        <f>"23085020714"</f>
        <v>23085020714</v>
      </c>
      <c r="C2062" s="6">
        <v>97.5</v>
      </c>
      <c r="D2062" s="6">
        <v>117</v>
      </c>
      <c r="E2062" s="6">
        <v>214.5</v>
      </c>
      <c r="F2062" s="11"/>
    </row>
    <row r="2063" spans="1:6">
      <c r="A2063" s="5" t="str">
        <f t="shared" si="37"/>
        <v>202309</v>
      </c>
      <c r="B2063" s="5" t="str">
        <f>"23085020826"</f>
        <v>23085020826</v>
      </c>
      <c r="C2063" s="6">
        <v>103.5</v>
      </c>
      <c r="D2063" s="6">
        <v>110.5</v>
      </c>
      <c r="E2063" s="6">
        <v>214</v>
      </c>
      <c r="F2063" s="11"/>
    </row>
    <row r="2064" spans="1:6">
      <c r="A2064" s="5" t="str">
        <f t="shared" si="37"/>
        <v>202309</v>
      </c>
      <c r="B2064" s="5" t="str">
        <f>"23085021609"</f>
        <v>23085021609</v>
      </c>
      <c r="C2064" s="6">
        <v>97.5</v>
      </c>
      <c r="D2064" s="6">
        <v>116.5</v>
      </c>
      <c r="E2064" s="6">
        <v>214</v>
      </c>
      <c r="F2064" s="11"/>
    </row>
    <row r="2065" spans="1:6">
      <c r="A2065" s="5" t="str">
        <f t="shared" si="37"/>
        <v>202309</v>
      </c>
      <c r="B2065" s="5" t="str">
        <f>"23085021230"</f>
        <v>23085021230</v>
      </c>
      <c r="C2065" s="6">
        <v>99</v>
      </c>
      <c r="D2065" s="6">
        <v>115</v>
      </c>
      <c r="E2065" s="6">
        <v>214</v>
      </c>
      <c r="F2065" s="11"/>
    </row>
    <row r="2066" spans="1:6">
      <c r="A2066" s="5" t="str">
        <f t="shared" si="37"/>
        <v>202309</v>
      </c>
      <c r="B2066" s="5" t="str">
        <f>"23085021318"</f>
        <v>23085021318</v>
      </c>
      <c r="C2066" s="6">
        <v>106.5</v>
      </c>
      <c r="D2066" s="6">
        <v>107.5</v>
      </c>
      <c r="E2066" s="6">
        <v>214</v>
      </c>
      <c r="F2066" s="11"/>
    </row>
    <row r="2067" spans="1:6">
      <c r="A2067" s="5" t="str">
        <f t="shared" si="37"/>
        <v>202309</v>
      </c>
      <c r="B2067" s="5" t="str">
        <f>"23085020923"</f>
        <v>23085020923</v>
      </c>
      <c r="C2067" s="6">
        <v>106.5</v>
      </c>
      <c r="D2067" s="6">
        <v>107.5</v>
      </c>
      <c r="E2067" s="6">
        <v>214</v>
      </c>
      <c r="F2067" s="11"/>
    </row>
    <row r="2068" spans="1:6">
      <c r="A2068" s="5" t="str">
        <f t="shared" si="37"/>
        <v>202309</v>
      </c>
      <c r="B2068" s="5" t="str">
        <f>"23085021624"</f>
        <v>23085021624</v>
      </c>
      <c r="C2068" s="6">
        <v>111</v>
      </c>
      <c r="D2068" s="6">
        <v>103</v>
      </c>
      <c r="E2068" s="6">
        <v>214</v>
      </c>
      <c r="F2068" s="11"/>
    </row>
    <row r="2069" spans="1:6">
      <c r="A2069" s="5" t="str">
        <f t="shared" si="37"/>
        <v>202309</v>
      </c>
      <c r="B2069" s="5" t="str">
        <f>"23085021703"</f>
        <v>23085021703</v>
      </c>
      <c r="C2069" s="6">
        <v>108</v>
      </c>
      <c r="D2069" s="6">
        <v>106</v>
      </c>
      <c r="E2069" s="6">
        <v>214</v>
      </c>
      <c r="F2069" s="11"/>
    </row>
    <row r="2070" spans="1:6">
      <c r="A2070" s="5" t="str">
        <f t="shared" si="37"/>
        <v>202309</v>
      </c>
      <c r="B2070" s="5" t="str">
        <f>"23085021412"</f>
        <v>23085021412</v>
      </c>
      <c r="C2070" s="6">
        <v>94.5</v>
      </c>
      <c r="D2070" s="6">
        <v>119</v>
      </c>
      <c r="E2070" s="6">
        <v>213.5</v>
      </c>
      <c r="F2070" s="11"/>
    </row>
    <row r="2071" spans="1:6">
      <c r="A2071" s="5" t="str">
        <f t="shared" si="37"/>
        <v>202309</v>
      </c>
      <c r="B2071" s="5" t="str">
        <f>"23085021014"</f>
        <v>23085021014</v>
      </c>
      <c r="C2071" s="6">
        <v>96</v>
      </c>
      <c r="D2071" s="6">
        <v>117.5</v>
      </c>
      <c r="E2071" s="6">
        <v>213.5</v>
      </c>
      <c r="F2071" s="11"/>
    </row>
    <row r="2072" spans="1:6">
      <c r="A2072" s="5" t="str">
        <f t="shared" si="37"/>
        <v>202309</v>
      </c>
      <c r="B2072" s="5" t="str">
        <f>"23085020818"</f>
        <v>23085020818</v>
      </c>
      <c r="C2072" s="6">
        <v>102</v>
      </c>
      <c r="D2072" s="6">
        <v>111.5</v>
      </c>
      <c r="E2072" s="6">
        <v>213.5</v>
      </c>
      <c r="F2072" s="11"/>
    </row>
    <row r="2073" spans="1:6">
      <c r="A2073" s="5" t="str">
        <f t="shared" si="37"/>
        <v>202309</v>
      </c>
      <c r="B2073" s="5" t="str">
        <f>"23085020625"</f>
        <v>23085020625</v>
      </c>
      <c r="C2073" s="6">
        <v>97.5</v>
      </c>
      <c r="D2073" s="6">
        <v>116</v>
      </c>
      <c r="E2073" s="6">
        <v>213.5</v>
      </c>
      <c r="F2073" s="11"/>
    </row>
    <row r="2074" spans="1:6">
      <c r="A2074" s="5" t="str">
        <f t="shared" si="37"/>
        <v>202309</v>
      </c>
      <c r="B2074" s="5" t="str">
        <f>"23085021704"</f>
        <v>23085021704</v>
      </c>
      <c r="C2074" s="6">
        <v>99</v>
      </c>
      <c r="D2074" s="6">
        <v>114.5</v>
      </c>
      <c r="E2074" s="6">
        <v>213.5</v>
      </c>
      <c r="F2074" s="11"/>
    </row>
    <row r="2075" spans="1:6">
      <c r="A2075" s="5" t="str">
        <f t="shared" si="37"/>
        <v>202309</v>
      </c>
      <c r="B2075" s="5" t="str">
        <f>"23085016319"</f>
        <v>23085016319</v>
      </c>
      <c r="C2075" s="6">
        <v>100.5</v>
      </c>
      <c r="D2075" s="6">
        <v>113</v>
      </c>
      <c r="E2075" s="6">
        <v>213.5</v>
      </c>
      <c r="F2075" s="11"/>
    </row>
    <row r="2076" spans="1:6">
      <c r="A2076" s="5" t="str">
        <f t="shared" si="37"/>
        <v>202309</v>
      </c>
      <c r="B2076" s="5" t="str">
        <f>"23085020513"</f>
        <v>23085020513</v>
      </c>
      <c r="C2076" s="6">
        <v>100.5</v>
      </c>
      <c r="D2076" s="6">
        <v>113</v>
      </c>
      <c r="E2076" s="6">
        <v>213.5</v>
      </c>
      <c r="F2076" s="11"/>
    </row>
    <row r="2077" spans="1:6">
      <c r="A2077" s="5" t="str">
        <f t="shared" si="37"/>
        <v>202309</v>
      </c>
      <c r="B2077" s="5" t="str">
        <f>"23085016408"</f>
        <v>23085016408</v>
      </c>
      <c r="C2077" s="6">
        <v>99</v>
      </c>
      <c r="D2077" s="6">
        <v>114.5</v>
      </c>
      <c r="E2077" s="6">
        <v>213.5</v>
      </c>
      <c r="F2077" s="11"/>
    </row>
    <row r="2078" spans="1:6">
      <c r="A2078" s="5" t="str">
        <f t="shared" si="37"/>
        <v>202309</v>
      </c>
      <c r="B2078" s="5" t="str">
        <f>"23085020314"</f>
        <v>23085020314</v>
      </c>
      <c r="C2078" s="6">
        <v>102</v>
      </c>
      <c r="D2078" s="6">
        <v>111</v>
      </c>
      <c r="E2078" s="6">
        <v>213</v>
      </c>
      <c r="F2078" s="11"/>
    </row>
    <row r="2079" spans="1:6">
      <c r="A2079" s="5" t="str">
        <f t="shared" si="37"/>
        <v>202309</v>
      </c>
      <c r="B2079" s="5" t="str">
        <f>"23085021029"</f>
        <v>23085021029</v>
      </c>
      <c r="C2079" s="6">
        <v>108</v>
      </c>
      <c r="D2079" s="6">
        <v>105</v>
      </c>
      <c r="E2079" s="6">
        <v>213</v>
      </c>
      <c r="F2079" s="11"/>
    </row>
    <row r="2080" spans="1:6">
      <c r="A2080" s="5" t="str">
        <f t="shared" si="37"/>
        <v>202309</v>
      </c>
      <c r="B2080" s="5" t="str">
        <f>"23085021305"</f>
        <v>23085021305</v>
      </c>
      <c r="C2080" s="6">
        <v>96</v>
      </c>
      <c r="D2080" s="6">
        <v>117</v>
      </c>
      <c r="E2080" s="6">
        <v>213</v>
      </c>
      <c r="F2080" s="11"/>
    </row>
    <row r="2081" spans="1:6">
      <c r="A2081" s="5" t="str">
        <f t="shared" si="37"/>
        <v>202309</v>
      </c>
      <c r="B2081" s="5" t="str">
        <f>"23085020522"</f>
        <v>23085020522</v>
      </c>
      <c r="C2081" s="6">
        <v>94.5</v>
      </c>
      <c r="D2081" s="6">
        <v>118.5</v>
      </c>
      <c r="E2081" s="6">
        <v>213</v>
      </c>
      <c r="F2081" s="11"/>
    </row>
    <row r="2082" spans="1:6">
      <c r="A2082" s="5" t="str">
        <f t="shared" si="37"/>
        <v>202309</v>
      </c>
      <c r="B2082" s="5" t="str">
        <f>"23085020928"</f>
        <v>23085020928</v>
      </c>
      <c r="C2082" s="6">
        <v>96</v>
      </c>
      <c r="D2082" s="6">
        <v>117</v>
      </c>
      <c r="E2082" s="6">
        <v>213</v>
      </c>
      <c r="F2082" s="11"/>
    </row>
    <row r="2083" spans="1:6">
      <c r="A2083" s="5" t="str">
        <f t="shared" si="37"/>
        <v>202309</v>
      </c>
      <c r="B2083" s="5" t="str">
        <f>"23085016230"</f>
        <v>23085016230</v>
      </c>
      <c r="C2083" s="6">
        <v>97.5</v>
      </c>
      <c r="D2083" s="6">
        <v>115.5</v>
      </c>
      <c r="E2083" s="6">
        <v>213</v>
      </c>
      <c r="F2083" s="11"/>
    </row>
    <row r="2084" spans="1:6">
      <c r="A2084" s="5" t="str">
        <f t="shared" si="37"/>
        <v>202309</v>
      </c>
      <c r="B2084" s="5" t="str">
        <f>"23085020509"</f>
        <v>23085020509</v>
      </c>
      <c r="C2084" s="6">
        <v>97.5</v>
      </c>
      <c r="D2084" s="6">
        <v>115.5</v>
      </c>
      <c r="E2084" s="6">
        <v>213</v>
      </c>
      <c r="F2084" s="11"/>
    </row>
    <row r="2085" spans="1:6">
      <c r="A2085" s="5" t="str">
        <f t="shared" si="37"/>
        <v>202309</v>
      </c>
      <c r="B2085" s="5" t="str">
        <f>"23085021824"</f>
        <v>23085021824</v>
      </c>
      <c r="C2085" s="6">
        <v>105</v>
      </c>
      <c r="D2085" s="6">
        <v>108</v>
      </c>
      <c r="E2085" s="6">
        <v>213</v>
      </c>
      <c r="F2085" s="11"/>
    </row>
    <row r="2086" spans="1:6">
      <c r="A2086" s="5" t="str">
        <f t="shared" si="37"/>
        <v>202309</v>
      </c>
      <c r="B2086" s="5" t="str">
        <f>"23085021327"</f>
        <v>23085021327</v>
      </c>
      <c r="C2086" s="6">
        <v>96</v>
      </c>
      <c r="D2086" s="6">
        <v>117</v>
      </c>
      <c r="E2086" s="6">
        <v>213</v>
      </c>
      <c r="F2086" s="11"/>
    </row>
    <row r="2087" spans="1:6">
      <c r="A2087" s="5" t="str">
        <f t="shared" si="37"/>
        <v>202309</v>
      </c>
      <c r="B2087" s="5" t="str">
        <f>"23085020919"</f>
        <v>23085020919</v>
      </c>
      <c r="C2087" s="6">
        <v>105</v>
      </c>
      <c r="D2087" s="6">
        <v>108</v>
      </c>
      <c r="E2087" s="6">
        <v>213</v>
      </c>
      <c r="F2087" s="11"/>
    </row>
    <row r="2088" spans="1:6">
      <c r="A2088" s="5" t="str">
        <f t="shared" si="37"/>
        <v>202309</v>
      </c>
      <c r="B2088" s="5" t="str">
        <f>"23085021005"</f>
        <v>23085021005</v>
      </c>
      <c r="C2088" s="6">
        <v>94.5</v>
      </c>
      <c r="D2088" s="6">
        <v>118.5</v>
      </c>
      <c r="E2088" s="6">
        <v>213</v>
      </c>
      <c r="F2088" s="11"/>
    </row>
    <row r="2089" spans="1:6">
      <c r="A2089" s="5" t="str">
        <f t="shared" si="37"/>
        <v>202309</v>
      </c>
      <c r="B2089" s="5" t="str">
        <f>"23085021203"</f>
        <v>23085021203</v>
      </c>
      <c r="C2089" s="6">
        <v>100.5</v>
      </c>
      <c r="D2089" s="6">
        <v>112.5</v>
      </c>
      <c r="E2089" s="6">
        <v>213</v>
      </c>
      <c r="F2089" s="11"/>
    </row>
    <row r="2090" spans="1:6">
      <c r="A2090" s="5" t="str">
        <f t="shared" si="37"/>
        <v>202309</v>
      </c>
      <c r="B2090" s="5" t="str">
        <f>"23085016520"</f>
        <v>23085016520</v>
      </c>
      <c r="C2090" s="6">
        <v>96</v>
      </c>
      <c r="D2090" s="6">
        <v>117</v>
      </c>
      <c r="E2090" s="6">
        <v>213</v>
      </c>
      <c r="F2090" s="11"/>
    </row>
    <row r="2091" spans="1:6">
      <c r="A2091" s="5" t="str">
        <f t="shared" si="37"/>
        <v>202309</v>
      </c>
      <c r="B2091" s="5" t="str">
        <f>"23085016313"</f>
        <v>23085016313</v>
      </c>
      <c r="C2091" s="6">
        <v>102</v>
      </c>
      <c r="D2091" s="6">
        <v>111</v>
      </c>
      <c r="E2091" s="6">
        <v>213</v>
      </c>
      <c r="F2091" s="11"/>
    </row>
    <row r="2092" spans="1:6">
      <c r="A2092" s="5" t="str">
        <f t="shared" si="37"/>
        <v>202309</v>
      </c>
      <c r="B2092" s="5" t="str">
        <f>"23085021008"</f>
        <v>23085021008</v>
      </c>
      <c r="C2092" s="6">
        <v>105</v>
      </c>
      <c r="D2092" s="6">
        <v>108</v>
      </c>
      <c r="E2092" s="6">
        <v>213</v>
      </c>
      <c r="F2092" s="11"/>
    </row>
    <row r="2093" spans="1:6">
      <c r="A2093" s="5" t="str">
        <f t="shared" si="37"/>
        <v>202309</v>
      </c>
      <c r="B2093" s="5" t="str">
        <f>"23085021511"</f>
        <v>23085021511</v>
      </c>
      <c r="C2093" s="6">
        <v>96</v>
      </c>
      <c r="D2093" s="6">
        <v>116.5</v>
      </c>
      <c r="E2093" s="6">
        <v>212.5</v>
      </c>
      <c r="F2093" s="11"/>
    </row>
    <row r="2094" spans="1:6">
      <c r="A2094" s="5" t="str">
        <f t="shared" si="37"/>
        <v>202309</v>
      </c>
      <c r="B2094" s="5" t="str">
        <f>"23085021616"</f>
        <v>23085021616</v>
      </c>
      <c r="C2094" s="6">
        <v>97.5</v>
      </c>
      <c r="D2094" s="6">
        <v>115</v>
      </c>
      <c r="E2094" s="6">
        <v>212.5</v>
      </c>
      <c r="F2094" s="11"/>
    </row>
    <row r="2095" spans="1:6">
      <c r="A2095" s="5" t="str">
        <f t="shared" si="37"/>
        <v>202309</v>
      </c>
      <c r="B2095" s="5" t="str">
        <f>"23085020713"</f>
        <v>23085020713</v>
      </c>
      <c r="C2095" s="6">
        <v>94.5</v>
      </c>
      <c r="D2095" s="6">
        <v>118</v>
      </c>
      <c r="E2095" s="6">
        <v>212.5</v>
      </c>
      <c r="F2095" s="11"/>
    </row>
    <row r="2096" spans="1:6">
      <c r="A2096" s="5" t="str">
        <f t="shared" si="37"/>
        <v>202309</v>
      </c>
      <c r="B2096" s="5" t="str">
        <f>"23085020220"</f>
        <v>23085020220</v>
      </c>
      <c r="C2096" s="6">
        <v>100.5</v>
      </c>
      <c r="D2096" s="6">
        <v>112</v>
      </c>
      <c r="E2096" s="6">
        <v>212.5</v>
      </c>
      <c r="F2096" s="11"/>
    </row>
    <row r="2097" spans="1:6">
      <c r="A2097" s="5" t="str">
        <f t="shared" si="37"/>
        <v>202309</v>
      </c>
      <c r="B2097" s="5" t="str">
        <f>"23085021819"</f>
        <v>23085021819</v>
      </c>
      <c r="C2097" s="6">
        <v>102</v>
      </c>
      <c r="D2097" s="6">
        <v>110.5</v>
      </c>
      <c r="E2097" s="6">
        <v>212.5</v>
      </c>
      <c r="F2097" s="11"/>
    </row>
    <row r="2098" spans="1:6">
      <c r="A2098" s="5" t="str">
        <f t="shared" si="37"/>
        <v>202309</v>
      </c>
      <c r="B2098" s="5" t="str">
        <f>"23085020113"</f>
        <v>23085020113</v>
      </c>
      <c r="C2098" s="6">
        <v>100.5</v>
      </c>
      <c r="D2098" s="6">
        <v>112</v>
      </c>
      <c r="E2098" s="6">
        <v>212.5</v>
      </c>
      <c r="F2098" s="11"/>
    </row>
    <row r="2099" spans="1:6">
      <c r="A2099" s="5" t="str">
        <f t="shared" si="37"/>
        <v>202309</v>
      </c>
      <c r="B2099" s="5" t="str">
        <f>"23085021718"</f>
        <v>23085021718</v>
      </c>
      <c r="C2099" s="6">
        <v>97.5</v>
      </c>
      <c r="D2099" s="6">
        <v>114.5</v>
      </c>
      <c r="E2099" s="6">
        <v>212</v>
      </c>
      <c r="F2099" s="11"/>
    </row>
    <row r="2100" spans="1:6">
      <c r="A2100" s="5" t="str">
        <f t="shared" si="37"/>
        <v>202309</v>
      </c>
      <c r="B2100" s="5" t="str">
        <f>"23085020508"</f>
        <v>23085020508</v>
      </c>
      <c r="C2100" s="6">
        <v>94.5</v>
      </c>
      <c r="D2100" s="6">
        <v>117.5</v>
      </c>
      <c r="E2100" s="6">
        <v>212</v>
      </c>
      <c r="F2100" s="11"/>
    </row>
    <row r="2101" spans="1:6">
      <c r="A2101" s="5" t="str">
        <f t="shared" ref="A2101:A2164" si="38">"202309"</f>
        <v>202309</v>
      </c>
      <c r="B2101" s="5" t="str">
        <f>"23085016504"</f>
        <v>23085016504</v>
      </c>
      <c r="C2101" s="6">
        <v>102</v>
      </c>
      <c r="D2101" s="6">
        <v>110</v>
      </c>
      <c r="E2101" s="6">
        <v>212</v>
      </c>
      <c r="F2101" s="11"/>
    </row>
    <row r="2102" spans="1:6">
      <c r="A2102" s="5" t="str">
        <f t="shared" si="38"/>
        <v>202309</v>
      </c>
      <c r="B2102" s="5" t="str">
        <f>"23085016507"</f>
        <v>23085016507</v>
      </c>
      <c r="C2102" s="6">
        <v>103.5</v>
      </c>
      <c r="D2102" s="6">
        <v>108.5</v>
      </c>
      <c r="E2102" s="6">
        <v>212</v>
      </c>
      <c r="F2102" s="11"/>
    </row>
    <row r="2103" spans="1:6">
      <c r="A2103" s="5" t="str">
        <f t="shared" si="38"/>
        <v>202309</v>
      </c>
      <c r="B2103" s="5" t="str">
        <f>"23085021212"</f>
        <v>23085021212</v>
      </c>
      <c r="C2103" s="6">
        <v>100.5</v>
      </c>
      <c r="D2103" s="6">
        <v>111.5</v>
      </c>
      <c r="E2103" s="6">
        <v>212</v>
      </c>
      <c r="F2103" s="11"/>
    </row>
    <row r="2104" spans="1:6">
      <c r="A2104" s="5" t="str">
        <f t="shared" si="38"/>
        <v>202309</v>
      </c>
      <c r="B2104" s="5" t="str">
        <f>"23085021103"</f>
        <v>23085021103</v>
      </c>
      <c r="C2104" s="6">
        <v>105</v>
      </c>
      <c r="D2104" s="6">
        <v>107</v>
      </c>
      <c r="E2104" s="6">
        <v>212</v>
      </c>
      <c r="F2104" s="11"/>
    </row>
    <row r="2105" spans="1:6">
      <c r="A2105" s="5" t="str">
        <f t="shared" si="38"/>
        <v>202309</v>
      </c>
      <c r="B2105" s="5" t="str">
        <f>"23085021816"</f>
        <v>23085021816</v>
      </c>
      <c r="C2105" s="6">
        <v>96</v>
      </c>
      <c r="D2105" s="6">
        <v>116</v>
      </c>
      <c r="E2105" s="6">
        <v>212</v>
      </c>
      <c r="F2105" s="11"/>
    </row>
    <row r="2106" spans="1:6">
      <c r="A2106" s="5" t="str">
        <f t="shared" si="38"/>
        <v>202309</v>
      </c>
      <c r="B2106" s="5" t="str">
        <f>"23085020110"</f>
        <v>23085020110</v>
      </c>
      <c r="C2106" s="6">
        <v>94.5</v>
      </c>
      <c r="D2106" s="6">
        <v>117</v>
      </c>
      <c r="E2106" s="6">
        <v>211.5</v>
      </c>
      <c r="F2106" s="11"/>
    </row>
    <row r="2107" spans="1:6">
      <c r="A2107" s="5" t="str">
        <f t="shared" si="38"/>
        <v>202309</v>
      </c>
      <c r="B2107" s="5" t="str">
        <f>"23085021710"</f>
        <v>23085021710</v>
      </c>
      <c r="C2107" s="6">
        <v>88.5</v>
      </c>
      <c r="D2107" s="6">
        <v>123</v>
      </c>
      <c r="E2107" s="6">
        <v>211.5</v>
      </c>
      <c r="F2107" s="11"/>
    </row>
    <row r="2108" spans="1:6">
      <c r="A2108" s="5" t="str">
        <f t="shared" si="38"/>
        <v>202309</v>
      </c>
      <c r="B2108" s="5" t="str">
        <f>"23085020317"</f>
        <v>23085020317</v>
      </c>
      <c r="C2108" s="6">
        <v>91.5</v>
      </c>
      <c r="D2108" s="6">
        <v>119.5</v>
      </c>
      <c r="E2108" s="6">
        <v>211</v>
      </c>
      <c r="F2108" s="11"/>
    </row>
    <row r="2109" spans="1:6">
      <c r="A2109" s="5" t="str">
        <f t="shared" si="38"/>
        <v>202309</v>
      </c>
      <c r="B2109" s="5" t="str">
        <f>"23085021420"</f>
        <v>23085021420</v>
      </c>
      <c r="C2109" s="6">
        <v>93</v>
      </c>
      <c r="D2109" s="6">
        <v>118</v>
      </c>
      <c r="E2109" s="6">
        <v>211</v>
      </c>
      <c r="F2109" s="11"/>
    </row>
    <row r="2110" spans="1:6">
      <c r="A2110" s="5" t="str">
        <f t="shared" si="38"/>
        <v>202309</v>
      </c>
      <c r="B2110" s="5" t="str">
        <f>"23085020608"</f>
        <v>23085020608</v>
      </c>
      <c r="C2110" s="6">
        <v>100.5</v>
      </c>
      <c r="D2110" s="6">
        <v>110.5</v>
      </c>
      <c r="E2110" s="6">
        <v>211</v>
      </c>
      <c r="F2110" s="11"/>
    </row>
    <row r="2111" spans="1:6">
      <c r="A2111" s="5" t="str">
        <f t="shared" si="38"/>
        <v>202309</v>
      </c>
      <c r="B2111" s="5" t="str">
        <f>"23085020215"</f>
        <v>23085020215</v>
      </c>
      <c r="C2111" s="6">
        <v>114</v>
      </c>
      <c r="D2111" s="6">
        <v>97</v>
      </c>
      <c r="E2111" s="6">
        <v>211</v>
      </c>
      <c r="F2111" s="11"/>
    </row>
    <row r="2112" spans="1:6">
      <c r="A2112" s="5" t="str">
        <f t="shared" si="38"/>
        <v>202309</v>
      </c>
      <c r="B2112" s="5" t="str">
        <f>"23085020519"</f>
        <v>23085020519</v>
      </c>
      <c r="C2112" s="6">
        <v>102</v>
      </c>
      <c r="D2112" s="6">
        <v>109</v>
      </c>
      <c r="E2112" s="6">
        <v>211</v>
      </c>
      <c r="F2112" s="11"/>
    </row>
    <row r="2113" spans="1:6">
      <c r="A2113" s="5" t="str">
        <f t="shared" si="38"/>
        <v>202309</v>
      </c>
      <c r="B2113" s="5" t="str">
        <f>"23085020428"</f>
        <v>23085020428</v>
      </c>
      <c r="C2113" s="6">
        <v>106.5</v>
      </c>
      <c r="D2113" s="6">
        <v>104.5</v>
      </c>
      <c r="E2113" s="6">
        <v>211</v>
      </c>
      <c r="F2113" s="11"/>
    </row>
    <row r="2114" spans="1:6">
      <c r="A2114" s="5" t="str">
        <f t="shared" si="38"/>
        <v>202309</v>
      </c>
      <c r="B2114" s="5" t="str">
        <f>"23085020702"</f>
        <v>23085020702</v>
      </c>
      <c r="C2114" s="6">
        <v>100.5</v>
      </c>
      <c r="D2114" s="6">
        <v>110.5</v>
      </c>
      <c r="E2114" s="6">
        <v>211</v>
      </c>
      <c r="F2114" s="11"/>
    </row>
    <row r="2115" spans="1:6">
      <c r="A2115" s="5" t="str">
        <f t="shared" si="38"/>
        <v>202309</v>
      </c>
      <c r="B2115" s="5" t="str">
        <f>"23085016516"</f>
        <v>23085016516</v>
      </c>
      <c r="C2115" s="6">
        <v>94.5</v>
      </c>
      <c r="D2115" s="6">
        <v>116</v>
      </c>
      <c r="E2115" s="6">
        <v>210.5</v>
      </c>
      <c r="F2115" s="11"/>
    </row>
    <row r="2116" spans="1:6">
      <c r="A2116" s="5" t="str">
        <f t="shared" si="38"/>
        <v>202309</v>
      </c>
      <c r="B2116" s="5" t="str">
        <f>"23085016417"</f>
        <v>23085016417</v>
      </c>
      <c r="C2116" s="6">
        <v>91.5</v>
      </c>
      <c r="D2116" s="6">
        <v>119</v>
      </c>
      <c r="E2116" s="6">
        <v>210.5</v>
      </c>
      <c r="F2116" s="11"/>
    </row>
    <row r="2117" spans="1:6">
      <c r="A2117" s="5" t="str">
        <f t="shared" si="38"/>
        <v>202309</v>
      </c>
      <c r="B2117" s="5" t="str">
        <f>"23085020214"</f>
        <v>23085020214</v>
      </c>
      <c r="C2117" s="6">
        <v>96</v>
      </c>
      <c r="D2117" s="6">
        <v>114.5</v>
      </c>
      <c r="E2117" s="6">
        <v>210.5</v>
      </c>
      <c r="F2117" s="11"/>
    </row>
    <row r="2118" spans="1:6">
      <c r="A2118" s="5" t="str">
        <f t="shared" si="38"/>
        <v>202309</v>
      </c>
      <c r="B2118" s="5" t="str">
        <f>"23085021608"</f>
        <v>23085021608</v>
      </c>
      <c r="C2118" s="6">
        <v>100.5</v>
      </c>
      <c r="D2118" s="6">
        <v>110</v>
      </c>
      <c r="E2118" s="6">
        <v>210.5</v>
      </c>
      <c r="F2118" s="11"/>
    </row>
    <row r="2119" spans="1:6">
      <c r="A2119" s="5" t="str">
        <f t="shared" si="38"/>
        <v>202309</v>
      </c>
      <c r="B2119" s="5" t="str">
        <f>"23085021716"</f>
        <v>23085021716</v>
      </c>
      <c r="C2119" s="6">
        <v>96</v>
      </c>
      <c r="D2119" s="6">
        <v>114.5</v>
      </c>
      <c r="E2119" s="6">
        <v>210.5</v>
      </c>
      <c r="F2119" s="11"/>
    </row>
    <row r="2120" spans="1:6">
      <c r="A2120" s="5" t="str">
        <f t="shared" si="38"/>
        <v>202309</v>
      </c>
      <c r="B2120" s="5" t="str">
        <f>"23085020311"</f>
        <v>23085020311</v>
      </c>
      <c r="C2120" s="6">
        <v>105</v>
      </c>
      <c r="D2120" s="6">
        <v>105</v>
      </c>
      <c r="E2120" s="6">
        <v>210</v>
      </c>
      <c r="F2120" s="11"/>
    </row>
    <row r="2121" spans="1:6">
      <c r="A2121" s="5" t="str">
        <f t="shared" si="38"/>
        <v>202309</v>
      </c>
      <c r="B2121" s="5" t="str">
        <f>"23085016430"</f>
        <v>23085016430</v>
      </c>
      <c r="C2121" s="6">
        <v>100.5</v>
      </c>
      <c r="D2121" s="6">
        <v>109.5</v>
      </c>
      <c r="E2121" s="6">
        <v>210</v>
      </c>
      <c r="F2121" s="11"/>
    </row>
    <row r="2122" spans="1:6">
      <c r="A2122" s="5" t="str">
        <f t="shared" si="38"/>
        <v>202309</v>
      </c>
      <c r="B2122" s="5" t="str">
        <f>"23085020828"</f>
        <v>23085020828</v>
      </c>
      <c r="C2122" s="6">
        <v>99</v>
      </c>
      <c r="D2122" s="6">
        <v>111</v>
      </c>
      <c r="E2122" s="6">
        <v>210</v>
      </c>
      <c r="F2122" s="11"/>
    </row>
    <row r="2123" spans="1:6">
      <c r="A2123" s="5" t="str">
        <f t="shared" si="38"/>
        <v>202309</v>
      </c>
      <c r="B2123" s="5" t="str">
        <f>"23085021508"</f>
        <v>23085021508</v>
      </c>
      <c r="C2123" s="6">
        <v>90</v>
      </c>
      <c r="D2123" s="6">
        <v>120</v>
      </c>
      <c r="E2123" s="6">
        <v>210</v>
      </c>
      <c r="F2123" s="11"/>
    </row>
    <row r="2124" spans="1:6">
      <c r="A2124" s="5" t="str">
        <f t="shared" si="38"/>
        <v>202309</v>
      </c>
      <c r="B2124" s="5" t="str">
        <f>"23085020506"</f>
        <v>23085020506</v>
      </c>
      <c r="C2124" s="6">
        <v>103.5</v>
      </c>
      <c r="D2124" s="6">
        <v>106.5</v>
      </c>
      <c r="E2124" s="6">
        <v>210</v>
      </c>
      <c r="F2124" s="11"/>
    </row>
    <row r="2125" spans="1:6">
      <c r="A2125" s="5" t="str">
        <f t="shared" si="38"/>
        <v>202309</v>
      </c>
      <c r="B2125" s="5" t="str">
        <f>"23085016407"</f>
        <v>23085016407</v>
      </c>
      <c r="C2125" s="6">
        <v>93</v>
      </c>
      <c r="D2125" s="6">
        <v>116.5</v>
      </c>
      <c r="E2125" s="6">
        <v>209.5</v>
      </c>
      <c r="F2125" s="11"/>
    </row>
    <row r="2126" spans="1:6">
      <c r="A2126" s="5" t="str">
        <f t="shared" si="38"/>
        <v>202309</v>
      </c>
      <c r="B2126" s="5" t="str">
        <f>"23085020422"</f>
        <v>23085020422</v>
      </c>
      <c r="C2126" s="6">
        <v>100.5</v>
      </c>
      <c r="D2126" s="6">
        <v>109</v>
      </c>
      <c r="E2126" s="6">
        <v>209.5</v>
      </c>
      <c r="F2126" s="11"/>
    </row>
    <row r="2127" spans="1:6">
      <c r="A2127" s="5" t="str">
        <f t="shared" si="38"/>
        <v>202309</v>
      </c>
      <c r="B2127" s="5" t="str">
        <f>"23085016510"</f>
        <v>23085016510</v>
      </c>
      <c r="C2127" s="6">
        <v>93</v>
      </c>
      <c r="D2127" s="6">
        <v>116.5</v>
      </c>
      <c r="E2127" s="6">
        <v>209.5</v>
      </c>
      <c r="F2127" s="11"/>
    </row>
    <row r="2128" spans="1:6">
      <c r="A2128" s="5" t="str">
        <f t="shared" si="38"/>
        <v>202309</v>
      </c>
      <c r="B2128" s="5" t="str">
        <f>"23085020816"</f>
        <v>23085020816</v>
      </c>
      <c r="C2128" s="6">
        <v>93</v>
      </c>
      <c r="D2128" s="6">
        <v>116.5</v>
      </c>
      <c r="E2128" s="6">
        <v>209.5</v>
      </c>
      <c r="F2128" s="11"/>
    </row>
    <row r="2129" spans="1:6">
      <c r="A2129" s="5" t="str">
        <f t="shared" si="38"/>
        <v>202309</v>
      </c>
      <c r="B2129" s="5" t="str">
        <f>"23085021311"</f>
        <v>23085021311</v>
      </c>
      <c r="C2129" s="6">
        <v>97.5</v>
      </c>
      <c r="D2129" s="6">
        <v>112</v>
      </c>
      <c r="E2129" s="6">
        <v>209.5</v>
      </c>
      <c r="F2129" s="11"/>
    </row>
    <row r="2130" spans="1:6">
      <c r="A2130" s="5" t="str">
        <f t="shared" si="38"/>
        <v>202309</v>
      </c>
      <c r="B2130" s="5" t="str">
        <f>"23085016214"</f>
        <v>23085016214</v>
      </c>
      <c r="C2130" s="6">
        <v>97.5</v>
      </c>
      <c r="D2130" s="6">
        <v>112</v>
      </c>
      <c r="E2130" s="6">
        <v>209.5</v>
      </c>
      <c r="F2130" s="11"/>
    </row>
    <row r="2131" spans="1:6">
      <c r="A2131" s="5" t="str">
        <f t="shared" si="38"/>
        <v>202309</v>
      </c>
      <c r="B2131" s="5" t="str">
        <f>"23085021315"</f>
        <v>23085021315</v>
      </c>
      <c r="C2131" s="6">
        <v>94.5</v>
      </c>
      <c r="D2131" s="6">
        <v>114.5</v>
      </c>
      <c r="E2131" s="6">
        <v>209</v>
      </c>
      <c r="F2131" s="11"/>
    </row>
    <row r="2132" spans="1:6">
      <c r="A2132" s="5" t="str">
        <f t="shared" si="38"/>
        <v>202309</v>
      </c>
      <c r="B2132" s="5" t="str">
        <f>"23085020403"</f>
        <v>23085020403</v>
      </c>
      <c r="C2132" s="6">
        <v>100.5</v>
      </c>
      <c r="D2132" s="6">
        <v>108.5</v>
      </c>
      <c r="E2132" s="6">
        <v>209</v>
      </c>
      <c r="F2132" s="11"/>
    </row>
    <row r="2133" spans="1:6">
      <c r="A2133" s="5" t="str">
        <f t="shared" si="38"/>
        <v>202309</v>
      </c>
      <c r="B2133" s="5" t="str">
        <f>"23085016503"</f>
        <v>23085016503</v>
      </c>
      <c r="C2133" s="6">
        <v>94.5</v>
      </c>
      <c r="D2133" s="6">
        <v>114.5</v>
      </c>
      <c r="E2133" s="6">
        <v>209</v>
      </c>
      <c r="F2133" s="11"/>
    </row>
    <row r="2134" spans="1:6">
      <c r="A2134" s="5" t="str">
        <f t="shared" si="38"/>
        <v>202309</v>
      </c>
      <c r="B2134" s="5" t="str">
        <f>"23085020322"</f>
        <v>23085020322</v>
      </c>
      <c r="C2134" s="6">
        <v>91.5</v>
      </c>
      <c r="D2134" s="6">
        <v>117.5</v>
      </c>
      <c r="E2134" s="6">
        <v>209</v>
      </c>
      <c r="F2134" s="11"/>
    </row>
    <row r="2135" spans="1:6">
      <c r="A2135" s="5" t="str">
        <f t="shared" si="38"/>
        <v>202309</v>
      </c>
      <c r="B2135" s="5" t="str">
        <f>"23085016508"</f>
        <v>23085016508</v>
      </c>
      <c r="C2135" s="6">
        <v>91.5</v>
      </c>
      <c r="D2135" s="6">
        <v>117.5</v>
      </c>
      <c r="E2135" s="6">
        <v>209</v>
      </c>
      <c r="F2135" s="11"/>
    </row>
    <row r="2136" spans="1:6">
      <c r="A2136" s="5" t="str">
        <f t="shared" si="38"/>
        <v>202309</v>
      </c>
      <c r="B2136" s="5" t="str">
        <f>"23085020202"</f>
        <v>23085020202</v>
      </c>
      <c r="C2136" s="6">
        <v>93</v>
      </c>
      <c r="D2136" s="6">
        <v>115.5</v>
      </c>
      <c r="E2136" s="6">
        <v>208.5</v>
      </c>
      <c r="F2136" s="11"/>
    </row>
    <row r="2137" spans="1:6">
      <c r="A2137" s="5" t="str">
        <f t="shared" si="38"/>
        <v>202309</v>
      </c>
      <c r="B2137" s="5" t="str">
        <f>"23085016224"</f>
        <v>23085016224</v>
      </c>
      <c r="C2137" s="6">
        <v>96</v>
      </c>
      <c r="D2137" s="6">
        <v>112.5</v>
      </c>
      <c r="E2137" s="6">
        <v>208.5</v>
      </c>
      <c r="F2137" s="11"/>
    </row>
    <row r="2138" spans="1:6">
      <c r="A2138" s="5" t="str">
        <f t="shared" si="38"/>
        <v>202309</v>
      </c>
      <c r="B2138" s="5" t="str">
        <f>"23085020703"</f>
        <v>23085020703</v>
      </c>
      <c r="C2138" s="6">
        <v>94.5</v>
      </c>
      <c r="D2138" s="6">
        <v>114</v>
      </c>
      <c r="E2138" s="6">
        <v>208.5</v>
      </c>
      <c r="F2138" s="11"/>
    </row>
    <row r="2139" spans="1:6">
      <c r="A2139" s="5" t="str">
        <f t="shared" si="38"/>
        <v>202309</v>
      </c>
      <c r="B2139" s="5" t="str">
        <f>"23085021214"</f>
        <v>23085021214</v>
      </c>
      <c r="C2139" s="6">
        <v>97.5</v>
      </c>
      <c r="D2139" s="6">
        <v>111</v>
      </c>
      <c r="E2139" s="6">
        <v>208.5</v>
      </c>
      <c r="F2139" s="11"/>
    </row>
    <row r="2140" spans="1:6">
      <c r="A2140" s="5" t="str">
        <f t="shared" si="38"/>
        <v>202309</v>
      </c>
      <c r="B2140" s="5" t="str">
        <f>"23085016422"</f>
        <v>23085016422</v>
      </c>
      <c r="C2140" s="6">
        <v>100.5</v>
      </c>
      <c r="D2140" s="6">
        <v>108</v>
      </c>
      <c r="E2140" s="6">
        <v>208.5</v>
      </c>
      <c r="F2140" s="11"/>
    </row>
    <row r="2141" spans="1:6">
      <c r="A2141" s="5" t="str">
        <f t="shared" si="38"/>
        <v>202309</v>
      </c>
      <c r="B2141" s="5" t="str">
        <f>"23085021207"</f>
        <v>23085021207</v>
      </c>
      <c r="C2141" s="6">
        <v>102</v>
      </c>
      <c r="D2141" s="6">
        <v>106</v>
      </c>
      <c r="E2141" s="6">
        <v>208</v>
      </c>
      <c r="F2141" s="11"/>
    </row>
    <row r="2142" spans="1:6">
      <c r="A2142" s="5" t="str">
        <f t="shared" si="38"/>
        <v>202309</v>
      </c>
      <c r="B2142" s="5" t="str">
        <f>"23085021804"</f>
        <v>23085021804</v>
      </c>
      <c r="C2142" s="6">
        <v>88.5</v>
      </c>
      <c r="D2142" s="6">
        <v>119.5</v>
      </c>
      <c r="E2142" s="6">
        <v>208</v>
      </c>
      <c r="F2142" s="11"/>
    </row>
    <row r="2143" spans="1:6">
      <c r="A2143" s="5" t="str">
        <f t="shared" si="38"/>
        <v>202309</v>
      </c>
      <c r="B2143" s="5" t="str">
        <f>"23085016218"</f>
        <v>23085016218</v>
      </c>
      <c r="C2143" s="6">
        <v>97.5</v>
      </c>
      <c r="D2143" s="6">
        <v>110.5</v>
      </c>
      <c r="E2143" s="6">
        <v>208</v>
      </c>
      <c r="F2143" s="11"/>
    </row>
    <row r="2144" spans="1:6">
      <c r="A2144" s="5" t="str">
        <f t="shared" si="38"/>
        <v>202309</v>
      </c>
      <c r="B2144" s="5" t="str">
        <f>"23085020920"</f>
        <v>23085020920</v>
      </c>
      <c r="C2144" s="6">
        <v>100.5</v>
      </c>
      <c r="D2144" s="6">
        <v>107.5</v>
      </c>
      <c r="E2144" s="6">
        <v>208</v>
      </c>
      <c r="F2144" s="11"/>
    </row>
    <row r="2145" spans="1:6">
      <c r="A2145" s="5" t="str">
        <f t="shared" si="38"/>
        <v>202309</v>
      </c>
      <c r="B2145" s="5" t="str">
        <f>"23085021724"</f>
        <v>23085021724</v>
      </c>
      <c r="C2145" s="6">
        <v>87</v>
      </c>
      <c r="D2145" s="6">
        <v>120.5</v>
      </c>
      <c r="E2145" s="6">
        <v>207.5</v>
      </c>
      <c r="F2145" s="11"/>
    </row>
    <row r="2146" spans="1:6">
      <c r="A2146" s="5" t="str">
        <f t="shared" si="38"/>
        <v>202309</v>
      </c>
      <c r="B2146" s="5" t="str">
        <f>"23085021506"</f>
        <v>23085021506</v>
      </c>
      <c r="C2146" s="6">
        <v>103.5</v>
      </c>
      <c r="D2146" s="6">
        <v>104</v>
      </c>
      <c r="E2146" s="6">
        <v>207.5</v>
      </c>
      <c r="F2146" s="11"/>
    </row>
    <row r="2147" spans="1:6">
      <c r="A2147" s="5" t="str">
        <f t="shared" si="38"/>
        <v>202309</v>
      </c>
      <c r="B2147" s="5" t="str">
        <f>"23085021102"</f>
        <v>23085021102</v>
      </c>
      <c r="C2147" s="6">
        <v>103.5</v>
      </c>
      <c r="D2147" s="6">
        <v>104</v>
      </c>
      <c r="E2147" s="6">
        <v>207.5</v>
      </c>
      <c r="F2147" s="11"/>
    </row>
    <row r="2148" spans="1:6">
      <c r="A2148" s="5" t="str">
        <f t="shared" si="38"/>
        <v>202309</v>
      </c>
      <c r="B2148" s="5" t="str">
        <f>"23085021316"</f>
        <v>23085021316</v>
      </c>
      <c r="C2148" s="6">
        <v>99</v>
      </c>
      <c r="D2148" s="6">
        <v>108.5</v>
      </c>
      <c r="E2148" s="6">
        <v>207.5</v>
      </c>
      <c r="F2148" s="11"/>
    </row>
    <row r="2149" spans="1:6">
      <c r="A2149" s="5" t="str">
        <f t="shared" si="38"/>
        <v>202309</v>
      </c>
      <c r="B2149" s="5" t="str">
        <f>"23085020814"</f>
        <v>23085020814</v>
      </c>
      <c r="C2149" s="6">
        <v>91.5</v>
      </c>
      <c r="D2149" s="6">
        <v>115.5</v>
      </c>
      <c r="E2149" s="6">
        <v>207</v>
      </c>
      <c r="F2149" s="11"/>
    </row>
    <row r="2150" spans="1:6">
      <c r="A2150" s="5" t="str">
        <f t="shared" si="38"/>
        <v>202309</v>
      </c>
      <c r="B2150" s="5" t="str">
        <f>"23085016306"</f>
        <v>23085016306</v>
      </c>
      <c r="C2150" s="6">
        <v>97.5</v>
      </c>
      <c r="D2150" s="6">
        <v>109.5</v>
      </c>
      <c r="E2150" s="6">
        <v>207</v>
      </c>
      <c r="F2150" s="11"/>
    </row>
    <row r="2151" spans="1:6">
      <c r="A2151" s="5" t="str">
        <f t="shared" si="38"/>
        <v>202309</v>
      </c>
      <c r="B2151" s="5" t="str">
        <f>"23085021822"</f>
        <v>23085021822</v>
      </c>
      <c r="C2151" s="6">
        <v>91.5</v>
      </c>
      <c r="D2151" s="6">
        <v>115.5</v>
      </c>
      <c r="E2151" s="6">
        <v>207</v>
      </c>
      <c r="F2151" s="11"/>
    </row>
    <row r="2152" spans="1:6">
      <c r="A2152" s="5" t="str">
        <f t="shared" si="38"/>
        <v>202309</v>
      </c>
      <c r="B2152" s="5" t="str">
        <f>"23085020328"</f>
        <v>23085020328</v>
      </c>
      <c r="C2152" s="6">
        <v>94.5</v>
      </c>
      <c r="D2152" s="6">
        <v>112.5</v>
      </c>
      <c r="E2152" s="6">
        <v>207</v>
      </c>
      <c r="F2152" s="11"/>
    </row>
    <row r="2153" spans="1:6">
      <c r="A2153" s="5" t="str">
        <f t="shared" si="38"/>
        <v>202309</v>
      </c>
      <c r="B2153" s="5" t="str">
        <f>"23085020323"</f>
        <v>23085020323</v>
      </c>
      <c r="C2153" s="6">
        <v>94.5</v>
      </c>
      <c r="D2153" s="6">
        <v>112.5</v>
      </c>
      <c r="E2153" s="6">
        <v>207</v>
      </c>
      <c r="F2153" s="11"/>
    </row>
    <row r="2154" spans="1:6">
      <c r="A2154" s="5" t="str">
        <f t="shared" si="38"/>
        <v>202309</v>
      </c>
      <c r="B2154" s="5" t="str">
        <f>"23085020708"</f>
        <v>23085020708</v>
      </c>
      <c r="C2154" s="6">
        <v>105</v>
      </c>
      <c r="D2154" s="6">
        <v>102</v>
      </c>
      <c r="E2154" s="6">
        <v>207</v>
      </c>
      <c r="F2154" s="11"/>
    </row>
    <row r="2155" spans="1:6">
      <c r="A2155" s="5" t="str">
        <f t="shared" si="38"/>
        <v>202309</v>
      </c>
      <c r="B2155" s="5" t="str">
        <f>"23085016326"</f>
        <v>23085016326</v>
      </c>
      <c r="C2155" s="6">
        <v>94.5</v>
      </c>
      <c r="D2155" s="6">
        <v>112</v>
      </c>
      <c r="E2155" s="6">
        <v>206.5</v>
      </c>
      <c r="F2155" s="11"/>
    </row>
    <row r="2156" spans="1:6">
      <c r="A2156" s="5" t="str">
        <f t="shared" si="38"/>
        <v>202309</v>
      </c>
      <c r="B2156" s="5" t="str">
        <f>"23085021015"</f>
        <v>23085021015</v>
      </c>
      <c r="C2156" s="6">
        <v>97.5</v>
      </c>
      <c r="D2156" s="6">
        <v>109</v>
      </c>
      <c r="E2156" s="6">
        <v>206.5</v>
      </c>
      <c r="F2156" s="11"/>
    </row>
    <row r="2157" spans="1:6">
      <c r="A2157" s="5" t="str">
        <f t="shared" si="38"/>
        <v>202309</v>
      </c>
      <c r="B2157" s="5" t="str">
        <f>"23085020901"</f>
        <v>23085020901</v>
      </c>
      <c r="C2157" s="6">
        <v>102</v>
      </c>
      <c r="D2157" s="6">
        <v>104.5</v>
      </c>
      <c r="E2157" s="6">
        <v>206.5</v>
      </c>
      <c r="F2157" s="11"/>
    </row>
    <row r="2158" spans="1:6">
      <c r="A2158" s="5" t="str">
        <f t="shared" si="38"/>
        <v>202309</v>
      </c>
      <c r="B2158" s="5" t="str">
        <f>"23085020806"</f>
        <v>23085020806</v>
      </c>
      <c r="C2158" s="6">
        <v>96</v>
      </c>
      <c r="D2158" s="6">
        <v>110.5</v>
      </c>
      <c r="E2158" s="6">
        <v>206.5</v>
      </c>
      <c r="F2158" s="11"/>
    </row>
    <row r="2159" spans="1:6">
      <c r="A2159" s="5" t="str">
        <f t="shared" si="38"/>
        <v>202309</v>
      </c>
      <c r="B2159" s="5" t="str">
        <f>"23085020222"</f>
        <v>23085020222</v>
      </c>
      <c r="C2159" s="6">
        <v>91.5</v>
      </c>
      <c r="D2159" s="6">
        <v>114.5</v>
      </c>
      <c r="E2159" s="6">
        <v>206</v>
      </c>
      <c r="F2159" s="11"/>
    </row>
    <row r="2160" spans="1:6">
      <c r="A2160" s="5" t="str">
        <f t="shared" si="38"/>
        <v>202309</v>
      </c>
      <c r="B2160" s="5" t="str">
        <f>"23085021519"</f>
        <v>23085021519</v>
      </c>
      <c r="C2160" s="6">
        <v>97.5</v>
      </c>
      <c r="D2160" s="6">
        <v>108.5</v>
      </c>
      <c r="E2160" s="6">
        <v>206</v>
      </c>
      <c r="F2160" s="11"/>
    </row>
    <row r="2161" spans="1:6">
      <c r="A2161" s="5" t="str">
        <f t="shared" si="38"/>
        <v>202309</v>
      </c>
      <c r="B2161" s="5" t="str">
        <f>"23085021615"</f>
        <v>23085021615</v>
      </c>
      <c r="C2161" s="6">
        <v>96</v>
      </c>
      <c r="D2161" s="6">
        <v>110</v>
      </c>
      <c r="E2161" s="6">
        <v>206</v>
      </c>
      <c r="F2161" s="11"/>
    </row>
    <row r="2162" spans="1:6">
      <c r="A2162" s="5" t="str">
        <f t="shared" si="38"/>
        <v>202309</v>
      </c>
      <c r="B2162" s="5" t="str">
        <f>"23085016519"</f>
        <v>23085016519</v>
      </c>
      <c r="C2162" s="6">
        <v>97.5</v>
      </c>
      <c r="D2162" s="6">
        <v>108.5</v>
      </c>
      <c r="E2162" s="6">
        <v>206</v>
      </c>
      <c r="F2162" s="11"/>
    </row>
    <row r="2163" spans="1:6">
      <c r="A2163" s="5" t="str">
        <f t="shared" si="38"/>
        <v>202309</v>
      </c>
      <c r="B2163" s="5" t="str">
        <f>"23085020503"</f>
        <v>23085020503</v>
      </c>
      <c r="C2163" s="6">
        <v>94.5</v>
      </c>
      <c r="D2163" s="6">
        <v>111.5</v>
      </c>
      <c r="E2163" s="6">
        <v>206</v>
      </c>
      <c r="F2163" s="11"/>
    </row>
    <row r="2164" spans="1:6">
      <c r="A2164" s="5" t="str">
        <f t="shared" ref="A2164:A2227" si="39">"202309"</f>
        <v>202309</v>
      </c>
      <c r="B2164" s="5" t="str">
        <f>"23085021201"</f>
        <v>23085021201</v>
      </c>
      <c r="C2164" s="6">
        <v>90</v>
      </c>
      <c r="D2164" s="6">
        <v>115.5</v>
      </c>
      <c r="E2164" s="6">
        <v>205.5</v>
      </c>
      <c r="F2164" s="11"/>
    </row>
    <row r="2165" spans="1:6">
      <c r="A2165" s="5" t="str">
        <f t="shared" si="39"/>
        <v>202309</v>
      </c>
      <c r="B2165" s="5" t="str">
        <f>"23085021629"</f>
        <v>23085021629</v>
      </c>
      <c r="C2165" s="6">
        <v>106.5</v>
      </c>
      <c r="D2165" s="6">
        <v>99</v>
      </c>
      <c r="E2165" s="6">
        <v>205.5</v>
      </c>
      <c r="F2165" s="11"/>
    </row>
    <row r="2166" spans="1:6">
      <c r="A2166" s="5" t="str">
        <f t="shared" si="39"/>
        <v>202309</v>
      </c>
      <c r="B2166" s="5" t="str">
        <f>"23085020526"</f>
        <v>23085020526</v>
      </c>
      <c r="C2166" s="6">
        <v>87</v>
      </c>
      <c r="D2166" s="6">
        <v>118.5</v>
      </c>
      <c r="E2166" s="6">
        <v>205.5</v>
      </c>
      <c r="F2166" s="11"/>
    </row>
    <row r="2167" spans="1:6">
      <c r="A2167" s="5" t="str">
        <f t="shared" si="39"/>
        <v>202309</v>
      </c>
      <c r="B2167" s="5" t="str">
        <f>"23085020812"</f>
        <v>23085020812</v>
      </c>
      <c r="C2167" s="6">
        <v>99</v>
      </c>
      <c r="D2167" s="6">
        <v>106.5</v>
      </c>
      <c r="E2167" s="6">
        <v>205.5</v>
      </c>
      <c r="F2167" s="11"/>
    </row>
    <row r="2168" spans="1:6">
      <c r="A2168" s="5" t="str">
        <f t="shared" si="39"/>
        <v>202309</v>
      </c>
      <c r="B2168" s="5" t="str">
        <f>"23085020227"</f>
        <v>23085020227</v>
      </c>
      <c r="C2168" s="6">
        <v>97.5</v>
      </c>
      <c r="D2168" s="6">
        <v>108</v>
      </c>
      <c r="E2168" s="6">
        <v>205.5</v>
      </c>
      <c r="F2168" s="11"/>
    </row>
    <row r="2169" spans="1:6">
      <c r="A2169" s="5" t="str">
        <f t="shared" si="39"/>
        <v>202309</v>
      </c>
      <c r="B2169" s="5" t="str">
        <f>"23085020810"</f>
        <v>23085020810</v>
      </c>
      <c r="C2169" s="6">
        <v>94.5</v>
      </c>
      <c r="D2169" s="6">
        <v>110.5</v>
      </c>
      <c r="E2169" s="6">
        <v>205</v>
      </c>
      <c r="F2169" s="11"/>
    </row>
    <row r="2170" spans="1:6">
      <c r="A2170" s="5" t="str">
        <f t="shared" si="39"/>
        <v>202309</v>
      </c>
      <c r="B2170" s="5" t="str">
        <f>"23085020414"</f>
        <v>23085020414</v>
      </c>
      <c r="C2170" s="6">
        <v>100.5</v>
      </c>
      <c r="D2170" s="6">
        <v>104.5</v>
      </c>
      <c r="E2170" s="6">
        <v>205</v>
      </c>
      <c r="F2170" s="11"/>
    </row>
    <row r="2171" spans="1:6">
      <c r="A2171" s="5" t="str">
        <f t="shared" si="39"/>
        <v>202309</v>
      </c>
      <c r="B2171" s="5" t="str">
        <f>"23085020217"</f>
        <v>23085020217</v>
      </c>
      <c r="C2171" s="6">
        <v>90</v>
      </c>
      <c r="D2171" s="6">
        <v>115</v>
      </c>
      <c r="E2171" s="6">
        <v>205</v>
      </c>
      <c r="F2171" s="11"/>
    </row>
    <row r="2172" spans="1:6">
      <c r="A2172" s="5" t="str">
        <f t="shared" si="39"/>
        <v>202309</v>
      </c>
      <c r="B2172" s="5" t="str">
        <f>"23085021321"</f>
        <v>23085021321</v>
      </c>
      <c r="C2172" s="6">
        <v>93</v>
      </c>
      <c r="D2172" s="6">
        <v>111.5</v>
      </c>
      <c r="E2172" s="6">
        <v>204.5</v>
      </c>
      <c r="F2172" s="11"/>
    </row>
    <row r="2173" spans="1:6">
      <c r="A2173" s="5" t="str">
        <f t="shared" si="39"/>
        <v>202309</v>
      </c>
      <c r="B2173" s="5" t="str">
        <f>"23085020914"</f>
        <v>23085020914</v>
      </c>
      <c r="C2173" s="6">
        <v>103.5</v>
      </c>
      <c r="D2173" s="6">
        <v>101</v>
      </c>
      <c r="E2173" s="6">
        <v>204.5</v>
      </c>
      <c r="F2173" s="11"/>
    </row>
    <row r="2174" spans="1:6">
      <c r="A2174" s="5" t="str">
        <f t="shared" si="39"/>
        <v>202309</v>
      </c>
      <c r="B2174" s="5" t="str">
        <f>"23085021006"</f>
        <v>23085021006</v>
      </c>
      <c r="C2174" s="6">
        <v>97.5</v>
      </c>
      <c r="D2174" s="6">
        <v>107</v>
      </c>
      <c r="E2174" s="6">
        <v>204.5</v>
      </c>
      <c r="F2174" s="11"/>
    </row>
    <row r="2175" spans="1:6">
      <c r="A2175" s="5" t="str">
        <f t="shared" si="39"/>
        <v>202309</v>
      </c>
      <c r="B2175" s="5" t="str">
        <f>"23085020116"</f>
        <v>23085020116</v>
      </c>
      <c r="C2175" s="6">
        <v>96</v>
      </c>
      <c r="D2175" s="6">
        <v>108</v>
      </c>
      <c r="E2175" s="6">
        <v>204</v>
      </c>
      <c r="F2175" s="11"/>
    </row>
    <row r="2176" spans="1:6">
      <c r="A2176" s="5" t="str">
        <f t="shared" si="39"/>
        <v>202309</v>
      </c>
      <c r="B2176" s="5" t="str">
        <f>"23085021222"</f>
        <v>23085021222</v>
      </c>
      <c r="C2176" s="6">
        <v>94.5</v>
      </c>
      <c r="D2176" s="6">
        <v>109.5</v>
      </c>
      <c r="E2176" s="6">
        <v>204</v>
      </c>
      <c r="F2176" s="11"/>
    </row>
    <row r="2177" spans="1:6">
      <c r="A2177" s="5" t="str">
        <f t="shared" si="39"/>
        <v>202309</v>
      </c>
      <c r="B2177" s="5" t="str">
        <f>"23085020429"</f>
        <v>23085020429</v>
      </c>
      <c r="C2177" s="6">
        <v>93</v>
      </c>
      <c r="D2177" s="6">
        <v>111</v>
      </c>
      <c r="E2177" s="6">
        <v>204</v>
      </c>
      <c r="F2177" s="11"/>
    </row>
    <row r="2178" spans="1:6">
      <c r="A2178" s="5" t="str">
        <f t="shared" si="39"/>
        <v>202309</v>
      </c>
      <c r="B2178" s="5" t="str">
        <f>"23085020705"</f>
        <v>23085020705</v>
      </c>
      <c r="C2178" s="6">
        <v>88.5</v>
      </c>
      <c r="D2178" s="6">
        <v>115.5</v>
      </c>
      <c r="E2178" s="6">
        <v>204</v>
      </c>
      <c r="F2178" s="11"/>
    </row>
    <row r="2179" spans="1:6">
      <c r="A2179" s="5" t="str">
        <f t="shared" si="39"/>
        <v>202309</v>
      </c>
      <c r="B2179" s="5" t="str">
        <f>"23085020521"</f>
        <v>23085020521</v>
      </c>
      <c r="C2179" s="6">
        <v>93</v>
      </c>
      <c r="D2179" s="6">
        <v>111</v>
      </c>
      <c r="E2179" s="6">
        <v>204</v>
      </c>
      <c r="F2179" s="11"/>
    </row>
    <row r="2180" spans="1:6">
      <c r="A2180" s="5" t="str">
        <f t="shared" si="39"/>
        <v>202309</v>
      </c>
      <c r="B2180" s="5" t="str">
        <f>"23085021421"</f>
        <v>23085021421</v>
      </c>
      <c r="C2180" s="6">
        <v>87</v>
      </c>
      <c r="D2180" s="6">
        <v>117</v>
      </c>
      <c r="E2180" s="6">
        <v>204</v>
      </c>
      <c r="F2180" s="11"/>
    </row>
    <row r="2181" spans="1:6">
      <c r="A2181" s="5" t="str">
        <f t="shared" si="39"/>
        <v>202309</v>
      </c>
      <c r="B2181" s="5" t="str">
        <f>"23085021125"</f>
        <v>23085021125</v>
      </c>
      <c r="C2181" s="6">
        <v>94.5</v>
      </c>
      <c r="D2181" s="6">
        <v>109.5</v>
      </c>
      <c r="E2181" s="6">
        <v>204</v>
      </c>
      <c r="F2181" s="11"/>
    </row>
    <row r="2182" spans="1:6">
      <c r="A2182" s="5" t="str">
        <f t="shared" si="39"/>
        <v>202309</v>
      </c>
      <c r="B2182" s="5" t="str">
        <f>"23085021313"</f>
        <v>23085021313</v>
      </c>
      <c r="C2182" s="6">
        <v>91.5</v>
      </c>
      <c r="D2182" s="6">
        <v>112</v>
      </c>
      <c r="E2182" s="6">
        <v>203.5</v>
      </c>
      <c r="F2182" s="11"/>
    </row>
    <row r="2183" spans="1:6">
      <c r="A2183" s="5" t="str">
        <f t="shared" si="39"/>
        <v>202309</v>
      </c>
      <c r="B2183" s="5" t="str">
        <f>"23085021612"</f>
        <v>23085021612</v>
      </c>
      <c r="C2183" s="6">
        <v>90</v>
      </c>
      <c r="D2183" s="6">
        <v>113.5</v>
      </c>
      <c r="E2183" s="6">
        <v>203.5</v>
      </c>
      <c r="F2183" s="11"/>
    </row>
    <row r="2184" spans="1:6">
      <c r="A2184" s="5" t="str">
        <f t="shared" si="39"/>
        <v>202309</v>
      </c>
      <c r="B2184" s="5" t="str">
        <f>"23085020620"</f>
        <v>23085020620</v>
      </c>
      <c r="C2184" s="6">
        <v>100.5</v>
      </c>
      <c r="D2184" s="6">
        <v>103</v>
      </c>
      <c r="E2184" s="6">
        <v>203.5</v>
      </c>
      <c r="F2184" s="11"/>
    </row>
    <row r="2185" spans="1:6">
      <c r="A2185" s="5" t="str">
        <f t="shared" si="39"/>
        <v>202309</v>
      </c>
      <c r="B2185" s="5" t="str">
        <f>"23085016419"</f>
        <v>23085016419</v>
      </c>
      <c r="C2185" s="6">
        <v>94.5</v>
      </c>
      <c r="D2185" s="6">
        <v>109</v>
      </c>
      <c r="E2185" s="6">
        <v>203.5</v>
      </c>
      <c r="F2185" s="11"/>
    </row>
    <row r="2186" spans="1:6">
      <c r="A2186" s="5" t="str">
        <f t="shared" si="39"/>
        <v>202309</v>
      </c>
      <c r="B2186" s="5" t="str">
        <f>"23085021128"</f>
        <v>23085021128</v>
      </c>
      <c r="C2186" s="6">
        <v>88.5</v>
      </c>
      <c r="D2186" s="6">
        <v>115</v>
      </c>
      <c r="E2186" s="6">
        <v>203.5</v>
      </c>
      <c r="F2186" s="11"/>
    </row>
    <row r="2187" spans="1:6">
      <c r="A2187" s="5" t="str">
        <f t="shared" si="39"/>
        <v>202309</v>
      </c>
      <c r="B2187" s="5" t="str">
        <f>"23085020527"</f>
        <v>23085020527</v>
      </c>
      <c r="C2187" s="6">
        <v>100.5</v>
      </c>
      <c r="D2187" s="6">
        <v>103</v>
      </c>
      <c r="E2187" s="6">
        <v>203.5</v>
      </c>
      <c r="F2187" s="11"/>
    </row>
    <row r="2188" spans="1:6">
      <c r="A2188" s="5" t="str">
        <f t="shared" si="39"/>
        <v>202309</v>
      </c>
      <c r="B2188" s="5" t="str">
        <f>"23085021411"</f>
        <v>23085021411</v>
      </c>
      <c r="C2188" s="6">
        <v>94.5</v>
      </c>
      <c r="D2188" s="6">
        <v>108.5</v>
      </c>
      <c r="E2188" s="6">
        <v>203</v>
      </c>
      <c r="F2188" s="11"/>
    </row>
    <row r="2189" spans="1:6">
      <c r="A2189" s="5" t="str">
        <f t="shared" si="39"/>
        <v>202309</v>
      </c>
      <c r="B2189" s="5" t="str">
        <f>"23085020811"</f>
        <v>23085020811</v>
      </c>
      <c r="C2189" s="6">
        <v>94.5</v>
      </c>
      <c r="D2189" s="6">
        <v>108.5</v>
      </c>
      <c r="E2189" s="6">
        <v>203</v>
      </c>
      <c r="F2189" s="11"/>
    </row>
    <row r="2190" spans="1:6">
      <c r="A2190" s="5" t="str">
        <f t="shared" si="39"/>
        <v>202309</v>
      </c>
      <c r="B2190" s="5" t="str">
        <f>"23085021320"</f>
        <v>23085021320</v>
      </c>
      <c r="C2190" s="6">
        <v>90</v>
      </c>
      <c r="D2190" s="6">
        <v>113</v>
      </c>
      <c r="E2190" s="6">
        <v>203</v>
      </c>
      <c r="F2190" s="11"/>
    </row>
    <row r="2191" spans="1:6">
      <c r="A2191" s="5" t="str">
        <f t="shared" si="39"/>
        <v>202309</v>
      </c>
      <c r="B2191" s="5" t="str">
        <f>"23085021417"</f>
        <v>23085021417</v>
      </c>
      <c r="C2191" s="6">
        <v>85.5</v>
      </c>
      <c r="D2191" s="6">
        <v>117.5</v>
      </c>
      <c r="E2191" s="6">
        <v>203</v>
      </c>
      <c r="F2191" s="11"/>
    </row>
    <row r="2192" spans="1:6">
      <c r="A2192" s="5" t="str">
        <f t="shared" si="39"/>
        <v>202309</v>
      </c>
      <c r="B2192" s="5" t="str">
        <f>"23085020424"</f>
        <v>23085020424</v>
      </c>
      <c r="C2192" s="6">
        <v>97.5</v>
      </c>
      <c r="D2192" s="6">
        <v>105.5</v>
      </c>
      <c r="E2192" s="6">
        <v>203</v>
      </c>
      <c r="F2192" s="11"/>
    </row>
    <row r="2193" spans="1:6">
      <c r="A2193" s="5" t="str">
        <f t="shared" si="39"/>
        <v>202309</v>
      </c>
      <c r="B2193" s="5" t="str">
        <f>"23085020106"</f>
        <v>23085020106</v>
      </c>
      <c r="C2193" s="6">
        <v>90</v>
      </c>
      <c r="D2193" s="6">
        <v>113</v>
      </c>
      <c r="E2193" s="6">
        <v>203</v>
      </c>
      <c r="F2193" s="11"/>
    </row>
    <row r="2194" spans="1:6">
      <c r="A2194" s="5" t="str">
        <f t="shared" si="39"/>
        <v>202309</v>
      </c>
      <c r="B2194" s="5" t="str">
        <f>"23085021112"</f>
        <v>23085021112</v>
      </c>
      <c r="C2194" s="6">
        <v>90</v>
      </c>
      <c r="D2194" s="6">
        <v>112.5</v>
      </c>
      <c r="E2194" s="6">
        <v>202.5</v>
      </c>
      <c r="F2194" s="11"/>
    </row>
    <row r="2195" spans="1:6">
      <c r="A2195" s="5" t="str">
        <f t="shared" si="39"/>
        <v>202309</v>
      </c>
      <c r="B2195" s="5" t="str">
        <f>"23085021427"</f>
        <v>23085021427</v>
      </c>
      <c r="C2195" s="6">
        <v>85.5</v>
      </c>
      <c r="D2195" s="6">
        <v>117</v>
      </c>
      <c r="E2195" s="6">
        <v>202.5</v>
      </c>
      <c r="F2195" s="11"/>
    </row>
    <row r="2196" spans="1:6">
      <c r="A2196" s="5" t="str">
        <f t="shared" si="39"/>
        <v>202309</v>
      </c>
      <c r="B2196" s="5" t="str">
        <f>"23085021130"</f>
        <v>23085021130</v>
      </c>
      <c r="C2196" s="6">
        <v>96</v>
      </c>
      <c r="D2196" s="6">
        <v>106.5</v>
      </c>
      <c r="E2196" s="6">
        <v>202.5</v>
      </c>
      <c r="F2196" s="11"/>
    </row>
    <row r="2197" spans="1:6">
      <c r="A2197" s="5" t="str">
        <f t="shared" si="39"/>
        <v>202309</v>
      </c>
      <c r="B2197" s="5" t="str">
        <f>"23085021721"</f>
        <v>23085021721</v>
      </c>
      <c r="C2197" s="6">
        <v>91.5</v>
      </c>
      <c r="D2197" s="6">
        <v>111</v>
      </c>
      <c r="E2197" s="6">
        <v>202.5</v>
      </c>
      <c r="F2197" s="11"/>
    </row>
    <row r="2198" spans="1:6">
      <c r="A2198" s="5" t="str">
        <f t="shared" si="39"/>
        <v>202309</v>
      </c>
      <c r="B2198" s="5" t="str">
        <f>"23085016228"</f>
        <v>23085016228</v>
      </c>
      <c r="C2198" s="6">
        <v>85.5</v>
      </c>
      <c r="D2198" s="6">
        <v>116.5</v>
      </c>
      <c r="E2198" s="6">
        <v>202</v>
      </c>
      <c r="F2198" s="11"/>
    </row>
    <row r="2199" spans="1:6">
      <c r="A2199" s="5" t="str">
        <f t="shared" si="39"/>
        <v>202309</v>
      </c>
      <c r="B2199" s="5" t="str">
        <f>"23085021413"</f>
        <v>23085021413</v>
      </c>
      <c r="C2199" s="6">
        <v>103.5</v>
      </c>
      <c r="D2199" s="6">
        <v>98.5</v>
      </c>
      <c r="E2199" s="6">
        <v>202</v>
      </c>
      <c r="F2199" s="11"/>
    </row>
    <row r="2200" spans="1:6">
      <c r="A2200" s="5" t="str">
        <f t="shared" si="39"/>
        <v>202309</v>
      </c>
      <c r="B2200" s="5" t="str">
        <f>"23085016213"</f>
        <v>23085016213</v>
      </c>
      <c r="C2200" s="6">
        <v>87</v>
      </c>
      <c r="D2200" s="6">
        <v>115</v>
      </c>
      <c r="E2200" s="6">
        <v>202</v>
      </c>
      <c r="F2200" s="11"/>
    </row>
    <row r="2201" spans="1:6">
      <c r="A2201" s="5" t="str">
        <f t="shared" si="39"/>
        <v>202309</v>
      </c>
      <c r="B2201" s="5" t="str">
        <f>"23085020430"</f>
        <v>23085020430</v>
      </c>
      <c r="C2201" s="6">
        <v>88.5</v>
      </c>
      <c r="D2201" s="6">
        <v>113.5</v>
      </c>
      <c r="E2201" s="6">
        <v>202</v>
      </c>
      <c r="F2201" s="11"/>
    </row>
    <row r="2202" spans="1:6">
      <c r="A2202" s="5" t="str">
        <f t="shared" si="39"/>
        <v>202309</v>
      </c>
      <c r="B2202" s="5" t="str">
        <f>"23085021217"</f>
        <v>23085021217</v>
      </c>
      <c r="C2202" s="6">
        <v>100.5</v>
      </c>
      <c r="D2202" s="6">
        <v>101.5</v>
      </c>
      <c r="E2202" s="6">
        <v>202</v>
      </c>
      <c r="F2202" s="11"/>
    </row>
    <row r="2203" spans="1:6">
      <c r="A2203" s="5" t="str">
        <f t="shared" si="39"/>
        <v>202309</v>
      </c>
      <c r="B2203" s="5" t="str">
        <f>"23085021120"</f>
        <v>23085021120</v>
      </c>
      <c r="C2203" s="6">
        <v>90</v>
      </c>
      <c r="D2203" s="6">
        <v>112</v>
      </c>
      <c r="E2203" s="6">
        <v>202</v>
      </c>
      <c r="F2203" s="11"/>
    </row>
    <row r="2204" spans="1:6">
      <c r="A2204" s="5" t="str">
        <f t="shared" si="39"/>
        <v>202309</v>
      </c>
      <c r="B2204" s="5" t="str">
        <f>"23085021121"</f>
        <v>23085021121</v>
      </c>
      <c r="C2204" s="6">
        <v>88.5</v>
      </c>
      <c r="D2204" s="6">
        <v>113.5</v>
      </c>
      <c r="E2204" s="6">
        <v>202</v>
      </c>
      <c r="F2204" s="11"/>
    </row>
    <row r="2205" spans="1:6">
      <c r="A2205" s="5" t="str">
        <f t="shared" si="39"/>
        <v>202309</v>
      </c>
      <c r="B2205" s="5" t="str">
        <f>"23085021602"</f>
        <v>23085021602</v>
      </c>
      <c r="C2205" s="6">
        <v>93</v>
      </c>
      <c r="D2205" s="6">
        <v>109</v>
      </c>
      <c r="E2205" s="6">
        <v>202</v>
      </c>
      <c r="F2205" s="11"/>
    </row>
    <row r="2206" spans="1:6">
      <c r="A2206" s="5" t="str">
        <f t="shared" si="39"/>
        <v>202309</v>
      </c>
      <c r="B2206" s="5" t="str">
        <f>"23085016323"</f>
        <v>23085016323</v>
      </c>
      <c r="C2206" s="6">
        <v>85.5</v>
      </c>
      <c r="D2206" s="6">
        <v>116.5</v>
      </c>
      <c r="E2206" s="6">
        <v>202</v>
      </c>
      <c r="F2206" s="11"/>
    </row>
    <row r="2207" spans="1:6">
      <c r="A2207" s="5" t="str">
        <f t="shared" si="39"/>
        <v>202309</v>
      </c>
      <c r="B2207" s="5" t="str">
        <f>"23085021426"</f>
        <v>23085021426</v>
      </c>
      <c r="C2207" s="6">
        <v>97.5</v>
      </c>
      <c r="D2207" s="6">
        <v>104</v>
      </c>
      <c r="E2207" s="6">
        <v>201.5</v>
      </c>
      <c r="F2207" s="11"/>
    </row>
    <row r="2208" spans="1:6">
      <c r="A2208" s="5" t="str">
        <f t="shared" si="39"/>
        <v>202309</v>
      </c>
      <c r="B2208" s="5" t="str">
        <f>"23085020825"</f>
        <v>23085020825</v>
      </c>
      <c r="C2208" s="6">
        <v>94.5</v>
      </c>
      <c r="D2208" s="6">
        <v>107</v>
      </c>
      <c r="E2208" s="6">
        <v>201.5</v>
      </c>
      <c r="F2208" s="11"/>
    </row>
    <row r="2209" spans="1:6">
      <c r="A2209" s="5" t="str">
        <f t="shared" si="39"/>
        <v>202309</v>
      </c>
      <c r="B2209" s="5" t="str">
        <f>"23085021224"</f>
        <v>23085021224</v>
      </c>
      <c r="C2209" s="6">
        <v>100.5</v>
      </c>
      <c r="D2209" s="6">
        <v>101</v>
      </c>
      <c r="E2209" s="6">
        <v>201.5</v>
      </c>
      <c r="F2209" s="11"/>
    </row>
    <row r="2210" spans="1:6">
      <c r="A2210" s="5" t="str">
        <f t="shared" si="39"/>
        <v>202309</v>
      </c>
      <c r="B2210" s="5" t="str">
        <f>"23085020125"</f>
        <v>23085020125</v>
      </c>
      <c r="C2210" s="6">
        <v>88.5</v>
      </c>
      <c r="D2210" s="6">
        <v>113</v>
      </c>
      <c r="E2210" s="6">
        <v>201.5</v>
      </c>
      <c r="F2210" s="11"/>
    </row>
    <row r="2211" spans="1:6">
      <c r="A2211" s="5" t="str">
        <f t="shared" si="39"/>
        <v>202309</v>
      </c>
      <c r="B2211" s="5" t="str">
        <f>"23085021701"</f>
        <v>23085021701</v>
      </c>
      <c r="C2211" s="6">
        <v>87</v>
      </c>
      <c r="D2211" s="6">
        <v>114.5</v>
      </c>
      <c r="E2211" s="6">
        <v>201.5</v>
      </c>
      <c r="F2211" s="11"/>
    </row>
    <row r="2212" spans="1:6">
      <c r="A2212" s="5" t="str">
        <f t="shared" si="39"/>
        <v>202309</v>
      </c>
      <c r="B2212" s="5" t="str">
        <f>"23085016226"</f>
        <v>23085016226</v>
      </c>
      <c r="C2212" s="6">
        <v>85.5</v>
      </c>
      <c r="D2212" s="6">
        <v>115</v>
      </c>
      <c r="E2212" s="6">
        <v>200.5</v>
      </c>
      <c r="F2212" s="11"/>
    </row>
    <row r="2213" spans="1:6">
      <c r="A2213" s="5" t="str">
        <f t="shared" si="39"/>
        <v>202309</v>
      </c>
      <c r="B2213" s="5" t="str">
        <f>"23085020719"</f>
        <v>23085020719</v>
      </c>
      <c r="C2213" s="6">
        <v>79.5</v>
      </c>
      <c r="D2213" s="6">
        <v>121</v>
      </c>
      <c r="E2213" s="6">
        <v>200.5</v>
      </c>
      <c r="F2213" s="11"/>
    </row>
    <row r="2214" spans="1:6">
      <c r="A2214" s="5" t="str">
        <f t="shared" si="39"/>
        <v>202309</v>
      </c>
      <c r="B2214" s="5" t="str">
        <f>"23085020525"</f>
        <v>23085020525</v>
      </c>
      <c r="C2214" s="6">
        <v>82.5</v>
      </c>
      <c r="D2214" s="6">
        <v>118</v>
      </c>
      <c r="E2214" s="6">
        <v>200.5</v>
      </c>
      <c r="F2214" s="11"/>
    </row>
    <row r="2215" spans="1:6">
      <c r="A2215" s="5" t="str">
        <f t="shared" si="39"/>
        <v>202309</v>
      </c>
      <c r="B2215" s="5" t="str">
        <f>"23085016513"</f>
        <v>23085016513</v>
      </c>
      <c r="C2215" s="6">
        <v>87</v>
      </c>
      <c r="D2215" s="6">
        <v>113.5</v>
      </c>
      <c r="E2215" s="6">
        <v>200.5</v>
      </c>
      <c r="F2215" s="11"/>
    </row>
    <row r="2216" spans="1:6">
      <c r="A2216" s="5" t="str">
        <f t="shared" si="39"/>
        <v>202309</v>
      </c>
      <c r="B2216" s="5" t="str">
        <f>"23085021030"</f>
        <v>23085021030</v>
      </c>
      <c r="C2216" s="6">
        <v>88.5</v>
      </c>
      <c r="D2216" s="6">
        <v>112</v>
      </c>
      <c r="E2216" s="6">
        <v>200.5</v>
      </c>
      <c r="F2216" s="11"/>
    </row>
    <row r="2217" spans="1:6">
      <c r="A2217" s="5" t="str">
        <f t="shared" si="39"/>
        <v>202309</v>
      </c>
      <c r="B2217" s="5" t="str">
        <f>"23085021517"</f>
        <v>23085021517</v>
      </c>
      <c r="C2217" s="6">
        <v>100.5</v>
      </c>
      <c r="D2217" s="6">
        <v>99.5</v>
      </c>
      <c r="E2217" s="6">
        <v>200</v>
      </c>
      <c r="F2217" s="11"/>
    </row>
    <row r="2218" spans="1:6">
      <c r="A2218" s="5" t="str">
        <f t="shared" si="39"/>
        <v>202309</v>
      </c>
      <c r="B2218" s="5" t="str">
        <f>"23085016325"</f>
        <v>23085016325</v>
      </c>
      <c r="C2218" s="6">
        <v>87</v>
      </c>
      <c r="D2218" s="6">
        <v>113</v>
      </c>
      <c r="E2218" s="6">
        <v>200</v>
      </c>
      <c r="F2218" s="11"/>
    </row>
    <row r="2219" spans="1:6">
      <c r="A2219" s="5" t="str">
        <f t="shared" si="39"/>
        <v>202309</v>
      </c>
      <c r="B2219" s="5" t="str">
        <f>"23085020408"</f>
        <v>23085020408</v>
      </c>
      <c r="C2219" s="6">
        <v>87</v>
      </c>
      <c r="D2219" s="6">
        <v>113</v>
      </c>
      <c r="E2219" s="6">
        <v>200</v>
      </c>
      <c r="F2219" s="11"/>
    </row>
    <row r="2220" spans="1:6">
      <c r="A2220" s="5" t="str">
        <f t="shared" si="39"/>
        <v>202309</v>
      </c>
      <c r="B2220" s="5" t="str">
        <f>"23085016425"</f>
        <v>23085016425</v>
      </c>
      <c r="C2220" s="6">
        <v>84</v>
      </c>
      <c r="D2220" s="6">
        <v>116</v>
      </c>
      <c r="E2220" s="6">
        <v>200</v>
      </c>
      <c r="F2220" s="11"/>
    </row>
    <row r="2221" spans="1:6">
      <c r="A2221" s="5" t="str">
        <f t="shared" si="39"/>
        <v>202309</v>
      </c>
      <c r="B2221" s="5" t="str">
        <f>"23085020123"</f>
        <v>23085020123</v>
      </c>
      <c r="C2221" s="6">
        <v>85.5</v>
      </c>
      <c r="D2221" s="6">
        <v>114.5</v>
      </c>
      <c r="E2221" s="6">
        <v>200</v>
      </c>
      <c r="F2221" s="11"/>
    </row>
    <row r="2222" spans="1:6">
      <c r="A2222" s="5" t="str">
        <f t="shared" si="39"/>
        <v>202309</v>
      </c>
      <c r="B2222" s="5" t="str">
        <f>"23085016416"</f>
        <v>23085016416</v>
      </c>
      <c r="C2222" s="6">
        <v>84</v>
      </c>
      <c r="D2222" s="6">
        <v>115.5</v>
      </c>
      <c r="E2222" s="6">
        <v>199.5</v>
      </c>
      <c r="F2222" s="11"/>
    </row>
    <row r="2223" spans="1:6">
      <c r="A2223" s="5" t="str">
        <f t="shared" si="39"/>
        <v>202309</v>
      </c>
      <c r="B2223" s="5" t="str">
        <f>"23085021310"</f>
        <v>23085021310</v>
      </c>
      <c r="C2223" s="6">
        <v>88.5</v>
      </c>
      <c r="D2223" s="6">
        <v>111</v>
      </c>
      <c r="E2223" s="6">
        <v>199.5</v>
      </c>
      <c r="F2223" s="11"/>
    </row>
    <row r="2224" spans="1:6">
      <c r="A2224" s="5" t="str">
        <f t="shared" si="39"/>
        <v>202309</v>
      </c>
      <c r="B2224" s="5" t="str">
        <f>"23085016307"</f>
        <v>23085016307</v>
      </c>
      <c r="C2224" s="6">
        <v>97.5</v>
      </c>
      <c r="D2224" s="6">
        <v>102</v>
      </c>
      <c r="E2224" s="6">
        <v>199.5</v>
      </c>
      <c r="F2224" s="11"/>
    </row>
    <row r="2225" spans="1:6">
      <c r="A2225" s="5" t="str">
        <f t="shared" si="39"/>
        <v>202309</v>
      </c>
      <c r="B2225" s="5" t="str">
        <f>"23085020716"</f>
        <v>23085020716</v>
      </c>
      <c r="C2225" s="6">
        <v>93</v>
      </c>
      <c r="D2225" s="6">
        <v>106</v>
      </c>
      <c r="E2225" s="6">
        <v>199</v>
      </c>
      <c r="F2225" s="11"/>
    </row>
    <row r="2226" spans="1:6">
      <c r="A2226" s="5" t="str">
        <f t="shared" si="39"/>
        <v>202309</v>
      </c>
      <c r="B2226" s="5" t="str">
        <f>"23085020307"</f>
        <v>23085020307</v>
      </c>
      <c r="C2226" s="6">
        <v>84</v>
      </c>
      <c r="D2226" s="6">
        <v>115</v>
      </c>
      <c r="E2226" s="6">
        <v>199</v>
      </c>
      <c r="F2226" s="11"/>
    </row>
    <row r="2227" spans="1:6">
      <c r="A2227" s="5" t="str">
        <f t="shared" si="39"/>
        <v>202309</v>
      </c>
      <c r="B2227" s="5" t="str">
        <f>"23085020315"</f>
        <v>23085020315</v>
      </c>
      <c r="C2227" s="6">
        <v>82.5</v>
      </c>
      <c r="D2227" s="6">
        <v>116.5</v>
      </c>
      <c r="E2227" s="6">
        <v>199</v>
      </c>
      <c r="F2227" s="11"/>
    </row>
    <row r="2228" spans="1:6">
      <c r="A2228" s="5" t="str">
        <f t="shared" ref="A2228:A2291" si="40">"202309"</f>
        <v>202309</v>
      </c>
      <c r="B2228" s="5" t="str">
        <f>"23085020505"</f>
        <v>23085020505</v>
      </c>
      <c r="C2228" s="6">
        <v>85.5</v>
      </c>
      <c r="D2228" s="6">
        <v>113.5</v>
      </c>
      <c r="E2228" s="6">
        <v>199</v>
      </c>
      <c r="F2228" s="11"/>
    </row>
    <row r="2229" spans="1:6">
      <c r="A2229" s="5" t="str">
        <f t="shared" si="40"/>
        <v>202309</v>
      </c>
      <c r="B2229" s="5" t="str">
        <f>"23085021825"</f>
        <v>23085021825</v>
      </c>
      <c r="C2229" s="6">
        <v>85.5</v>
      </c>
      <c r="D2229" s="6">
        <v>113</v>
      </c>
      <c r="E2229" s="6">
        <v>198.5</v>
      </c>
      <c r="F2229" s="11"/>
    </row>
    <row r="2230" spans="1:6">
      <c r="A2230" s="5" t="str">
        <f t="shared" si="40"/>
        <v>202309</v>
      </c>
      <c r="B2230" s="5" t="str">
        <f>"23085021109"</f>
        <v>23085021109</v>
      </c>
      <c r="C2230" s="6">
        <v>85.5</v>
      </c>
      <c r="D2230" s="6">
        <v>113</v>
      </c>
      <c r="E2230" s="6">
        <v>198.5</v>
      </c>
      <c r="F2230" s="11"/>
    </row>
    <row r="2231" spans="1:6">
      <c r="A2231" s="5" t="str">
        <f t="shared" si="40"/>
        <v>202309</v>
      </c>
      <c r="B2231" s="5" t="str">
        <f>"23085020824"</f>
        <v>23085020824</v>
      </c>
      <c r="C2231" s="6">
        <v>85.5</v>
      </c>
      <c r="D2231" s="6">
        <v>113</v>
      </c>
      <c r="E2231" s="6">
        <v>198.5</v>
      </c>
      <c r="F2231" s="11"/>
    </row>
    <row r="2232" spans="1:6">
      <c r="A2232" s="5" t="str">
        <f t="shared" si="40"/>
        <v>202309</v>
      </c>
      <c r="B2232" s="5" t="str">
        <f>"23085020807"</f>
        <v>23085020807</v>
      </c>
      <c r="C2232" s="6">
        <v>88.5</v>
      </c>
      <c r="D2232" s="6">
        <v>110</v>
      </c>
      <c r="E2232" s="6">
        <v>198.5</v>
      </c>
      <c r="F2232" s="11"/>
    </row>
    <row r="2233" spans="1:6">
      <c r="A2233" s="5" t="str">
        <f t="shared" si="40"/>
        <v>202309</v>
      </c>
      <c r="B2233" s="5" t="str">
        <f>"23085021115"</f>
        <v>23085021115</v>
      </c>
      <c r="C2233" s="6">
        <v>93</v>
      </c>
      <c r="D2233" s="6">
        <v>105.5</v>
      </c>
      <c r="E2233" s="6">
        <v>198.5</v>
      </c>
      <c r="F2233" s="11"/>
    </row>
    <row r="2234" spans="1:6">
      <c r="A2234" s="5" t="str">
        <f t="shared" si="40"/>
        <v>202309</v>
      </c>
      <c r="B2234" s="5" t="str">
        <f>"23085021020"</f>
        <v>23085021020</v>
      </c>
      <c r="C2234" s="6">
        <v>100.5</v>
      </c>
      <c r="D2234" s="6">
        <v>97.5</v>
      </c>
      <c r="E2234" s="6">
        <v>198</v>
      </c>
      <c r="F2234" s="11"/>
    </row>
    <row r="2235" spans="1:6">
      <c r="A2235" s="5" t="str">
        <f t="shared" si="40"/>
        <v>202309</v>
      </c>
      <c r="B2235" s="5" t="str">
        <f>"23085020618"</f>
        <v>23085020618</v>
      </c>
      <c r="C2235" s="6">
        <v>87</v>
      </c>
      <c r="D2235" s="6">
        <v>111</v>
      </c>
      <c r="E2235" s="6">
        <v>198</v>
      </c>
      <c r="F2235" s="11"/>
    </row>
    <row r="2236" spans="1:6">
      <c r="A2236" s="5" t="str">
        <f t="shared" si="40"/>
        <v>202309</v>
      </c>
      <c r="B2236" s="5" t="str">
        <f>"23085020319"</f>
        <v>23085020319</v>
      </c>
      <c r="C2236" s="6">
        <v>88.5</v>
      </c>
      <c r="D2236" s="6">
        <v>109.5</v>
      </c>
      <c r="E2236" s="6">
        <v>198</v>
      </c>
      <c r="F2236" s="11"/>
    </row>
    <row r="2237" spans="1:6">
      <c r="A2237" s="5" t="str">
        <f t="shared" si="40"/>
        <v>202309</v>
      </c>
      <c r="B2237" s="5" t="str">
        <f>"23085020611"</f>
        <v>23085020611</v>
      </c>
      <c r="C2237" s="6">
        <v>94.5</v>
      </c>
      <c r="D2237" s="6">
        <v>103.5</v>
      </c>
      <c r="E2237" s="6">
        <v>198</v>
      </c>
      <c r="F2237" s="11"/>
    </row>
    <row r="2238" spans="1:6">
      <c r="A2238" s="5" t="str">
        <f t="shared" si="40"/>
        <v>202309</v>
      </c>
      <c r="B2238" s="5" t="str">
        <f>"23085020726"</f>
        <v>23085020726</v>
      </c>
      <c r="C2238" s="6">
        <v>84</v>
      </c>
      <c r="D2238" s="6">
        <v>114</v>
      </c>
      <c r="E2238" s="6">
        <v>198</v>
      </c>
      <c r="F2238" s="11"/>
    </row>
    <row r="2239" spans="1:6">
      <c r="A2239" s="5" t="str">
        <f t="shared" si="40"/>
        <v>202309</v>
      </c>
      <c r="B2239" s="5" t="str">
        <f>"23085021625"</f>
        <v>23085021625</v>
      </c>
      <c r="C2239" s="6">
        <v>88.5</v>
      </c>
      <c r="D2239" s="6">
        <v>109.5</v>
      </c>
      <c r="E2239" s="6">
        <v>198</v>
      </c>
      <c r="F2239" s="11"/>
    </row>
    <row r="2240" spans="1:6">
      <c r="A2240" s="5" t="str">
        <f t="shared" si="40"/>
        <v>202309</v>
      </c>
      <c r="B2240" s="5" t="str">
        <f>"23085020303"</f>
        <v>23085020303</v>
      </c>
      <c r="C2240" s="6">
        <v>81</v>
      </c>
      <c r="D2240" s="6">
        <v>117</v>
      </c>
      <c r="E2240" s="6">
        <v>198</v>
      </c>
      <c r="F2240" s="11"/>
    </row>
    <row r="2241" spans="1:6">
      <c r="A2241" s="5" t="str">
        <f t="shared" si="40"/>
        <v>202309</v>
      </c>
      <c r="B2241" s="5" t="str">
        <f>"23085020830"</f>
        <v>23085020830</v>
      </c>
      <c r="C2241" s="6">
        <v>91.5</v>
      </c>
      <c r="D2241" s="6">
        <v>106.5</v>
      </c>
      <c r="E2241" s="6">
        <v>198</v>
      </c>
      <c r="F2241" s="11"/>
    </row>
    <row r="2242" spans="1:6">
      <c r="A2242" s="5" t="str">
        <f t="shared" si="40"/>
        <v>202309</v>
      </c>
      <c r="B2242" s="5" t="str">
        <f>"23085021617"</f>
        <v>23085021617</v>
      </c>
      <c r="C2242" s="6">
        <v>81</v>
      </c>
      <c r="D2242" s="6">
        <v>116.5</v>
      </c>
      <c r="E2242" s="6">
        <v>197.5</v>
      </c>
      <c r="F2242" s="11"/>
    </row>
    <row r="2243" spans="1:6">
      <c r="A2243" s="5" t="str">
        <f t="shared" si="40"/>
        <v>202309</v>
      </c>
      <c r="B2243" s="5" t="str">
        <f>"23085020804"</f>
        <v>23085020804</v>
      </c>
      <c r="C2243" s="6">
        <v>91.5</v>
      </c>
      <c r="D2243" s="6">
        <v>106</v>
      </c>
      <c r="E2243" s="6">
        <v>197.5</v>
      </c>
      <c r="F2243" s="11"/>
    </row>
    <row r="2244" spans="1:6">
      <c r="A2244" s="5" t="str">
        <f t="shared" si="40"/>
        <v>202309</v>
      </c>
      <c r="B2244" s="5" t="str">
        <f>"23085020121"</f>
        <v>23085020121</v>
      </c>
      <c r="C2244" s="6">
        <v>88.5</v>
      </c>
      <c r="D2244" s="6">
        <v>109</v>
      </c>
      <c r="E2244" s="6">
        <v>197.5</v>
      </c>
      <c r="F2244" s="11"/>
    </row>
    <row r="2245" spans="1:6">
      <c r="A2245" s="5" t="str">
        <f t="shared" si="40"/>
        <v>202309</v>
      </c>
      <c r="B2245" s="5" t="str">
        <f>"23085020617"</f>
        <v>23085020617</v>
      </c>
      <c r="C2245" s="6">
        <v>97.5</v>
      </c>
      <c r="D2245" s="6">
        <v>100</v>
      </c>
      <c r="E2245" s="6">
        <v>197.5</v>
      </c>
      <c r="F2245" s="11"/>
    </row>
    <row r="2246" spans="1:6">
      <c r="A2246" s="5" t="str">
        <f t="shared" si="40"/>
        <v>202309</v>
      </c>
      <c r="B2246" s="5" t="str">
        <f>"23085020205"</f>
        <v>23085020205</v>
      </c>
      <c r="C2246" s="6">
        <v>84</v>
      </c>
      <c r="D2246" s="6">
        <v>113.5</v>
      </c>
      <c r="E2246" s="6">
        <v>197.5</v>
      </c>
      <c r="F2246" s="11"/>
    </row>
    <row r="2247" spans="1:6">
      <c r="A2247" s="5" t="str">
        <f t="shared" si="40"/>
        <v>202309</v>
      </c>
      <c r="B2247" s="5" t="str">
        <f>"23085020309"</f>
        <v>23085020309</v>
      </c>
      <c r="C2247" s="6">
        <v>88.5</v>
      </c>
      <c r="D2247" s="6">
        <v>108.5</v>
      </c>
      <c r="E2247" s="6">
        <v>197</v>
      </c>
      <c r="F2247" s="11"/>
    </row>
    <row r="2248" spans="1:6">
      <c r="A2248" s="5" t="str">
        <f t="shared" si="40"/>
        <v>202309</v>
      </c>
      <c r="B2248" s="5" t="str">
        <f>"23085016215"</f>
        <v>23085016215</v>
      </c>
      <c r="C2248" s="6">
        <v>76.5</v>
      </c>
      <c r="D2248" s="6">
        <v>120.5</v>
      </c>
      <c r="E2248" s="6">
        <v>197</v>
      </c>
      <c r="F2248" s="11"/>
    </row>
    <row r="2249" spans="1:6">
      <c r="A2249" s="5" t="str">
        <f t="shared" si="40"/>
        <v>202309</v>
      </c>
      <c r="B2249" s="5" t="str">
        <f>"23085021010"</f>
        <v>23085021010</v>
      </c>
      <c r="C2249" s="6">
        <v>82.5</v>
      </c>
      <c r="D2249" s="6">
        <v>114</v>
      </c>
      <c r="E2249" s="6">
        <v>196.5</v>
      </c>
      <c r="F2249" s="11"/>
    </row>
    <row r="2250" spans="1:6">
      <c r="A2250" s="5" t="str">
        <f t="shared" si="40"/>
        <v>202309</v>
      </c>
      <c r="B2250" s="5" t="str">
        <f>"23085020626"</f>
        <v>23085020626</v>
      </c>
      <c r="C2250" s="6">
        <v>84</v>
      </c>
      <c r="D2250" s="6">
        <v>112.5</v>
      </c>
      <c r="E2250" s="6">
        <v>196.5</v>
      </c>
      <c r="F2250" s="11"/>
    </row>
    <row r="2251" spans="1:6">
      <c r="A2251" s="5" t="str">
        <f t="shared" si="40"/>
        <v>202309</v>
      </c>
      <c r="B2251" s="5" t="str">
        <f>"23085020411"</f>
        <v>23085020411</v>
      </c>
      <c r="C2251" s="6">
        <v>87</v>
      </c>
      <c r="D2251" s="6">
        <v>109.5</v>
      </c>
      <c r="E2251" s="6">
        <v>196.5</v>
      </c>
      <c r="F2251" s="11"/>
    </row>
    <row r="2252" spans="1:6">
      <c r="A2252" s="5" t="str">
        <f t="shared" si="40"/>
        <v>202309</v>
      </c>
      <c r="B2252" s="5" t="str">
        <f>"23085020219"</f>
        <v>23085020219</v>
      </c>
      <c r="C2252" s="6">
        <v>103.5</v>
      </c>
      <c r="D2252" s="6">
        <v>93</v>
      </c>
      <c r="E2252" s="6">
        <v>196.5</v>
      </c>
      <c r="F2252" s="11"/>
    </row>
    <row r="2253" spans="1:6">
      <c r="A2253" s="5" t="str">
        <f t="shared" si="40"/>
        <v>202309</v>
      </c>
      <c r="B2253" s="5" t="str">
        <f>"23085021528"</f>
        <v>23085021528</v>
      </c>
      <c r="C2253" s="6">
        <v>85.5</v>
      </c>
      <c r="D2253" s="6">
        <v>110.5</v>
      </c>
      <c r="E2253" s="6">
        <v>196</v>
      </c>
      <c r="F2253" s="11"/>
    </row>
    <row r="2254" spans="1:6">
      <c r="A2254" s="5" t="str">
        <f t="shared" si="40"/>
        <v>202309</v>
      </c>
      <c r="B2254" s="5" t="str">
        <f>"23085020119"</f>
        <v>23085020119</v>
      </c>
      <c r="C2254" s="6">
        <v>79.5</v>
      </c>
      <c r="D2254" s="6">
        <v>116.5</v>
      </c>
      <c r="E2254" s="6">
        <v>196</v>
      </c>
      <c r="F2254" s="11"/>
    </row>
    <row r="2255" spans="1:6">
      <c r="A2255" s="5" t="str">
        <f t="shared" si="40"/>
        <v>202309</v>
      </c>
      <c r="B2255" s="5" t="str">
        <f>"23085020528"</f>
        <v>23085020528</v>
      </c>
      <c r="C2255" s="6">
        <v>91.5</v>
      </c>
      <c r="D2255" s="6">
        <v>104.5</v>
      </c>
      <c r="E2255" s="6">
        <v>196</v>
      </c>
      <c r="F2255" s="11"/>
    </row>
    <row r="2256" spans="1:6">
      <c r="A2256" s="5" t="str">
        <f t="shared" si="40"/>
        <v>202309</v>
      </c>
      <c r="B2256" s="5" t="str">
        <f>"23085021011"</f>
        <v>23085021011</v>
      </c>
      <c r="C2256" s="6">
        <v>82.5</v>
      </c>
      <c r="D2256" s="6">
        <v>113</v>
      </c>
      <c r="E2256" s="6">
        <v>195.5</v>
      </c>
      <c r="F2256" s="11"/>
    </row>
    <row r="2257" spans="1:6">
      <c r="A2257" s="5" t="str">
        <f t="shared" si="40"/>
        <v>202309</v>
      </c>
      <c r="B2257" s="5" t="str">
        <f>"23085020601"</f>
        <v>23085020601</v>
      </c>
      <c r="C2257" s="6">
        <v>91.5</v>
      </c>
      <c r="D2257" s="6">
        <v>104</v>
      </c>
      <c r="E2257" s="6">
        <v>195.5</v>
      </c>
      <c r="F2257" s="11"/>
    </row>
    <row r="2258" spans="1:6">
      <c r="A2258" s="5" t="str">
        <f t="shared" si="40"/>
        <v>202309</v>
      </c>
      <c r="B2258" s="5" t="str">
        <f>"23085020318"</f>
        <v>23085020318</v>
      </c>
      <c r="C2258" s="6">
        <v>81</v>
      </c>
      <c r="D2258" s="6">
        <v>114.5</v>
      </c>
      <c r="E2258" s="6">
        <v>195.5</v>
      </c>
      <c r="F2258" s="11"/>
    </row>
    <row r="2259" spans="1:6">
      <c r="A2259" s="5" t="str">
        <f t="shared" si="40"/>
        <v>202309</v>
      </c>
      <c r="B2259" s="5" t="str">
        <f>"23085021303"</f>
        <v>23085021303</v>
      </c>
      <c r="C2259" s="6">
        <v>90</v>
      </c>
      <c r="D2259" s="6">
        <v>105</v>
      </c>
      <c r="E2259" s="6">
        <v>195</v>
      </c>
      <c r="F2259" s="11"/>
    </row>
    <row r="2260" spans="1:6">
      <c r="A2260" s="5" t="str">
        <f t="shared" si="40"/>
        <v>202309</v>
      </c>
      <c r="B2260" s="5" t="str">
        <f>"23085020210"</f>
        <v>23085020210</v>
      </c>
      <c r="C2260" s="6">
        <v>84</v>
      </c>
      <c r="D2260" s="6">
        <v>111</v>
      </c>
      <c r="E2260" s="6">
        <v>195</v>
      </c>
      <c r="F2260" s="11"/>
    </row>
    <row r="2261" spans="1:6">
      <c r="A2261" s="5" t="str">
        <f t="shared" si="40"/>
        <v>202309</v>
      </c>
      <c r="B2261" s="5" t="str">
        <f>"23085021123"</f>
        <v>23085021123</v>
      </c>
      <c r="C2261" s="6">
        <v>88.5</v>
      </c>
      <c r="D2261" s="6">
        <v>106.5</v>
      </c>
      <c r="E2261" s="6">
        <v>195</v>
      </c>
      <c r="F2261" s="11"/>
    </row>
    <row r="2262" spans="1:6">
      <c r="A2262" s="5" t="str">
        <f t="shared" si="40"/>
        <v>202309</v>
      </c>
      <c r="B2262" s="5" t="str">
        <f>"23085020207"</f>
        <v>23085020207</v>
      </c>
      <c r="C2262" s="6">
        <v>94.5</v>
      </c>
      <c r="D2262" s="6">
        <v>100.5</v>
      </c>
      <c r="E2262" s="6">
        <v>195</v>
      </c>
      <c r="F2262" s="11"/>
    </row>
    <row r="2263" spans="1:6">
      <c r="A2263" s="5" t="str">
        <f t="shared" si="40"/>
        <v>202309</v>
      </c>
      <c r="B2263" s="5" t="str">
        <f>"23085021611"</f>
        <v>23085021611</v>
      </c>
      <c r="C2263" s="6">
        <v>88.5</v>
      </c>
      <c r="D2263" s="6">
        <v>106.5</v>
      </c>
      <c r="E2263" s="6">
        <v>195</v>
      </c>
      <c r="F2263" s="11"/>
    </row>
    <row r="2264" spans="1:6">
      <c r="A2264" s="5" t="str">
        <f t="shared" si="40"/>
        <v>202309</v>
      </c>
      <c r="B2264" s="5" t="str">
        <f>"23085020427"</f>
        <v>23085020427</v>
      </c>
      <c r="C2264" s="6">
        <v>84</v>
      </c>
      <c r="D2264" s="6">
        <v>110.5</v>
      </c>
      <c r="E2264" s="6">
        <v>194.5</v>
      </c>
      <c r="F2264" s="11"/>
    </row>
    <row r="2265" spans="1:6">
      <c r="A2265" s="5" t="str">
        <f t="shared" si="40"/>
        <v>202309</v>
      </c>
      <c r="B2265" s="5" t="str">
        <f>"23085020517"</f>
        <v>23085020517</v>
      </c>
      <c r="C2265" s="6">
        <v>79.5</v>
      </c>
      <c r="D2265" s="6">
        <v>115</v>
      </c>
      <c r="E2265" s="6">
        <v>194.5</v>
      </c>
      <c r="F2265" s="11"/>
    </row>
    <row r="2266" spans="1:6">
      <c r="A2266" s="5" t="str">
        <f t="shared" si="40"/>
        <v>202309</v>
      </c>
      <c r="B2266" s="5" t="str">
        <f>"23085020516"</f>
        <v>23085020516</v>
      </c>
      <c r="C2266" s="6">
        <v>78</v>
      </c>
      <c r="D2266" s="6">
        <v>116.5</v>
      </c>
      <c r="E2266" s="6">
        <v>194.5</v>
      </c>
      <c r="F2266" s="11"/>
    </row>
    <row r="2267" spans="1:6">
      <c r="A2267" s="5" t="str">
        <f t="shared" si="40"/>
        <v>202309</v>
      </c>
      <c r="B2267" s="5" t="str">
        <f>"23085021306"</f>
        <v>23085021306</v>
      </c>
      <c r="C2267" s="6">
        <v>76.5</v>
      </c>
      <c r="D2267" s="6">
        <v>118</v>
      </c>
      <c r="E2267" s="6">
        <v>194.5</v>
      </c>
      <c r="F2267" s="11"/>
    </row>
    <row r="2268" spans="1:6">
      <c r="A2268" s="5" t="str">
        <f t="shared" si="40"/>
        <v>202309</v>
      </c>
      <c r="B2268" s="5" t="str">
        <f>"23085021707"</f>
        <v>23085021707</v>
      </c>
      <c r="C2268" s="6">
        <v>91.5</v>
      </c>
      <c r="D2268" s="6">
        <v>102.5</v>
      </c>
      <c r="E2268" s="6">
        <v>194</v>
      </c>
      <c r="F2268" s="11"/>
    </row>
    <row r="2269" spans="1:6">
      <c r="A2269" s="5" t="str">
        <f t="shared" si="40"/>
        <v>202309</v>
      </c>
      <c r="B2269" s="5" t="str">
        <f>"23085021518"</f>
        <v>23085021518</v>
      </c>
      <c r="C2269" s="6">
        <v>82.5</v>
      </c>
      <c r="D2269" s="6">
        <v>111.5</v>
      </c>
      <c r="E2269" s="6">
        <v>194</v>
      </c>
      <c r="F2269" s="11"/>
    </row>
    <row r="2270" spans="1:6">
      <c r="A2270" s="5" t="str">
        <f t="shared" si="40"/>
        <v>202309</v>
      </c>
      <c r="B2270" s="5" t="str">
        <f>"23085021809"</f>
        <v>23085021809</v>
      </c>
      <c r="C2270" s="6">
        <v>84</v>
      </c>
      <c r="D2270" s="6">
        <v>110</v>
      </c>
      <c r="E2270" s="6">
        <v>194</v>
      </c>
      <c r="F2270" s="11"/>
    </row>
    <row r="2271" spans="1:6">
      <c r="A2271" s="5" t="str">
        <f t="shared" si="40"/>
        <v>202309</v>
      </c>
      <c r="B2271" s="5" t="str">
        <f>"23085021124"</f>
        <v>23085021124</v>
      </c>
      <c r="C2271" s="6">
        <v>82.5</v>
      </c>
      <c r="D2271" s="6">
        <v>111</v>
      </c>
      <c r="E2271" s="6">
        <v>193.5</v>
      </c>
      <c r="F2271" s="11"/>
    </row>
    <row r="2272" spans="1:6">
      <c r="A2272" s="5" t="str">
        <f t="shared" si="40"/>
        <v>202309</v>
      </c>
      <c r="B2272" s="5" t="str">
        <f>"23085021322"</f>
        <v>23085021322</v>
      </c>
      <c r="C2272" s="6">
        <v>79.5</v>
      </c>
      <c r="D2272" s="6">
        <v>113</v>
      </c>
      <c r="E2272" s="6">
        <v>192.5</v>
      </c>
      <c r="F2272" s="11"/>
    </row>
    <row r="2273" spans="1:6">
      <c r="A2273" s="5" t="str">
        <f t="shared" si="40"/>
        <v>202309</v>
      </c>
      <c r="B2273" s="5" t="str">
        <f>"23085021708"</f>
        <v>23085021708</v>
      </c>
      <c r="C2273" s="6">
        <v>81</v>
      </c>
      <c r="D2273" s="6">
        <v>111</v>
      </c>
      <c r="E2273" s="6">
        <v>192</v>
      </c>
      <c r="F2273" s="11"/>
    </row>
    <row r="2274" spans="1:6">
      <c r="A2274" s="5" t="str">
        <f t="shared" si="40"/>
        <v>202309</v>
      </c>
      <c r="B2274" s="5" t="str">
        <f>"23085021811"</f>
        <v>23085021811</v>
      </c>
      <c r="C2274" s="6">
        <v>93</v>
      </c>
      <c r="D2274" s="6">
        <v>99</v>
      </c>
      <c r="E2274" s="6">
        <v>192</v>
      </c>
      <c r="F2274" s="11"/>
    </row>
    <row r="2275" spans="1:6">
      <c r="A2275" s="5" t="str">
        <f t="shared" si="40"/>
        <v>202309</v>
      </c>
      <c r="B2275" s="5" t="str">
        <f>"23085021515"</f>
        <v>23085021515</v>
      </c>
      <c r="C2275" s="6">
        <v>76.5</v>
      </c>
      <c r="D2275" s="6">
        <v>115.5</v>
      </c>
      <c r="E2275" s="6">
        <v>192</v>
      </c>
      <c r="F2275" s="11"/>
    </row>
    <row r="2276" spans="1:6">
      <c r="A2276" s="5" t="str">
        <f t="shared" si="40"/>
        <v>202309</v>
      </c>
      <c r="B2276" s="5" t="str">
        <f>"23085016308"</f>
        <v>23085016308</v>
      </c>
      <c r="C2276" s="6">
        <v>76.5</v>
      </c>
      <c r="D2276" s="6">
        <v>115</v>
      </c>
      <c r="E2276" s="6">
        <v>191.5</v>
      </c>
      <c r="F2276" s="11"/>
    </row>
    <row r="2277" spans="1:6">
      <c r="A2277" s="5" t="str">
        <f t="shared" si="40"/>
        <v>202309</v>
      </c>
      <c r="B2277" s="5" t="str">
        <f>"23085020926"</f>
        <v>23085020926</v>
      </c>
      <c r="C2277" s="6">
        <v>87</v>
      </c>
      <c r="D2277" s="6">
        <v>104.5</v>
      </c>
      <c r="E2277" s="6">
        <v>191.5</v>
      </c>
      <c r="F2277" s="11"/>
    </row>
    <row r="2278" spans="1:6">
      <c r="A2278" s="5" t="str">
        <f t="shared" si="40"/>
        <v>202309</v>
      </c>
      <c r="B2278" s="5" t="str">
        <f>"23085020604"</f>
        <v>23085020604</v>
      </c>
      <c r="C2278" s="6">
        <v>78</v>
      </c>
      <c r="D2278" s="6">
        <v>113</v>
      </c>
      <c r="E2278" s="6">
        <v>191</v>
      </c>
      <c r="F2278" s="11"/>
    </row>
    <row r="2279" spans="1:6">
      <c r="A2279" s="5" t="str">
        <f t="shared" si="40"/>
        <v>202309</v>
      </c>
      <c r="B2279" s="5" t="str">
        <f>"23085020112"</f>
        <v>23085020112</v>
      </c>
      <c r="C2279" s="6">
        <v>76.5</v>
      </c>
      <c r="D2279" s="6">
        <v>114.5</v>
      </c>
      <c r="E2279" s="6">
        <v>191</v>
      </c>
      <c r="F2279" s="11"/>
    </row>
    <row r="2280" spans="1:6">
      <c r="A2280" s="5" t="str">
        <f t="shared" si="40"/>
        <v>202309</v>
      </c>
      <c r="B2280" s="5" t="str">
        <f>"23085016527"</f>
        <v>23085016527</v>
      </c>
      <c r="C2280" s="6">
        <v>78</v>
      </c>
      <c r="D2280" s="6">
        <v>112.5</v>
      </c>
      <c r="E2280" s="6">
        <v>190.5</v>
      </c>
      <c r="F2280" s="11"/>
    </row>
    <row r="2281" spans="1:6">
      <c r="A2281" s="5" t="str">
        <f t="shared" si="40"/>
        <v>202309</v>
      </c>
      <c r="B2281" s="5" t="str">
        <f>"23085020821"</f>
        <v>23085020821</v>
      </c>
      <c r="C2281" s="6">
        <v>76.5</v>
      </c>
      <c r="D2281" s="6">
        <v>113.5</v>
      </c>
      <c r="E2281" s="6">
        <v>190</v>
      </c>
      <c r="F2281" s="11"/>
    </row>
    <row r="2282" spans="1:6">
      <c r="A2282" s="5" t="str">
        <f t="shared" si="40"/>
        <v>202309</v>
      </c>
      <c r="B2282" s="5" t="str">
        <f>"23085021229"</f>
        <v>23085021229</v>
      </c>
      <c r="C2282" s="6">
        <v>84</v>
      </c>
      <c r="D2282" s="6">
        <v>105.5</v>
      </c>
      <c r="E2282" s="6">
        <v>189.5</v>
      </c>
      <c r="F2282" s="11"/>
    </row>
    <row r="2283" spans="1:6">
      <c r="A2283" s="5" t="str">
        <f t="shared" si="40"/>
        <v>202309</v>
      </c>
      <c r="B2283" s="5" t="str">
        <f>"23085016216"</f>
        <v>23085016216</v>
      </c>
      <c r="C2283" s="6">
        <v>85.5</v>
      </c>
      <c r="D2283" s="6">
        <v>104</v>
      </c>
      <c r="E2283" s="6">
        <v>189.5</v>
      </c>
      <c r="F2283" s="11"/>
    </row>
    <row r="2284" spans="1:6">
      <c r="A2284" s="5" t="str">
        <f t="shared" si="40"/>
        <v>202309</v>
      </c>
      <c r="B2284" s="5" t="str">
        <f>"23085020630"</f>
        <v>23085020630</v>
      </c>
      <c r="C2284" s="6">
        <v>99</v>
      </c>
      <c r="D2284" s="6">
        <v>90</v>
      </c>
      <c r="E2284" s="6">
        <v>189</v>
      </c>
      <c r="F2284" s="11"/>
    </row>
    <row r="2285" spans="1:6">
      <c r="A2285" s="5" t="str">
        <f t="shared" si="40"/>
        <v>202309</v>
      </c>
      <c r="B2285" s="5" t="str">
        <f>"23085016412"</f>
        <v>23085016412</v>
      </c>
      <c r="C2285" s="6">
        <v>72</v>
      </c>
      <c r="D2285" s="6">
        <v>117</v>
      </c>
      <c r="E2285" s="6">
        <v>189</v>
      </c>
      <c r="F2285" s="11"/>
    </row>
    <row r="2286" spans="1:6">
      <c r="A2286" s="5" t="str">
        <f t="shared" si="40"/>
        <v>202309</v>
      </c>
      <c r="B2286" s="5" t="str">
        <f>"23085021307"</f>
        <v>23085021307</v>
      </c>
      <c r="C2286" s="6">
        <v>79.5</v>
      </c>
      <c r="D2286" s="6">
        <v>109</v>
      </c>
      <c r="E2286" s="6">
        <v>188.5</v>
      </c>
      <c r="F2286" s="11"/>
    </row>
    <row r="2287" spans="1:6">
      <c r="A2287" s="5" t="str">
        <f t="shared" si="40"/>
        <v>202309</v>
      </c>
      <c r="B2287" s="5" t="str">
        <f>"23085021711"</f>
        <v>23085021711</v>
      </c>
      <c r="C2287" s="6">
        <v>91.5</v>
      </c>
      <c r="D2287" s="6">
        <v>96</v>
      </c>
      <c r="E2287" s="6">
        <v>187.5</v>
      </c>
      <c r="F2287" s="11"/>
    </row>
    <row r="2288" spans="1:6">
      <c r="A2288" s="5" t="str">
        <f t="shared" si="40"/>
        <v>202309</v>
      </c>
      <c r="B2288" s="5" t="str">
        <f>"23085020710"</f>
        <v>23085020710</v>
      </c>
      <c r="C2288" s="6">
        <v>84</v>
      </c>
      <c r="D2288" s="6">
        <v>103.5</v>
      </c>
      <c r="E2288" s="6">
        <v>187.5</v>
      </c>
      <c r="F2288" s="11"/>
    </row>
    <row r="2289" spans="1:6">
      <c r="A2289" s="5" t="str">
        <f t="shared" si="40"/>
        <v>202309</v>
      </c>
      <c r="B2289" s="5" t="str">
        <f>"23085021223"</f>
        <v>23085021223</v>
      </c>
      <c r="C2289" s="6">
        <v>73.5</v>
      </c>
      <c r="D2289" s="6">
        <v>114</v>
      </c>
      <c r="E2289" s="6">
        <v>187.5</v>
      </c>
      <c r="F2289" s="11"/>
    </row>
    <row r="2290" spans="1:6">
      <c r="A2290" s="5" t="str">
        <f t="shared" si="40"/>
        <v>202309</v>
      </c>
      <c r="B2290" s="5" t="str">
        <f>"23085016329"</f>
        <v>23085016329</v>
      </c>
      <c r="C2290" s="6">
        <v>73.5</v>
      </c>
      <c r="D2290" s="6">
        <v>114</v>
      </c>
      <c r="E2290" s="6">
        <v>187.5</v>
      </c>
      <c r="F2290" s="11"/>
    </row>
    <row r="2291" spans="1:6">
      <c r="A2291" s="5" t="str">
        <f t="shared" si="40"/>
        <v>202309</v>
      </c>
      <c r="B2291" s="5" t="str">
        <f>"23085020216"</f>
        <v>23085020216</v>
      </c>
      <c r="C2291" s="6">
        <v>87</v>
      </c>
      <c r="D2291" s="6">
        <v>100</v>
      </c>
      <c r="E2291" s="6">
        <v>187</v>
      </c>
      <c r="F2291" s="11"/>
    </row>
    <row r="2292" spans="1:6">
      <c r="A2292" s="5" t="str">
        <f t="shared" ref="A2292:A2355" si="41">"202309"</f>
        <v>202309</v>
      </c>
      <c r="B2292" s="5" t="str">
        <f>"23085020913"</f>
        <v>23085020913</v>
      </c>
      <c r="C2292" s="6">
        <v>82.5</v>
      </c>
      <c r="D2292" s="6">
        <v>104</v>
      </c>
      <c r="E2292" s="6">
        <v>186.5</v>
      </c>
      <c r="F2292" s="11"/>
    </row>
    <row r="2293" spans="1:6">
      <c r="A2293" s="5" t="str">
        <f t="shared" si="41"/>
        <v>202309</v>
      </c>
      <c r="B2293" s="5" t="str">
        <f>"23085020606"</f>
        <v>23085020606</v>
      </c>
      <c r="C2293" s="6">
        <v>70.5</v>
      </c>
      <c r="D2293" s="6">
        <v>115.5</v>
      </c>
      <c r="E2293" s="6">
        <v>186</v>
      </c>
      <c r="F2293" s="11"/>
    </row>
    <row r="2294" spans="1:6">
      <c r="A2294" s="5" t="str">
        <f t="shared" si="41"/>
        <v>202309</v>
      </c>
      <c r="B2294" s="5" t="str">
        <f>"23085020109"</f>
        <v>23085020109</v>
      </c>
      <c r="C2294" s="6">
        <v>88.5</v>
      </c>
      <c r="D2294" s="6">
        <v>97.5</v>
      </c>
      <c r="E2294" s="6">
        <v>186</v>
      </c>
      <c r="F2294" s="11"/>
    </row>
    <row r="2295" spans="1:6">
      <c r="A2295" s="5" t="str">
        <f t="shared" si="41"/>
        <v>202309</v>
      </c>
      <c r="B2295" s="5" t="str">
        <f>"23085021226"</f>
        <v>23085021226</v>
      </c>
      <c r="C2295" s="6">
        <v>91.5</v>
      </c>
      <c r="D2295" s="6">
        <v>94.5</v>
      </c>
      <c r="E2295" s="6">
        <v>186</v>
      </c>
      <c r="F2295" s="11"/>
    </row>
    <row r="2296" spans="1:6">
      <c r="A2296" s="5" t="str">
        <f t="shared" si="41"/>
        <v>202309</v>
      </c>
      <c r="B2296" s="5" t="str">
        <f>"23085021610"</f>
        <v>23085021610</v>
      </c>
      <c r="C2296" s="6">
        <v>70.5</v>
      </c>
      <c r="D2296" s="6">
        <v>115</v>
      </c>
      <c r="E2296" s="6">
        <v>185.5</v>
      </c>
      <c r="F2296" s="11"/>
    </row>
    <row r="2297" spans="1:6">
      <c r="A2297" s="5" t="str">
        <f t="shared" si="41"/>
        <v>202309</v>
      </c>
      <c r="B2297" s="5" t="str">
        <f>"23085021628"</f>
        <v>23085021628</v>
      </c>
      <c r="C2297" s="6">
        <v>76.5</v>
      </c>
      <c r="D2297" s="6">
        <v>108</v>
      </c>
      <c r="E2297" s="6">
        <v>184.5</v>
      </c>
      <c r="F2297" s="11"/>
    </row>
    <row r="2298" spans="1:6">
      <c r="A2298" s="5" t="str">
        <f t="shared" si="41"/>
        <v>202309</v>
      </c>
      <c r="B2298" s="5" t="str">
        <f>"23085020226"</f>
        <v>23085020226</v>
      </c>
      <c r="C2298" s="6">
        <v>81</v>
      </c>
      <c r="D2298" s="6">
        <v>103</v>
      </c>
      <c r="E2298" s="6">
        <v>184</v>
      </c>
      <c r="F2298" s="11"/>
    </row>
    <row r="2299" spans="1:6">
      <c r="A2299" s="5" t="str">
        <f t="shared" si="41"/>
        <v>202309</v>
      </c>
      <c r="B2299" s="5" t="str">
        <f>"23085021613"</f>
        <v>23085021613</v>
      </c>
      <c r="C2299" s="6">
        <v>72</v>
      </c>
      <c r="D2299" s="6">
        <v>112</v>
      </c>
      <c r="E2299" s="6">
        <v>184</v>
      </c>
      <c r="F2299" s="11"/>
    </row>
    <row r="2300" spans="1:6">
      <c r="A2300" s="5" t="str">
        <f t="shared" si="41"/>
        <v>202309</v>
      </c>
      <c r="B2300" s="5" t="str">
        <f>"23085021416"</f>
        <v>23085021416</v>
      </c>
      <c r="C2300" s="6">
        <v>87</v>
      </c>
      <c r="D2300" s="6">
        <v>96.5</v>
      </c>
      <c r="E2300" s="6">
        <v>183.5</v>
      </c>
      <c r="F2300" s="11"/>
    </row>
    <row r="2301" spans="1:6">
      <c r="A2301" s="5" t="str">
        <f t="shared" si="41"/>
        <v>202309</v>
      </c>
      <c r="B2301" s="5" t="str">
        <f>"23085021813"</f>
        <v>23085021813</v>
      </c>
      <c r="C2301" s="6">
        <v>73.5</v>
      </c>
      <c r="D2301" s="6">
        <v>109.5</v>
      </c>
      <c r="E2301" s="6">
        <v>183</v>
      </c>
      <c r="F2301" s="11"/>
    </row>
    <row r="2302" spans="1:6">
      <c r="A2302" s="5" t="str">
        <f t="shared" si="41"/>
        <v>202309</v>
      </c>
      <c r="B2302" s="5" t="str">
        <f>"23085020718"</f>
        <v>23085020718</v>
      </c>
      <c r="C2302" s="6">
        <v>88.5</v>
      </c>
      <c r="D2302" s="6">
        <v>94.5</v>
      </c>
      <c r="E2302" s="6">
        <v>183</v>
      </c>
      <c r="F2302" s="11"/>
    </row>
    <row r="2303" spans="1:6">
      <c r="A2303" s="5" t="str">
        <f t="shared" si="41"/>
        <v>202309</v>
      </c>
      <c r="B2303" s="5" t="str">
        <f>"23085020327"</f>
        <v>23085020327</v>
      </c>
      <c r="C2303" s="6">
        <v>63</v>
      </c>
      <c r="D2303" s="6">
        <v>119.5</v>
      </c>
      <c r="E2303" s="6">
        <v>182.5</v>
      </c>
      <c r="F2303" s="11"/>
    </row>
    <row r="2304" spans="1:6">
      <c r="A2304" s="5" t="str">
        <f t="shared" si="41"/>
        <v>202309</v>
      </c>
      <c r="B2304" s="5" t="str">
        <f>"23085020922"</f>
        <v>23085020922</v>
      </c>
      <c r="C2304" s="6">
        <v>84</v>
      </c>
      <c r="D2304" s="6">
        <v>98</v>
      </c>
      <c r="E2304" s="6">
        <v>182</v>
      </c>
      <c r="F2304" s="11"/>
    </row>
    <row r="2305" spans="1:6">
      <c r="A2305" s="5" t="str">
        <f t="shared" si="41"/>
        <v>202309</v>
      </c>
      <c r="B2305" s="5" t="str">
        <f>"23085016317"</f>
        <v>23085016317</v>
      </c>
      <c r="C2305" s="6">
        <v>66</v>
      </c>
      <c r="D2305" s="6">
        <v>116</v>
      </c>
      <c r="E2305" s="6">
        <v>182</v>
      </c>
      <c r="F2305" s="11"/>
    </row>
    <row r="2306" spans="1:6">
      <c r="A2306" s="5" t="str">
        <f t="shared" si="41"/>
        <v>202309</v>
      </c>
      <c r="B2306" s="5" t="str">
        <f>"23085021002"</f>
        <v>23085021002</v>
      </c>
      <c r="C2306" s="6">
        <v>72</v>
      </c>
      <c r="D2306" s="6">
        <v>110</v>
      </c>
      <c r="E2306" s="6">
        <v>182</v>
      </c>
      <c r="F2306" s="11"/>
    </row>
    <row r="2307" spans="1:6">
      <c r="A2307" s="5" t="str">
        <f t="shared" si="41"/>
        <v>202309</v>
      </c>
      <c r="B2307" s="5" t="str">
        <f>"23085021623"</f>
        <v>23085021623</v>
      </c>
      <c r="C2307" s="6">
        <v>78</v>
      </c>
      <c r="D2307" s="6">
        <v>104</v>
      </c>
      <c r="E2307" s="6">
        <v>182</v>
      </c>
      <c r="F2307" s="11"/>
    </row>
    <row r="2308" spans="1:6">
      <c r="A2308" s="5" t="str">
        <f t="shared" si="41"/>
        <v>202309</v>
      </c>
      <c r="B2308" s="5" t="str">
        <f>"23085021127"</f>
        <v>23085021127</v>
      </c>
      <c r="C2308" s="6">
        <v>69</v>
      </c>
      <c r="D2308" s="6">
        <v>112</v>
      </c>
      <c r="E2308" s="6">
        <v>181</v>
      </c>
      <c r="F2308" s="11"/>
    </row>
    <row r="2309" spans="1:6">
      <c r="A2309" s="5" t="str">
        <f t="shared" si="41"/>
        <v>202309</v>
      </c>
      <c r="B2309" s="5" t="str">
        <f>"23085020906"</f>
        <v>23085020906</v>
      </c>
      <c r="C2309" s="6">
        <v>81</v>
      </c>
      <c r="D2309" s="6">
        <v>100</v>
      </c>
      <c r="E2309" s="6">
        <v>181</v>
      </c>
      <c r="F2309" s="11"/>
    </row>
    <row r="2310" spans="1:6">
      <c r="A2310" s="5" t="str">
        <f t="shared" si="41"/>
        <v>202309</v>
      </c>
      <c r="B2310" s="5" t="str">
        <f>"23085020228"</f>
        <v>23085020228</v>
      </c>
      <c r="C2310" s="6">
        <v>79.5</v>
      </c>
      <c r="D2310" s="6">
        <v>99.5</v>
      </c>
      <c r="E2310" s="6">
        <v>179</v>
      </c>
      <c r="F2310" s="11"/>
    </row>
    <row r="2311" spans="1:6">
      <c r="A2311" s="5" t="str">
        <f t="shared" si="41"/>
        <v>202309</v>
      </c>
      <c r="B2311" s="5" t="str">
        <f>"23085020510"</f>
        <v>23085020510</v>
      </c>
      <c r="C2311" s="6">
        <v>69</v>
      </c>
      <c r="D2311" s="6">
        <v>109.5</v>
      </c>
      <c r="E2311" s="6">
        <v>178.5</v>
      </c>
      <c r="F2311" s="11"/>
    </row>
    <row r="2312" spans="1:6">
      <c r="A2312" s="5" t="str">
        <f t="shared" si="41"/>
        <v>202309</v>
      </c>
      <c r="B2312" s="5" t="str">
        <f>"23085020320"</f>
        <v>23085020320</v>
      </c>
      <c r="C2312" s="6">
        <v>91.5</v>
      </c>
      <c r="D2312" s="6">
        <v>87</v>
      </c>
      <c r="E2312" s="6">
        <v>178.5</v>
      </c>
      <c r="F2312" s="11"/>
    </row>
    <row r="2313" spans="1:6">
      <c r="A2313" s="5" t="str">
        <f t="shared" si="41"/>
        <v>202309</v>
      </c>
      <c r="B2313" s="5" t="str">
        <f>"23085016318"</f>
        <v>23085016318</v>
      </c>
      <c r="C2313" s="6">
        <v>85.5</v>
      </c>
      <c r="D2313" s="6">
        <v>92.5</v>
      </c>
      <c r="E2313" s="6">
        <v>178</v>
      </c>
      <c r="F2313" s="11"/>
    </row>
    <row r="2314" spans="1:6">
      <c r="A2314" s="5" t="str">
        <f t="shared" si="41"/>
        <v>202309</v>
      </c>
      <c r="B2314" s="5" t="str">
        <f>"23085021027"</f>
        <v>23085021027</v>
      </c>
      <c r="C2314" s="6">
        <v>78</v>
      </c>
      <c r="D2314" s="6">
        <v>100</v>
      </c>
      <c r="E2314" s="6">
        <v>178</v>
      </c>
      <c r="F2314" s="11"/>
    </row>
    <row r="2315" spans="1:6">
      <c r="A2315" s="5" t="str">
        <f t="shared" si="41"/>
        <v>202309</v>
      </c>
      <c r="B2315" s="5" t="str">
        <f>"23085021408"</f>
        <v>23085021408</v>
      </c>
      <c r="C2315" s="6">
        <v>76.5</v>
      </c>
      <c r="D2315" s="6">
        <v>98</v>
      </c>
      <c r="E2315" s="6">
        <v>174.5</v>
      </c>
      <c r="F2315" s="11"/>
    </row>
    <row r="2316" spans="1:6">
      <c r="A2316" s="5" t="str">
        <f t="shared" si="41"/>
        <v>202309</v>
      </c>
      <c r="B2316" s="5" t="str">
        <f>"23085020707"</f>
        <v>23085020707</v>
      </c>
      <c r="C2316" s="6">
        <v>63</v>
      </c>
      <c r="D2316" s="6">
        <v>111.5</v>
      </c>
      <c r="E2316" s="6">
        <v>174.5</v>
      </c>
      <c r="F2316" s="11"/>
    </row>
    <row r="2317" spans="1:6">
      <c r="A2317" s="5" t="str">
        <f t="shared" si="41"/>
        <v>202309</v>
      </c>
      <c r="B2317" s="5" t="str">
        <f>"23085021626"</f>
        <v>23085021626</v>
      </c>
      <c r="C2317" s="6">
        <v>67.5</v>
      </c>
      <c r="D2317" s="6">
        <v>105</v>
      </c>
      <c r="E2317" s="6">
        <v>172.5</v>
      </c>
      <c r="F2317" s="11"/>
    </row>
    <row r="2318" spans="1:6">
      <c r="A2318" s="5" t="str">
        <f t="shared" si="41"/>
        <v>202309</v>
      </c>
      <c r="B2318" s="5" t="str">
        <f>"23085021527"</f>
        <v>23085021527</v>
      </c>
      <c r="C2318" s="6">
        <v>58.5</v>
      </c>
      <c r="D2318" s="6">
        <v>113</v>
      </c>
      <c r="E2318" s="6">
        <v>171.5</v>
      </c>
      <c r="F2318" s="11"/>
    </row>
    <row r="2319" spans="1:6">
      <c r="A2319" s="5" t="str">
        <f t="shared" si="41"/>
        <v>202309</v>
      </c>
      <c r="B2319" s="5" t="str">
        <f>"23085020117"</f>
        <v>23085020117</v>
      </c>
      <c r="C2319" s="6">
        <v>75</v>
      </c>
      <c r="D2319" s="6">
        <v>95.5</v>
      </c>
      <c r="E2319" s="6">
        <v>170.5</v>
      </c>
      <c r="F2319" s="11"/>
    </row>
    <row r="2320" spans="1:6">
      <c r="A2320" s="5" t="str">
        <f t="shared" si="41"/>
        <v>202309</v>
      </c>
      <c r="B2320" s="5" t="str">
        <f>"23085016505"</f>
        <v>23085016505</v>
      </c>
      <c r="C2320" s="6">
        <v>78</v>
      </c>
      <c r="D2320" s="6">
        <v>92</v>
      </c>
      <c r="E2320" s="6">
        <v>170</v>
      </c>
      <c r="F2320" s="11"/>
    </row>
    <row r="2321" spans="1:6">
      <c r="A2321" s="5" t="str">
        <f t="shared" si="41"/>
        <v>202309</v>
      </c>
      <c r="B2321" s="5" t="str">
        <f>"23085020301"</f>
        <v>23085020301</v>
      </c>
      <c r="C2321" s="6">
        <v>79.5</v>
      </c>
      <c r="D2321" s="6">
        <v>89.5</v>
      </c>
      <c r="E2321" s="6">
        <v>169</v>
      </c>
      <c r="F2321" s="11"/>
    </row>
    <row r="2322" spans="1:6">
      <c r="A2322" s="5" t="str">
        <f t="shared" si="41"/>
        <v>202309</v>
      </c>
      <c r="B2322" s="5" t="str">
        <f>"23085020610"</f>
        <v>23085020610</v>
      </c>
      <c r="C2322" s="6">
        <v>99</v>
      </c>
      <c r="D2322" s="6">
        <v>69.5</v>
      </c>
      <c r="E2322" s="6">
        <v>168.5</v>
      </c>
      <c r="F2322" s="11"/>
    </row>
    <row r="2323" spans="1:6">
      <c r="A2323" s="5" t="str">
        <f t="shared" si="41"/>
        <v>202309</v>
      </c>
      <c r="B2323" s="5" t="str">
        <f>"23085021601"</f>
        <v>23085021601</v>
      </c>
      <c r="C2323" s="6">
        <v>78</v>
      </c>
      <c r="D2323" s="6">
        <v>90</v>
      </c>
      <c r="E2323" s="6">
        <v>168</v>
      </c>
      <c r="F2323" s="11"/>
    </row>
    <row r="2324" spans="1:6">
      <c r="A2324" s="5" t="str">
        <f t="shared" si="41"/>
        <v>202309</v>
      </c>
      <c r="B2324" s="5" t="str">
        <f>"23085021117"</f>
        <v>23085021117</v>
      </c>
      <c r="C2324" s="6">
        <v>75</v>
      </c>
      <c r="D2324" s="6">
        <v>90.5</v>
      </c>
      <c r="E2324" s="6">
        <v>165.5</v>
      </c>
      <c r="F2324" s="11"/>
    </row>
    <row r="2325" spans="1:6">
      <c r="A2325" s="5" t="str">
        <f t="shared" si="41"/>
        <v>202309</v>
      </c>
      <c r="B2325" s="5" t="str">
        <f>"23085020306"</f>
        <v>23085020306</v>
      </c>
      <c r="C2325" s="6">
        <v>73.5</v>
      </c>
      <c r="D2325" s="6">
        <v>91</v>
      </c>
      <c r="E2325" s="6">
        <v>164.5</v>
      </c>
      <c r="F2325" s="11"/>
    </row>
    <row r="2326" spans="1:6">
      <c r="A2326" s="5" t="str">
        <f t="shared" si="41"/>
        <v>202309</v>
      </c>
      <c r="B2326" s="5" t="str">
        <f>"23085021714"</f>
        <v>23085021714</v>
      </c>
      <c r="C2326" s="6">
        <v>63</v>
      </c>
      <c r="D2326" s="6">
        <v>98.5</v>
      </c>
      <c r="E2326" s="6">
        <v>161.5</v>
      </c>
      <c r="F2326" s="11"/>
    </row>
    <row r="2327" spans="1:6">
      <c r="A2327" s="5" t="str">
        <f t="shared" si="41"/>
        <v>202309</v>
      </c>
      <c r="B2327" s="5" t="str">
        <f>"23085021509"</f>
        <v>23085021509</v>
      </c>
      <c r="C2327" s="6">
        <v>73.5</v>
      </c>
      <c r="D2327" s="6">
        <v>88</v>
      </c>
      <c r="E2327" s="6">
        <v>161.5</v>
      </c>
      <c r="F2327" s="11"/>
    </row>
    <row r="2328" spans="1:6">
      <c r="A2328" s="5" t="str">
        <f t="shared" si="41"/>
        <v>202309</v>
      </c>
      <c r="B2328" s="5" t="str">
        <f>"23085021004"</f>
        <v>23085021004</v>
      </c>
      <c r="C2328" s="6">
        <v>60</v>
      </c>
      <c r="D2328" s="6">
        <v>100</v>
      </c>
      <c r="E2328" s="6">
        <v>160</v>
      </c>
      <c r="F2328" s="11"/>
    </row>
    <row r="2329" spans="1:6">
      <c r="A2329" s="5" t="str">
        <f t="shared" si="41"/>
        <v>202309</v>
      </c>
      <c r="B2329" s="5" t="str">
        <f>"23085021108"</f>
        <v>23085021108</v>
      </c>
      <c r="C2329" s="6">
        <v>73.5</v>
      </c>
      <c r="D2329" s="6">
        <v>78</v>
      </c>
      <c r="E2329" s="6">
        <v>151.5</v>
      </c>
      <c r="F2329" s="11"/>
    </row>
    <row r="2330" spans="1:6">
      <c r="A2330" s="5" t="str">
        <f t="shared" si="41"/>
        <v>202309</v>
      </c>
      <c r="B2330" s="5" t="str">
        <f>"23085016411"</f>
        <v>23085016411</v>
      </c>
      <c r="C2330" s="6">
        <v>78</v>
      </c>
      <c r="D2330" s="6">
        <v>66</v>
      </c>
      <c r="E2330" s="6">
        <v>144</v>
      </c>
      <c r="F2330" s="11"/>
    </row>
    <row r="2331" spans="1:6">
      <c r="A2331" s="5" t="str">
        <f t="shared" si="41"/>
        <v>202309</v>
      </c>
      <c r="B2331" s="5" t="str">
        <f>"23085021815"</f>
        <v>23085021815</v>
      </c>
      <c r="C2331" s="6">
        <v>61.5</v>
      </c>
      <c r="D2331" s="6">
        <v>33.5</v>
      </c>
      <c r="E2331" s="6">
        <v>95</v>
      </c>
      <c r="F2331" s="11"/>
    </row>
    <row r="2332" spans="1:6">
      <c r="A2332" s="12" t="str">
        <f t="shared" si="41"/>
        <v>202309</v>
      </c>
      <c r="B2332" s="12" t="str">
        <f>"23085021302"</f>
        <v>23085021302</v>
      </c>
      <c r="C2332" s="6">
        <v>0</v>
      </c>
      <c r="D2332" s="6">
        <v>0</v>
      </c>
      <c r="E2332" s="6">
        <v>0</v>
      </c>
      <c r="F2332" s="13" t="s">
        <v>8</v>
      </c>
    </row>
    <row r="2333" spans="1:6">
      <c r="A2333" s="5" t="str">
        <f t="shared" si="41"/>
        <v>202309</v>
      </c>
      <c r="B2333" s="5" t="str">
        <f>"23085020416"</f>
        <v>23085020416</v>
      </c>
      <c r="C2333" s="6">
        <v>0</v>
      </c>
      <c r="D2333" s="6">
        <v>0</v>
      </c>
      <c r="E2333" s="6">
        <v>0</v>
      </c>
      <c r="F2333" s="11" t="s">
        <v>7</v>
      </c>
    </row>
    <row r="2334" spans="1:6">
      <c r="A2334" s="5" t="str">
        <f t="shared" si="41"/>
        <v>202309</v>
      </c>
      <c r="B2334" s="5" t="str">
        <f>"23085020629"</f>
        <v>23085020629</v>
      </c>
      <c r="C2334" s="6">
        <v>0</v>
      </c>
      <c r="D2334" s="6">
        <v>0</v>
      </c>
      <c r="E2334" s="6">
        <v>0</v>
      </c>
      <c r="F2334" s="11" t="s">
        <v>7</v>
      </c>
    </row>
    <row r="2335" spans="1:6">
      <c r="A2335" s="5" t="str">
        <f t="shared" si="41"/>
        <v>202309</v>
      </c>
      <c r="B2335" s="5" t="str">
        <f>"23085021618"</f>
        <v>23085021618</v>
      </c>
      <c r="C2335" s="6">
        <v>0</v>
      </c>
      <c r="D2335" s="6">
        <v>0</v>
      </c>
      <c r="E2335" s="6">
        <v>0</v>
      </c>
      <c r="F2335" s="11" t="s">
        <v>7</v>
      </c>
    </row>
    <row r="2336" spans="1:6">
      <c r="A2336" s="5" t="str">
        <f t="shared" si="41"/>
        <v>202309</v>
      </c>
      <c r="B2336" s="5" t="str">
        <f>"23085016424"</f>
        <v>23085016424</v>
      </c>
      <c r="C2336" s="6">
        <v>0</v>
      </c>
      <c r="D2336" s="6">
        <v>0</v>
      </c>
      <c r="E2336" s="6">
        <v>0</v>
      </c>
      <c r="F2336" s="11" t="s">
        <v>7</v>
      </c>
    </row>
    <row r="2337" spans="1:6">
      <c r="A2337" s="5" t="str">
        <f t="shared" si="41"/>
        <v>202309</v>
      </c>
      <c r="B2337" s="5" t="str">
        <f>"23085020421"</f>
        <v>23085020421</v>
      </c>
      <c r="C2337" s="6">
        <v>0</v>
      </c>
      <c r="D2337" s="6">
        <v>0</v>
      </c>
      <c r="E2337" s="6">
        <v>0</v>
      </c>
      <c r="F2337" s="11" t="s">
        <v>7</v>
      </c>
    </row>
    <row r="2338" spans="1:6">
      <c r="A2338" s="5" t="str">
        <f t="shared" si="41"/>
        <v>202309</v>
      </c>
      <c r="B2338" s="5" t="str">
        <f>"23085020918"</f>
        <v>23085020918</v>
      </c>
      <c r="C2338" s="6">
        <v>0</v>
      </c>
      <c r="D2338" s="6">
        <v>0</v>
      </c>
      <c r="E2338" s="6">
        <v>0</v>
      </c>
      <c r="F2338" s="11" t="s">
        <v>7</v>
      </c>
    </row>
    <row r="2339" spans="1:6">
      <c r="A2339" s="5" t="str">
        <f t="shared" si="41"/>
        <v>202309</v>
      </c>
      <c r="B2339" s="5" t="str">
        <f>"23085020115"</f>
        <v>23085020115</v>
      </c>
      <c r="C2339" s="6">
        <v>0</v>
      </c>
      <c r="D2339" s="6">
        <v>0</v>
      </c>
      <c r="E2339" s="6">
        <v>0</v>
      </c>
      <c r="F2339" s="11" t="s">
        <v>7</v>
      </c>
    </row>
    <row r="2340" spans="1:6">
      <c r="A2340" s="5" t="str">
        <f t="shared" si="41"/>
        <v>202309</v>
      </c>
      <c r="B2340" s="5" t="str">
        <f>"23085020406"</f>
        <v>23085020406</v>
      </c>
      <c r="C2340" s="6">
        <v>0</v>
      </c>
      <c r="D2340" s="6">
        <v>0</v>
      </c>
      <c r="E2340" s="6">
        <v>0</v>
      </c>
      <c r="F2340" s="11" t="s">
        <v>7</v>
      </c>
    </row>
    <row r="2341" spans="1:6">
      <c r="A2341" s="5" t="str">
        <f t="shared" si="41"/>
        <v>202309</v>
      </c>
      <c r="B2341" s="5" t="str">
        <f>"23085020722"</f>
        <v>23085020722</v>
      </c>
      <c r="C2341" s="6">
        <v>0</v>
      </c>
      <c r="D2341" s="6">
        <v>0</v>
      </c>
      <c r="E2341" s="6">
        <v>0</v>
      </c>
      <c r="F2341" s="11" t="s">
        <v>7</v>
      </c>
    </row>
    <row r="2342" spans="1:6">
      <c r="A2342" s="5" t="str">
        <f t="shared" si="41"/>
        <v>202309</v>
      </c>
      <c r="B2342" s="5" t="str">
        <f>"23085020120"</f>
        <v>23085020120</v>
      </c>
      <c r="C2342" s="6">
        <v>0</v>
      </c>
      <c r="D2342" s="6">
        <v>0</v>
      </c>
      <c r="E2342" s="6">
        <v>0</v>
      </c>
      <c r="F2342" s="11" t="s">
        <v>7</v>
      </c>
    </row>
    <row r="2343" spans="1:6">
      <c r="A2343" s="5" t="str">
        <f t="shared" si="41"/>
        <v>202309</v>
      </c>
      <c r="B2343" s="5" t="str">
        <f>"23085021514"</f>
        <v>23085021514</v>
      </c>
      <c r="C2343" s="6">
        <v>0</v>
      </c>
      <c r="D2343" s="6">
        <v>0</v>
      </c>
      <c r="E2343" s="6">
        <v>0</v>
      </c>
      <c r="F2343" s="11" t="s">
        <v>7</v>
      </c>
    </row>
    <row r="2344" spans="1:6">
      <c r="A2344" s="5" t="str">
        <f t="shared" si="41"/>
        <v>202309</v>
      </c>
      <c r="B2344" s="5" t="str">
        <f>"23085020809"</f>
        <v>23085020809</v>
      </c>
      <c r="C2344" s="6">
        <v>0</v>
      </c>
      <c r="D2344" s="6">
        <v>0</v>
      </c>
      <c r="E2344" s="6">
        <v>0</v>
      </c>
      <c r="F2344" s="11" t="s">
        <v>7</v>
      </c>
    </row>
    <row r="2345" spans="1:6">
      <c r="A2345" s="5" t="str">
        <f t="shared" si="41"/>
        <v>202309</v>
      </c>
      <c r="B2345" s="5" t="str">
        <f>"23085021007"</f>
        <v>23085021007</v>
      </c>
      <c r="C2345" s="6">
        <v>0</v>
      </c>
      <c r="D2345" s="6">
        <v>0</v>
      </c>
      <c r="E2345" s="6">
        <v>0</v>
      </c>
      <c r="F2345" s="11" t="s">
        <v>7</v>
      </c>
    </row>
    <row r="2346" spans="1:6">
      <c r="A2346" s="5" t="str">
        <f t="shared" si="41"/>
        <v>202309</v>
      </c>
      <c r="B2346" s="5" t="str">
        <f>"23085021106"</f>
        <v>23085021106</v>
      </c>
      <c r="C2346" s="6">
        <v>0</v>
      </c>
      <c r="D2346" s="6">
        <v>0</v>
      </c>
      <c r="E2346" s="6">
        <v>0</v>
      </c>
      <c r="F2346" s="11" t="s">
        <v>7</v>
      </c>
    </row>
    <row r="2347" spans="1:6">
      <c r="A2347" s="5" t="str">
        <f t="shared" si="41"/>
        <v>202309</v>
      </c>
      <c r="B2347" s="5" t="str">
        <f>"23085021504"</f>
        <v>23085021504</v>
      </c>
      <c r="C2347" s="6">
        <v>0</v>
      </c>
      <c r="D2347" s="6">
        <v>0</v>
      </c>
      <c r="E2347" s="6">
        <v>0</v>
      </c>
      <c r="F2347" s="11" t="s">
        <v>7</v>
      </c>
    </row>
    <row r="2348" spans="1:6">
      <c r="A2348" s="5" t="str">
        <f t="shared" si="41"/>
        <v>202309</v>
      </c>
      <c r="B2348" s="5" t="str">
        <f>"23085020223"</f>
        <v>23085020223</v>
      </c>
      <c r="C2348" s="6">
        <v>0</v>
      </c>
      <c r="D2348" s="6">
        <v>0</v>
      </c>
      <c r="E2348" s="6">
        <v>0</v>
      </c>
      <c r="F2348" s="11" t="s">
        <v>7</v>
      </c>
    </row>
    <row r="2349" spans="1:6">
      <c r="A2349" s="5" t="str">
        <f t="shared" si="41"/>
        <v>202309</v>
      </c>
      <c r="B2349" s="5" t="str">
        <f>"23085021414"</f>
        <v>23085021414</v>
      </c>
      <c r="C2349" s="6">
        <v>0</v>
      </c>
      <c r="D2349" s="6">
        <v>0</v>
      </c>
      <c r="E2349" s="6">
        <v>0</v>
      </c>
      <c r="F2349" s="11" t="s">
        <v>7</v>
      </c>
    </row>
    <row r="2350" spans="1:6">
      <c r="A2350" s="5" t="str">
        <f t="shared" si="41"/>
        <v>202309</v>
      </c>
      <c r="B2350" s="5" t="str">
        <f>"23085016428"</f>
        <v>23085016428</v>
      </c>
      <c r="C2350" s="6">
        <v>0</v>
      </c>
      <c r="D2350" s="6">
        <v>0</v>
      </c>
      <c r="E2350" s="6">
        <v>0</v>
      </c>
      <c r="F2350" s="11" t="s">
        <v>7</v>
      </c>
    </row>
    <row r="2351" spans="1:6">
      <c r="A2351" s="5" t="str">
        <f t="shared" si="41"/>
        <v>202309</v>
      </c>
      <c r="B2351" s="5" t="str">
        <f>"23085020924"</f>
        <v>23085020924</v>
      </c>
      <c r="C2351" s="6">
        <v>0</v>
      </c>
      <c r="D2351" s="6">
        <v>0</v>
      </c>
      <c r="E2351" s="6">
        <v>0</v>
      </c>
      <c r="F2351" s="11" t="s">
        <v>7</v>
      </c>
    </row>
    <row r="2352" spans="1:6">
      <c r="A2352" s="5" t="str">
        <f t="shared" si="41"/>
        <v>202309</v>
      </c>
      <c r="B2352" s="5" t="str">
        <f>"23085021604"</f>
        <v>23085021604</v>
      </c>
      <c r="C2352" s="6">
        <v>0</v>
      </c>
      <c r="D2352" s="6">
        <v>0</v>
      </c>
      <c r="E2352" s="6">
        <v>0</v>
      </c>
      <c r="F2352" s="11" t="s">
        <v>7</v>
      </c>
    </row>
    <row r="2353" spans="1:6">
      <c r="A2353" s="5" t="str">
        <f t="shared" si="41"/>
        <v>202309</v>
      </c>
      <c r="B2353" s="5" t="str">
        <f>"23085021821"</f>
        <v>23085021821</v>
      </c>
      <c r="C2353" s="6">
        <v>0</v>
      </c>
      <c r="D2353" s="6">
        <v>0</v>
      </c>
      <c r="E2353" s="6">
        <v>0</v>
      </c>
      <c r="F2353" s="11" t="s">
        <v>7</v>
      </c>
    </row>
    <row r="2354" spans="1:6">
      <c r="A2354" s="5" t="str">
        <f t="shared" si="41"/>
        <v>202309</v>
      </c>
      <c r="B2354" s="5" t="str">
        <f>"23085021526"</f>
        <v>23085021526</v>
      </c>
      <c r="C2354" s="6">
        <v>0</v>
      </c>
      <c r="D2354" s="6">
        <v>0</v>
      </c>
      <c r="E2354" s="6">
        <v>0</v>
      </c>
      <c r="F2354" s="11" t="s">
        <v>7</v>
      </c>
    </row>
    <row r="2355" spans="1:6">
      <c r="A2355" s="5" t="str">
        <f t="shared" si="41"/>
        <v>202309</v>
      </c>
      <c r="B2355" s="5" t="str">
        <f>"23085020105"</f>
        <v>23085020105</v>
      </c>
      <c r="C2355" s="6">
        <v>0</v>
      </c>
      <c r="D2355" s="6">
        <v>0</v>
      </c>
      <c r="E2355" s="6">
        <v>0</v>
      </c>
      <c r="F2355" s="11" t="s">
        <v>7</v>
      </c>
    </row>
    <row r="2356" spans="1:6">
      <c r="A2356" s="5" t="str">
        <f>"202309"</f>
        <v>202309</v>
      </c>
      <c r="B2356" s="5" t="str">
        <f>"23085016521"</f>
        <v>23085016521</v>
      </c>
      <c r="C2356" s="6">
        <v>0</v>
      </c>
      <c r="D2356" s="6">
        <v>0</v>
      </c>
      <c r="E2356" s="6">
        <v>0</v>
      </c>
      <c r="F2356" s="11" t="s">
        <v>7</v>
      </c>
    </row>
    <row r="2357" spans="1:6">
      <c r="A2357" s="5" t="str">
        <f t="shared" ref="A2357:A2420" si="42">"202309"</f>
        <v>202309</v>
      </c>
      <c r="B2357" s="5" t="str">
        <f>"23085021219"</f>
        <v>23085021219</v>
      </c>
      <c r="C2357" s="6">
        <v>0</v>
      </c>
      <c r="D2357" s="6">
        <v>0</v>
      </c>
      <c r="E2357" s="6">
        <v>0</v>
      </c>
      <c r="F2357" s="11" t="s">
        <v>7</v>
      </c>
    </row>
    <row r="2358" spans="1:6">
      <c r="A2358" s="5" t="str">
        <f t="shared" si="42"/>
        <v>202309</v>
      </c>
      <c r="B2358" s="5" t="str">
        <f>"23085020212"</f>
        <v>23085020212</v>
      </c>
      <c r="C2358" s="6">
        <v>0</v>
      </c>
      <c r="D2358" s="6">
        <v>0</v>
      </c>
      <c r="E2358" s="6">
        <v>0</v>
      </c>
      <c r="F2358" s="11" t="s">
        <v>7</v>
      </c>
    </row>
    <row r="2359" spans="1:6">
      <c r="A2359" s="5" t="str">
        <f t="shared" si="42"/>
        <v>202309</v>
      </c>
      <c r="B2359" s="5" t="str">
        <f>"23085020304"</f>
        <v>23085020304</v>
      </c>
      <c r="C2359" s="6">
        <v>0</v>
      </c>
      <c r="D2359" s="6">
        <v>0</v>
      </c>
      <c r="E2359" s="6">
        <v>0</v>
      </c>
      <c r="F2359" s="11" t="s">
        <v>7</v>
      </c>
    </row>
    <row r="2360" spans="1:6">
      <c r="A2360" s="5" t="str">
        <f t="shared" si="42"/>
        <v>202309</v>
      </c>
      <c r="B2360" s="5" t="str">
        <f>"23085020614"</f>
        <v>23085020614</v>
      </c>
      <c r="C2360" s="6">
        <v>0</v>
      </c>
      <c r="D2360" s="6">
        <v>0</v>
      </c>
      <c r="E2360" s="6">
        <v>0</v>
      </c>
      <c r="F2360" s="11" t="s">
        <v>7</v>
      </c>
    </row>
    <row r="2361" spans="1:6">
      <c r="A2361" s="5" t="str">
        <f t="shared" si="42"/>
        <v>202309</v>
      </c>
      <c r="B2361" s="5" t="str">
        <f>"23085016506"</f>
        <v>23085016506</v>
      </c>
      <c r="C2361" s="6">
        <v>0</v>
      </c>
      <c r="D2361" s="6">
        <v>0</v>
      </c>
      <c r="E2361" s="6">
        <v>0</v>
      </c>
      <c r="F2361" s="11" t="s">
        <v>7</v>
      </c>
    </row>
    <row r="2362" spans="1:6">
      <c r="A2362" s="5" t="str">
        <f t="shared" si="42"/>
        <v>202309</v>
      </c>
      <c r="B2362" s="5" t="str">
        <f>"23085020520"</f>
        <v>23085020520</v>
      </c>
      <c r="C2362" s="6">
        <v>0</v>
      </c>
      <c r="D2362" s="6">
        <v>0</v>
      </c>
      <c r="E2362" s="6">
        <v>0</v>
      </c>
      <c r="F2362" s="11" t="s">
        <v>7</v>
      </c>
    </row>
    <row r="2363" spans="1:6">
      <c r="A2363" s="5" t="str">
        <f t="shared" si="42"/>
        <v>202309</v>
      </c>
      <c r="B2363" s="5" t="str">
        <f>"23085020206"</f>
        <v>23085020206</v>
      </c>
      <c r="C2363" s="6">
        <v>0</v>
      </c>
      <c r="D2363" s="6">
        <v>0</v>
      </c>
      <c r="E2363" s="6">
        <v>0</v>
      </c>
      <c r="F2363" s="11" t="s">
        <v>7</v>
      </c>
    </row>
    <row r="2364" spans="1:6">
      <c r="A2364" s="5" t="str">
        <f t="shared" si="42"/>
        <v>202309</v>
      </c>
      <c r="B2364" s="5" t="str">
        <f>"23085020905"</f>
        <v>23085020905</v>
      </c>
      <c r="C2364" s="6">
        <v>0</v>
      </c>
      <c r="D2364" s="6">
        <v>0</v>
      </c>
      <c r="E2364" s="6">
        <v>0</v>
      </c>
      <c r="F2364" s="11" t="s">
        <v>7</v>
      </c>
    </row>
    <row r="2365" spans="1:6">
      <c r="A2365" s="5" t="str">
        <f t="shared" si="42"/>
        <v>202309</v>
      </c>
      <c r="B2365" s="5" t="str">
        <f>"23085021013"</f>
        <v>23085021013</v>
      </c>
      <c r="C2365" s="6">
        <v>0</v>
      </c>
      <c r="D2365" s="6">
        <v>0</v>
      </c>
      <c r="E2365" s="6">
        <v>0</v>
      </c>
      <c r="F2365" s="11" t="s">
        <v>7</v>
      </c>
    </row>
    <row r="2366" spans="1:6">
      <c r="A2366" s="5" t="str">
        <f t="shared" si="42"/>
        <v>202309</v>
      </c>
      <c r="B2366" s="5" t="str">
        <f>"23085021810"</f>
        <v>23085021810</v>
      </c>
      <c r="C2366" s="6">
        <v>0</v>
      </c>
      <c r="D2366" s="6">
        <v>0</v>
      </c>
      <c r="E2366" s="6">
        <v>0</v>
      </c>
      <c r="F2366" s="11" t="s">
        <v>7</v>
      </c>
    </row>
    <row r="2367" spans="1:6">
      <c r="A2367" s="5" t="str">
        <f t="shared" si="42"/>
        <v>202309</v>
      </c>
      <c r="B2367" s="5" t="str">
        <f>"23085021105"</f>
        <v>23085021105</v>
      </c>
      <c r="C2367" s="6">
        <v>0</v>
      </c>
      <c r="D2367" s="6">
        <v>0</v>
      </c>
      <c r="E2367" s="6">
        <v>0</v>
      </c>
      <c r="F2367" s="11" t="s">
        <v>7</v>
      </c>
    </row>
    <row r="2368" spans="1:6">
      <c r="A2368" s="5" t="str">
        <f t="shared" si="42"/>
        <v>202309</v>
      </c>
      <c r="B2368" s="5" t="str">
        <f>"23085020401"</f>
        <v>23085020401</v>
      </c>
      <c r="C2368" s="6">
        <v>0</v>
      </c>
      <c r="D2368" s="6">
        <v>0</v>
      </c>
      <c r="E2368" s="6">
        <v>0</v>
      </c>
      <c r="F2368" s="11" t="s">
        <v>7</v>
      </c>
    </row>
    <row r="2369" spans="1:6">
      <c r="A2369" s="5" t="str">
        <f t="shared" si="42"/>
        <v>202309</v>
      </c>
      <c r="B2369" s="5" t="str">
        <f>"23085020221"</f>
        <v>23085020221</v>
      </c>
      <c r="C2369" s="6">
        <v>0</v>
      </c>
      <c r="D2369" s="6">
        <v>0</v>
      </c>
      <c r="E2369" s="6">
        <v>0</v>
      </c>
      <c r="F2369" s="11" t="s">
        <v>7</v>
      </c>
    </row>
    <row r="2370" spans="1:6">
      <c r="A2370" s="5" t="str">
        <f t="shared" si="42"/>
        <v>202309</v>
      </c>
      <c r="B2370" s="5" t="str">
        <f>"23085021328"</f>
        <v>23085021328</v>
      </c>
      <c r="C2370" s="6">
        <v>0</v>
      </c>
      <c r="D2370" s="6">
        <v>0</v>
      </c>
      <c r="E2370" s="6">
        <v>0</v>
      </c>
      <c r="F2370" s="11" t="s">
        <v>7</v>
      </c>
    </row>
    <row r="2371" spans="1:6">
      <c r="A2371" s="5" t="str">
        <f t="shared" si="42"/>
        <v>202309</v>
      </c>
      <c r="B2371" s="5" t="str">
        <f>"23085021712"</f>
        <v>23085021712</v>
      </c>
      <c r="C2371" s="6">
        <v>0</v>
      </c>
      <c r="D2371" s="6">
        <v>0</v>
      </c>
      <c r="E2371" s="6">
        <v>0</v>
      </c>
      <c r="F2371" s="11" t="s">
        <v>7</v>
      </c>
    </row>
    <row r="2372" spans="1:6">
      <c r="A2372" s="5" t="str">
        <f t="shared" si="42"/>
        <v>202309</v>
      </c>
      <c r="B2372" s="5" t="str">
        <f>"23085020725"</f>
        <v>23085020725</v>
      </c>
      <c r="C2372" s="6">
        <v>0</v>
      </c>
      <c r="D2372" s="6">
        <v>0</v>
      </c>
      <c r="E2372" s="6">
        <v>0</v>
      </c>
      <c r="F2372" s="11" t="s">
        <v>7</v>
      </c>
    </row>
    <row r="2373" spans="1:6">
      <c r="A2373" s="5" t="str">
        <f t="shared" si="42"/>
        <v>202309</v>
      </c>
      <c r="B2373" s="5" t="str">
        <f>"23085021801"</f>
        <v>23085021801</v>
      </c>
      <c r="C2373" s="6">
        <v>0</v>
      </c>
      <c r="D2373" s="6">
        <v>0</v>
      </c>
      <c r="E2373" s="6">
        <v>0</v>
      </c>
      <c r="F2373" s="11" t="s">
        <v>7</v>
      </c>
    </row>
    <row r="2374" spans="1:6">
      <c r="A2374" s="5" t="str">
        <f t="shared" si="42"/>
        <v>202309</v>
      </c>
      <c r="B2374" s="5" t="str">
        <f>"23085021116"</f>
        <v>23085021116</v>
      </c>
      <c r="C2374" s="6">
        <v>0</v>
      </c>
      <c r="D2374" s="6">
        <v>0</v>
      </c>
      <c r="E2374" s="6">
        <v>0</v>
      </c>
      <c r="F2374" s="11" t="s">
        <v>7</v>
      </c>
    </row>
    <row r="2375" spans="1:6">
      <c r="A2375" s="5" t="str">
        <f t="shared" si="42"/>
        <v>202309</v>
      </c>
      <c r="B2375" s="5" t="str">
        <f>"23085020921"</f>
        <v>23085020921</v>
      </c>
      <c r="C2375" s="6">
        <v>0</v>
      </c>
      <c r="D2375" s="6">
        <v>0</v>
      </c>
      <c r="E2375" s="6">
        <v>0</v>
      </c>
      <c r="F2375" s="11" t="s">
        <v>7</v>
      </c>
    </row>
    <row r="2376" spans="1:6">
      <c r="A2376" s="5" t="str">
        <f t="shared" si="42"/>
        <v>202309</v>
      </c>
      <c r="B2376" s="5" t="str">
        <f>"23085021401"</f>
        <v>23085021401</v>
      </c>
      <c r="C2376" s="6">
        <v>0</v>
      </c>
      <c r="D2376" s="6">
        <v>0</v>
      </c>
      <c r="E2376" s="6">
        <v>0</v>
      </c>
      <c r="F2376" s="11" t="s">
        <v>7</v>
      </c>
    </row>
    <row r="2377" spans="1:6">
      <c r="A2377" s="5" t="str">
        <f t="shared" si="42"/>
        <v>202309</v>
      </c>
      <c r="B2377" s="5" t="str">
        <f>"23085021803"</f>
        <v>23085021803</v>
      </c>
      <c r="C2377" s="6">
        <v>0</v>
      </c>
      <c r="D2377" s="6">
        <v>0</v>
      </c>
      <c r="E2377" s="6">
        <v>0</v>
      </c>
      <c r="F2377" s="11" t="s">
        <v>7</v>
      </c>
    </row>
    <row r="2378" spans="1:6">
      <c r="A2378" s="5" t="str">
        <f t="shared" si="42"/>
        <v>202309</v>
      </c>
      <c r="B2378" s="5" t="str">
        <f>"23085021218"</f>
        <v>23085021218</v>
      </c>
      <c r="C2378" s="6">
        <v>0</v>
      </c>
      <c r="D2378" s="6">
        <v>0</v>
      </c>
      <c r="E2378" s="6">
        <v>0</v>
      </c>
      <c r="F2378" s="11" t="s">
        <v>7</v>
      </c>
    </row>
    <row r="2379" spans="1:6">
      <c r="A2379" s="5" t="str">
        <f t="shared" si="42"/>
        <v>202309</v>
      </c>
      <c r="B2379" s="5" t="str">
        <f>"23085016321"</f>
        <v>23085016321</v>
      </c>
      <c r="C2379" s="6">
        <v>0</v>
      </c>
      <c r="D2379" s="6">
        <v>0</v>
      </c>
      <c r="E2379" s="6">
        <v>0</v>
      </c>
      <c r="F2379" s="11" t="s">
        <v>7</v>
      </c>
    </row>
    <row r="2380" spans="1:6">
      <c r="A2380" s="5" t="str">
        <f t="shared" si="42"/>
        <v>202309</v>
      </c>
      <c r="B2380" s="5" t="str">
        <f>"23085020706"</f>
        <v>23085020706</v>
      </c>
      <c r="C2380" s="6">
        <v>0</v>
      </c>
      <c r="D2380" s="6">
        <v>0</v>
      </c>
      <c r="E2380" s="6">
        <v>0</v>
      </c>
      <c r="F2380" s="11" t="s">
        <v>7</v>
      </c>
    </row>
    <row r="2381" spans="1:6">
      <c r="A2381" s="5" t="str">
        <f t="shared" si="42"/>
        <v>202309</v>
      </c>
      <c r="B2381" s="5" t="str">
        <f>"23085016225"</f>
        <v>23085016225</v>
      </c>
      <c r="C2381" s="6">
        <v>0</v>
      </c>
      <c r="D2381" s="6">
        <v>0</v>
      </c>
      <c r="E2381" s="6">
        <v>0</v>
      </c>
      <c r="F2381" s="11" t="s">
        <v>7</v>
      </c>
    </row>
    <row r="2382" spans="1:6">
      <c r="A2382" s="5" t="str">
        <f t="shared" si="42"/>
        <v>202309</v>
      </c>
      <c r="B2382" s="5" t="str">
        <f>"23085020302"</f>
        <v>23085020302</v>
      </c>
      <c r="C2382" s="6">
        <v>0</v>
      </c>
      <c r="D2382" s="6">
        <v>0</v>
      </c>
      <c r="E2382" s="6">
        <v>0</v>
      </c>
      <c r="F2382" s="11" t="s">
        <v>7</v>
      </c>
    </row>
    <row r="2383" spans="1:6">
      <c r="A2383" s="5" t="str">
        <f t="shared" si="42"/>
        <v>202309</v>
      </c>
      <c r="B2383" s="5" t="str">
        <f>"23085020622"</f>
        <v>23085020622</v>
      </c>
      <c r="C2383" s="6">
        <v>0</v>
      </c>
      <c r="D2383" s="6">
        <v>0</v>
      </c>
      <c r="E2383" s="6">
        <v>0</v>
      </c>
      <c r="F2383" s="11" t="s">
        <v>7</v>
      </c>
    </row>
    <row r="2384" spans="1:6">
      <c r="A2384" s="5" t="str">
        <f t="shared" si="42"/>
        <v>202309</v>
      </c>
      <c r="B2384" s="5" t="str">
        <f>"23085021430"</f>
        <v>23085021430</v>
      </c>
      <c r="C2384" s="6">
        <v>0</v>
      </c>
      <c r="D2384" s="6">
        <v>0</v>
      </c>
      <c r="E2384" s="6">
        <v>0</v>
      </c>
      <c r="F2384" s="11" t="s">
        <v>7</v>
      </c>
    </row>
    <row r="2385" spans="1:6">
      <c r="A2385" s="5" t="str">
        <f t="shared" si="42"/>
        <v>202309</v>
      </c>
      <c r="B2385" s="5" t="str">
        <f>"23085020616"</f>
        <v>23085020616</v>
      </c>
      <c r="C2385" s="6">
        <v>0</v>
      </c>
      <c r="D2385" s="6">
        <v>0</v>
      </c>
      <c r="E2385" s="6">
        <v>0</v>
      </c>
      <c r="F2385" s="11" t="s">
        <v>7</v>
      </c>
    </row>
    <row r="2386" spans="1:6">
      <c r="A2386" s="5" t="str">
        <f t="shared" si="42"/>
        <v>202309</v>
      </c>
      <c r="B2386" s="5" t="str">
        <f>"23085020419"</f>
        <v>23085020419</v>
      </c>
      <c r="C2386" s="6">
        <v>0</v>
      </c>
      <c r="D2386" s="6">
        <v>0</v>
      </c>
      <c r="E2386" s="6">
        <v>0</v>
      </c>
      <c r="F2386" s="11" t="s">
        <v>7</v>
      </c>
    </row>
    <row r="2387" spans="1:6">
      <c r="A2387" s="5" t="str">
        <f t="shared" si="42"/>
        <v>202309</v>
      </c>
      <c r="B2387" s="5" t="str">
        <f>"23085020104"</f>
        <v>23085020104</v>
      </c>
      <c r="C2387" s="6">
        <v>0</v>
      </c>
      <c r="D2387" s="6">
        <v>0</v>
      </c>
      <c r="E2387" s="6">
        <v>0</v>
      </c>
      <c r="F2387" s="11" t="s">
        <v>7</v>
      </c>
    </row>
    <row r="2388" spans="1:6">
      <c r="A2388" s="5" t="str">
        <f t="shared" si="42"/>
        <v>202309</v>
      </c>
      <c r="B2388" s="5" t="str">
        <f>"23085021012"</f>
        <v>23085021012</v>
      </c>
      <c r="C2388" s="6">
        <v>0</v>
      </c>
      <c r="D2388" s="6">
        <v>0</v>
      </c>
      <c r="E2388" s="6">
        <v>0</v>
      </c>
      <c r="F2388" s="11" t="s">
        <v>7</v>
      </c>
    </row>
    <row r="2389" spans="1:6">
      <c r="A2389" s="5" t="str">
        <f t="shared" si="42"/>
        <v>202309</v>
      </c>
      <c r="B2389" s="5" t="str">
        <f>"23085021529"</f>
        <v>23085021529</v>
      </c>
      <c r="C2389" s="6">
        <v>0</v>
      </c>
      <c r="D2389" s="6">
        <v>0</v>
      </c>
      <c r="E2389" s="6">
        <v>0</v>
      </c>
      <c r="F2389" s="11" t="s">
        <v>7</v>
      </c>
    </row>
    <row r="2390" spans="1:6">
      <c r="A2390" s="5" t="str">
        <f t="shared" si="42"/>
        <v>202309</v>
      </c>
      <c r="B2390" s="5" t="str">
        <f>"23085021228"</f>
        <v>23085021228</v>
      </c>
      <c r="C2390" s="6">
        <v>0</v>
      </c>
      <c r="D2390" s="6">
        <v>0</v>
      </c>
      <c r="E2390" s="6">
        <v>0</v>
      </c>
      <c r="F2390" s="11" t="s">
        <v>7</v>
      </c>
    </row>
    <row r="2391" spans="1:6">
      <c r="A2391" s="5" t="str">
        <f t="shared" si="42"/>
        <v>202309</v>
      </c>
      <c r="B2391" s="5" t="str">
        <f>"23085016330"</f>
        <v>23085016330</v>
      </c>
      <c r="C2391" s="6">
        <v>0</v>
      </c>
      <c r="D2391" s="6">
        <v>0</v>
      </c>
      <c r="E2391" s="6">
        <v>0</v>
      </c>
      <c r="F2391" s="11" t="s">
        <v>7</v>
      </c>
    </row>
    <row r="2392" spans="1:6">
      <c r="A2392" s="5" t="str">
        <f t="shared" si="42"/>
        <v>202309</v>
      </c>
      <c r="B2392" s="5" t="str">
        <f>"23085021001"</f>
        <v>23085021001</v>
      </c>
      <c r="C2392" s="6">
        <v>0</v>
      </c>
      <c r="D2392" s="6">
        <v>0</v>
      </c>
      <c r="E2392" s="6">
        <v>0</v>
      </c>
      <c r="F2392" s="11" t="s">
        <v>7</v>
      </c>
    </row>
    <row r="2393" spans="1:6">
      <c r="A2393" s="5" t="str">
        <f t="shared" si="42"/>
        <v>202309</v>
      </c>
      <c r="B2393" s="5" t="str">
        <f>"23085020410"</f>
        <v>23085020410</v>
      </c>
      <c r="C2393" s="6">
        <v>0</v>
      </c>
      <c r="D2393" s="6">
        <v>0</v>
      </c>
      <c r="E2393" s="6">
        <v>0</v>
      </c>
      <c r="F2393" s="11" t="s">
        <v>7</v>
      </c>
    </row>
    <row r="2394" spans="1:6">
      <c r="A2394" s="5" t="str">
        <f t="shared" si="42"/>
        <v>202309</v>
      </c>
      <c r="B2394" s="5" t="str">
        <f>"23085016514"</f>
        <v>23085016514</v>
      </c>
      <c r="C2394" s="6">
        <v>0</v>
      </c>
      <c r="D2394" s="6">
        <v>0</v>
      </c>
      <c r="E2394" s="6">
        <v>0</v>
      </c>
      <c r="F2394" s="11" t="s">
        <v>7</v>
      </c>
    </row>
    <row r="2395" spans="1:6">
      <c r="A2395" s="5" t="str">
        <f t="shared" si="42"/>
        <v>202309</v>
      </c>
      <c r="B2395" s="5" t="str">
        <f>"23085020305"</f>
        <v>23085020305</v>
      </c>
      <c r="C2395" s="6">
        <v>0</v>
      </c>
      <c r="D2395" s="6">
        <v>0</v>
      </c>
      <c r="E2395" s="6">
        <v>0</v>
      </c>
      <c r="F2395" s="11" t="s">
        <v>7</v>
      </c>
    </row>
    <row r="2396" spans="1:6">
      <c r="A2396" s="5" t="str">
        <f t="shared" si="42"/>
        <v>202309</v>
      </c>
      <c r="B2396" s="5" t="str">
        <f>"23085021726"</f>
        <v>23085021726</v>
      </c>
      <c r="C2396" s="6">
        <v>0</v>
      </c>
      <c r="D2396" s="6">
        <v>0</v>
      </c>
      <c r="E2396" s="6">
        <v>0</v>
      </c>
      <c r="F2396" s="11" t="s">
        <v>7</v>
      </c>
    </row>
    <row r="2397" spans="1:6">
      <c r="A2397" s="5" t="str">
        <f t="shared" si="42"/>
        <v>202309</v>
      </c>
      <c r="B2397" s="5" t="str">
        <f>"23085016312"</f>
        <v>23085016312</v>
      </c>
      <c r="C2397" s="6">
        <v>0</v>
      </c>
      <c r="D2397" s="6">
        <v>0</v>
      </c>
      <c r="E2397" s="6">
        <v>0</v>
      </c>
      <c r="F2397" s="11" t="s">
        <v>7</v>
      </c>
    </row>
    <row r="2398" spans="1:6">
      <c r="A2398" s="5" t="str">
        <f t="shared" si="42"/>
        <v>202309</v>
      </c>
      <c r="B2398" s="5" t="str">
        <f>"23085021606"</f>
        <v>23085021606</v>
      </c>
      <c r="C2398" s="6">
        <v>0</v>
      </c>
      <c r="D2398" s="6">
        <v>0</v>
      </c>
      <c r="E2398" s="6">
        <v>0</v>
      </c>
      <c r="F2398" s="11" t="s">
        <v>7</v>
      </c>
    </row>
    <row r="2399" spans="1:6">
      <c r="A2399" s="5" t="str">
        <f t="shared" si="42"/>
        <v>202309</v>
      </c>
      <c r="B2399" s="5" t="str">
        <f>"23085020512"</f>
        <v>23085020512</v>
      </c>
      <c r="C2399" s="6">
        <v>0</v>
      </c>
      <c r="D2399" s="6">
        <v>0</v>
      </c>
      <c r="E2399" s="6">
        <v>0</v>
      </c>
      <c r="F2399" s="11" t="s">
        <v>7</v>
      </c>
    </row>
    <row r="2400" spans="1:6">
      <c r="A2400" s="5" t="str">
        <f t="shared" si="42"/>
        <v>202309</v>
      </c>
      <c r="B2400" s="5" t="str">
        <f>"23085021812"</f>
        <v>23085021812</v>
      </c>
      <c r="C2400" s="6">
        <v>0</v>
      </c>
      <c r="D2400" s="6">
        <v>0</v>
      </c>
      <c r="E2400" s="6">
        <v>0</v>
      </c>
      <c r="F2400" s="11" t="s">
        <v>7</v>
      </c>
    </row>
    <row r="2401" spans="1:6">
      <c r="A2401" s="5" t="str">
        <f t="shared" si="42"/>
        <v>202309</v>
      </c>
      <c r="B2401" s="5" t="str">
        <f>"23085020127"</f>
        <v>23085020127</v>
      </c>
      <c r="C2401" s="6">
        <v>0</v>
      </c>
      <c r="D2401" s="6">
        <v>0</v>
      </c>
      <c r="E2401" s="6">
        <v>0</v>
      </c>
      <c r="F2401" s="11" t="s">
        <v>7</v>
      </c>
    </row>
    <row r="2402" spans="1:6">
      <c r="A2402" s="5" t="str">
        <f t="shared" si="42"/>
        <v>202309</v>
      </c>
      <c r="B2402" s="5" t="str">
        <f>"23085021205"</f>
        <v>23085021205</v>
      </c>
      <c r="C2402" s="6">
        <v>0</v>
      </c>
      <c r="D2402" s="6">
        <v>0</v>
      </c>
      <c r="E2402" s="6">
        <v>0</v>
      </c>
      <c r="F2402" s="11" t="s">
        <v>7</v>
      </c>
    </row>
    <row r="2403" spans="1:6">
      <c r="A2403" s="5" t="str">
        <f t="shared" si="42"/>
        <v>202309</v>
      </c>
      <c r="B2403" s="5" t="str">
        <f>"23085020530"</f>
        <v>23085020530</v>
      </c>
      <c r="C2403" s="6">
        <v>0</v>
      </c>
      <c r="D2403" s="6">
        <v>0</v>
      </c>
      <c r="E2403" s="6">
        <v>0</v>
      </c>
      <c r="F2403" s="11" t="s">
        <v>7</v>
      </c>
    </row>
    <row r="2404" spans="1:6">
      <c r="A2404" s="5" t="str">
        <f t="shared" si="42"/>
        <v>202309</v>
      </c>
      <c r="B2404" s="5" t="str">
        <f>"23085016322"</f>
        <v>23085016322</v>
      </c>
      <c r="C2404" s="6">
        <v>0</v>
      </c>
      <c r="D2404" s="6">
        <v>0</v>
      </c>
      <c r="E2404" s="6">
        <v>0</v>
      </c>
      <c r="F2404" s="11" t="s">
        <v>7</v>
      </c>
    </row>
    <row r="2405" spans="1:6">
      <c r="A2405" s="5" t="str">
        <f t="shared" si="42"/>
        <v>202309</v>
      </c>
      <c r="B2405" s="5" t="str">
        <f>"23085021706"</f>
        <v>23085021706</v>
      </c>
      <c r="C2405" s="6">
        <v>0</v>
      </c>
      <c r="D2405" s="6">
        <v>0</v>
      </c>
      <c r="E2405" s="6">
        <v>0</v>
      </c>
      <c r="F2405" s="11" t="s">
        <v>7</v>
      </c>
    </row>
    <row r="2406" spans="1:6">
      <c r="A2406" s="5" t="str">
        <f t="shared" si="42"/>
        <v>202309</v>
      </c>
      <c r="B2406" s="5" t="str">
        <f>"23085016229"</f>
        <v>23085016229</v>
      </c>
      <c r="C2406" s="6">
        <v>0</v>
      </c>
      <c r="D2406" s="6">
        <v>0</v>
      </c>
      <c r="E2406" s="6">
        <v>0</v>
      </c>
      <c r="F2406" s="11" t="s">
        <v>7</v>
      </c>
    </row>
    <row r="2407" spans="1:6">
      <c r="A2407" s="5" t="str">
        <f t="shared" si="42"/>
        <v>202309</v>
      </c>
      <c r="B2407" s="5" t="str">
        <f>"23085020418"</f>
        <v>23085020418</v>
      </c>
      <c r="C2407" s="6">
        <v>0</v>
      </c>
      <c r="D2407" s="6">
        <v>0</v>
      </c>
      <c r="E2407" s="6">
        <v>0</v>
      </c>
      <c r="F2407" s="11" t="s">
        <v>7</v>
      </c>
    </row>
    <row r="2408" spans="1:6">
      <c r="A2408" s="5" t="str">
        <f t="shared" si="42"/>
        <v>202309</v>
      </c>
      <c r="B2408" s="5" t="str">
        <f>"23085020717"</f>
        <v>23085020717</v>
      </c>
      <c r="C2408" s="6">
        <v>0</v>
      </c>
      <c r="D2408" s="6">
        <v>0</v>
      </c>
      <c r="E2408" s="6">
        <v>0</v>
      </c>
      <c r="F2408" s="11" t="s">
        <v>7</v>
      </c>
    </row>
    <row r="2409" spans="1:6">
      <c r="A2409" s="5" t="str">
        <f t="shared" si="42"/>
        <v>202309</v>
      </c>
      <c r="B2409" s="5" t="str">
        <f>"23085020720"</f>
        <v>23085020720</v>
      </c>
      <c r="C2409" s="6">
        <v>0</v>
      </c>
      <c r="D2409" s="6">
        <v>0</v>
      </c>
      <c r="E2409" s="6">
        <v>0</v>
      </c>
      <c r="F2409" s="11" t="s">
        <v>7</v>
      </c>
    </row>
    <row r="2410" spans="1:6">
      <c r="A2410" s="5" t="str">
        <f t="shared" si="42"/>
        <v>202309</v>
      </c>
      <c r="B2410" s="5" t="str">
        <f>"23085016414"</f>
        <v>23085016414</v>
      </c>
      <c r="C2410" s="6">
        <v>0</v>
      </c>
      <c r="D2410" s="6">
        <v>0</v>
      </c>
      <c r="E2410" s="6">
        <v>0</v>
      </c>
      <c r="F2410" s="11" t="s">
        <v>7</v>
      </c>
    </row>
    <row r="2411" spans="1:6">
      <c r="A2411" s="5" t="str">
        <f t="shared" si="42"/>
        <v>202309</v>
      </c>
      <c r="B2411" s="5" t="str">
        <f>"23085020529"</f>
        <v>23085020529</v>
      </c>
      <c r="C2411" s="6">
        <v>0</v>
      </c>
      <c r="D2411" s="6">
        <v>0</v>
      </c>
      <c r="E2411" s="6">
        <v>0</v>
      </c>
      <c r="F2411" s="11" t="s">
        <v>7</v>
      </c>
    </row>
    <row r="2412" spans="1:6">
      <c r="A2412" s="5" t="str">
        <f t="shared" si="42"/>
        <v>202309</v>
      </c>
      <c r="B2412" s="5" t="str">
        <f>"23085021119"</f>
        <v>23085021119</v>
      </c>
      <c r="C2412" s="6">
        <v>0</v>
      </c>
      <c r="D2412" s="6">
        <v>0</v>
      </c>
      <c r="E2412" s="6">
        <v>0</v>
      </c>
      <c r="F2412" s="11" t="s">
        <v>7</v>
      </c>
    </row>
    <row r="2413" spans="1:6">
      <c r="A2413" s="5" t="str">
        <f t="shared" si="42"/>
        <v>202309</v>
      </c>
      <c r="B2413" s="5" t="str">
        <f>"23085016302"</f>
        <v>23085016302</v>
      </c>
      <c r="C2413" s="6">
        <v>0</v>
      </c>
      <c r="D2413" s="6">
        <v>0</v>
      </c>
      <c r="E2413" s="6">
        <v>0</v>
      </c>
      <c r="F2413" s="11" t="s">
        <v>7</v>
      </c>
    </row>
    <row r="2414" spans="1:6">
      <c r="A2414" s="5" t="str">
        <f t="shared" si="42"/>
        <v>202309</v>
      </c>
      <c r="B2414" s="5" t="str">
        <f>"23085021702"</f>
        <v>23085021702</v>
      </c>
      <c r="C2414" s="6">
        <v>0</v>
      </c>
      <c r="D2414" s="6">
        <v>0</v>
      </c>
      <c r="E2414" s="6">
        <v>0</v>
      </c>
      <c r="F2414" s="11" t="s">
        <v>7</v>
      </c>
    </row>
    <row r="2415" spans="1:6">
      <c r="A2415" s="5" t="str">
        <f t="shared" si="42"/>
        <v>202309</v>
      </c>
      <c r="B2415" s="5" t="str">
        <f>"23085021605"</f>
        <v>23085021605</v>
      </c>
      <c r="C2415" s="6">
        <v>0</v>
      </c>
      <c r="D2415" s="6">
        <v>0</v>
      </c>
      <c r="E2415" s="6">
        <v>0</v>
      </c>
      <c r="F2415" s="11" t="s">
        <v>7</v>
      </c>
    </row>
    <row r="2416" spans="1:6">
      <c r="A2416" s="5" t="str">
        <f t="shared" si="42"/>
        <v>202309</v>
      </c>
      <c r="B2416" s="5" t="str">
        <f>"23085020209"</f>
        <v>23085020209</v>
      </c>
      <c r="C2416" s="6">
        <v>0</v>
      </c>
      <c r="D2416" s="6">
        <v>0</v>
      </c>
      <c r="E2416" s="6">
        <v>0</v>
      </c>
      <c r="F2416" s="11" t="s">
        <v>7</v>
      </c>
    </row>
    <row r="2417" spans="1:6">
      <c r="A2417" s="5" t="str">
        <f t="shared" si="42"/>
        <v>202309</v>
      </c>
      <c r="B2417" s="5" t="str">
        <f>"23085021428"</f>
        <v>23085021428</v>
      </c>
      <c r="C2417" s="6">
        <v>0</v>
      </c>
      <c r="D2417" s="6">
        <v>0</v>
      </c>
      <c r="E2417" s="6">
        <v>0</v>
      </c>
      <c r="F2417" s="11" t="s">
        <v>7</v>
      </c>
    </row>
    <row r="2418" spans="1:6">
      <c r="A2418" s="5" t="str">
        <f t="shared" si="42"/>
        <v>202309</v>
      </c>
      <c r="B2418" s="5" t="str">
        <f>"23085020108"</f>
        <v>23085020108</v>
      </c>
      <c r="C2418" s="6">
        <v>0</v>
      </c>
      <c r="D2418" s="6">
        <v>0</v>
      </c>
      <c r="E2418" s="6">
        <v>0</v>
      </c>
      <c r="F2418" s="11" t="s">
        <v>7</v>
      </c>
    </row>
    <row r="2419" spans="1:6">
      <c r="A2419" s="5" t="str">
        <f t="shared" si="42"/>
        <v>202309</v>
      </c>
      <c r="B2419" s="5" t="str">
        <f>"23085021806"</f>
        <v>23085021806</v>
      </c>
      <c r="C2419" s="6">
        <v>0</v>
      </c>
      <c r="D2419" s="6">
        <v>0</v>
      </c>
      <c r="E2419" s="6">
        <v>0</v>
      </c>
      <c r="F2419" s="11" t="s">
        <v>7</v>
      </c>
    </row>
    <row r="2420" spans="1:6">
      <c r="A2420" s="5" t="str">
        <f t="shared" si="42"/>
        <v>202309</v>
      </c>
      <c r="B2420" s="5" t="str">
        <f>"23085021402"</f>
        <v>23085021402</v>
      </c>
      <c r="C2420" s="6">
        <v>0</v>
      </c>
      <c r="D2420" s="6">
        <v>0</v>
      </c>
      <c r="E2420" s="6">
        <v>0</v>
      </c>
      <c r="F2420" s="11" t="s">
        <v>7</v>
      </c>
    </row>
    <row r="2421" spans="1:6">
      <c r="A2421" s="5" t="str">
        <f t="shared" ref="A2421:A2484" si="43">"202309"</f>
        <v>202309</v>
      </c>
      <c r="B2421" s="5" t="str">
        <f>"23085020514"</f>
        <v>23085020514</v>
      </c>
      <c r="C2421" s="6">
        <v>0</v>
      </c>
      <c r="D2421" s="6">
        <v>0</v>
      </c>
      <c r="E2421" s="6">
        <v>0</v>
      </c>
      <c r="F2421" s="11" t="s">
        <v>7</v>
      </c>
    </row>
    <row r="2422" spans="1:6">
      <c r="A2422" s="5" t="str">
        <f t="shared" si="43"/>
        <v>202309</v>
      </c>
      <c r="B2422" s="5" t="str">
        <f>"23085020324"</f>
        <v>23085020324</v>
      </c>
      <c r="C2422" s="6">
        <v>0</v>
      </c>
      <c r="D2422" s="6">
        <v>0</v>
      </c>
      <c r="E2422" s="6">
        <v>0</v>
      </c>
      <c r="F2422" s="11" t="s">
        <v>7</v>
      </c>
    </row>
    <row r="2423" spans="1:6">
      <c r="A2423" s="5" t="str">
        <f t="shared" si="43"/>
        <v>202309</v>
      </c>
      <c r="B2423" s="5" t="str">
        <f>"23085020313"</f>
        <v>23085020313</v>
      </c>
      <c r="C2423" s="6">
        <v>0</v>
      </c>
      <c r="D2423" s="6">
        <v>0</v>
      </c>
      <c r="E2423" s="6">
        <v>0</v>
      </c>
      <c r="F2423" s="11" t="s">
        <v>7</v>
      </c>
    </row>
    <row r="2424" spans="1:6">
      <c r="A2424" s="5" t="str">
        <f t="shared" si="43"/>
        <v>202309</v>
      </c>
      <c r="B2424" s="5" t="str">
        <f>"23085016501"</f>
        <v>23085016501</v>
      </c>
      <c r="C2424" s="6">
        <v>0</v>
      </c>
      <c r="D2424" s="6">
        <v>0</v>
      </c>
      <c r="E2424" s="6">
        <v>0</v>
      </c>
      <c r="F2424" s="11" t="s">
        <v>7</v>
      </c>
    </row>
    <row r="2425" spans="1:6">
      <c r="A2425" s="5" t="str">
        <f t="shared" si="43"/>
        <v>202309</v>
      </c>
      <c r="B2425" s="5" t="str">
        <f>"23085020426"</f>
        <v>23085020426</v>
      </c>
      <c r="C2425" s="6">
        <v>0</v>
      </c>
      <c r="D2425" s="6">
        <v>0</v>
      </c>
      <c r="E2425" s="6">
        <v>0</v>
      </c>
      <c r="F2425" s="11" t="s">
        <v>7</v>
      </c>
    </row>
    <row r="2426" spans="1:6">
      <c r="A2426" s="5" t="str">
        <f t="shared" si="43"/>
        <v>202309</v>
      </c>
      <c r="B2426" s="5" t="str">
        <f>"23085021627"</f>
        <v>23085021627</v>
      </c>
      <c r="C2426" s="6">
        <v>0</v>
      </c>
      <c r="D2426" s="6">
        <v>0</v>
      </c>
      <c r="E2426" s="6">
        <v>0</v>
      </c>
      <c r="F2426" s="11" t="s">
        <v>7</v>
      </c>
    </row>
    <row r="2427" spans="1:6">
      <c r="A2427" s="5" t="str">
        <f t="shared" si="43"/>
        <v>202309</v>
      </c>
      <c r="B2427" s="5" t="str">
        <f>"23085020927"</f>
        <v>23085020927</v>
      </c>
      <c r="C2427" s="6">
        <v>0</v>
      </c>
      <c r="D2427" s="6">
        <v>0</v>
      </c>
      <c r="E2427" s="6">
        <v>0</v>
      </c>
      <c r="F2427" s="11" t="s">
        <v>7</v>
      </c>
    </row>
    <row r="2428" spans="1:6">
      <c r="A2428" s="5" t="str">
        <f t="shared" si="43"/>
        <v>202309</v>
      </c>
      <c r="B2428" s="5" t="str">
        <f>"23085021209"</f>
        <v>23085021209</v>
      </c>
      <c r="C2428" s="6">
        <v>0</v>
      </c>
      <c r="D2428" s="6">
        <v>0</v>
      </c>
      <c r="E2428" s="6">
        <v>0</v>
      </c>
      <c r="F2428" s="11" t="s">
        <v>7</v>
      </c>
    </row>
    <row r="2429" spans="1:6">
      <c r="A2429" s="5" t="str">
        <f t="shared" si="43"/>
        <v>202309</v>
      </c>
      <c r="B2429" s="5" t="str">
        <f>"23085021017"</f>
        <v>23085021017</v>
      </c>
      <c r="C2429" s="6">
        <v>0</v>
      </c>
      <c r="D2429" s="6">
        <v>0</v>
      </c>
      <c r="E2429" s="6">
        <v>0</v>
      </c>
      <c r="F2429" s="11" t="s">
        <v>7</v>
      </c>
    </row>
    <row r="2430" spans="1:6">
      <c r="A2430" s="5" t="str">
        <f t="shared" si="43"/>
        <v>202309</v>
      </c>
      <c r="B2430" s="5" t="str">
        <f>"23085016528"</f>
        <v>23085016528</v>
      </c>
      <c r="C2430" s="6">
        <v>0</v>
      </c>
      <c r="D2430" s="6">
        <v>0</v>
      </c>
      <c r="E2430" s="6">
        <v>0</v>
      </c>
      <c r="F2430" s="11" t="s">
        <v>7</v>
      </c>
    </row>
    <row r="2431" spans="1:6">
      <c r="A2431" s="5" t="str">
        <f t="shared" si="43"/>
        <v>202309</v>
      </c>
      <c r="B2431" s="5" t="str">
        <f>"23085021101"</f>
        <v>23085021101</v>
      </c>
      <c r="C2431" s="6">
        <v>0</v>
      </c>
      <c r="D2431" s="6">
        <v>0</v>
      </c>
      <c r="E2431" s="6">
        <v>0</v>
      </c>
      <c r="F2431" s="11" t="s">
        <v>7</v>
      </c>
    </row>
    <row r="2432" spans="1:6">
      <c r="A2432" s="5" t="str">
        <f t="shared" si="43"/>
        <v>202309</v>
      </c>
      <c r="B2432" s="5" t="str">
        <f>"23085016418"</f>
        <v>23085016418</v>
      </c>
      <c r="C2432" s="6">
        <v>0</v>
      </c>
      <c r="D2432" s="6">
        <v>0</v>
      </c>
      <c r="E2432" s="6">
        <v>0</v>
      </c>
      <c r="F2432" s="11" t="s">
        <v>7</v>
      </c>
    </row>
    <row r="2433" spans="1:6">
      <c r="A2433" s="5" t="str">
        <f t="shared" si="43"/>
        <v>202309</v>
      </c>
      <c r="B2433" s="5" t="str">
        <f>"23085016410"</f>
        <v>23085016410</v>
      </c>
      <c r="C2433" s="6">
        <v>0</v>
      </c>
      <c r="D2433" s="6">
        <v>0</v>
      </c>
      <c r="E2433" s="6">
        <v>0</v>
      </c>
      <c r="F2433" s="11" t="s">
        <v>7</v>
      </c>
    </row>
    <row r="2434" spans="1:6">
      <c r="A2434" s="5" t="str">
        <f t="shared" si="43"/>
        <v>202309</v>
      </c>
      <c r="B2434" s="5" t="str">
        <f>"23085016311"</f>
        <v>23085016311</v>
      </c>
      <c r="C2434" s="6">
        <v>0</v>
      </c>
      <c r="D2434" s="6">
        <v>0</v>
      </c>
      <c r="E2434" s="6">
        <v>0</v>
      </c>
      <c r="F2434" s="11" t="s">
        <v>7</v>
      </c>
    </row>
    <row r="2435" spans="1:6">
      <c r="A2435" s="5" t="str">
        <f t="shared" si="43"/>
        <v>202309</v>
      </c>
      <c r="B2435" s="5" t="str">
        <f>"23085020225"</f>
        <v>23085020225</v>
      </c>
      <c r="C2435" s="6">
        <v>0</v>
      </c>
      <c r="D2435" s="6">
        <v>0</v>
      </c>
      <c r="E2435" s="6">
        <v>0</v>
      </c>
      <c r="F2435" s="11" t="s">
        <v>7</v>
      </c>
    </row>
    <row r="2436" spans="1:6">
      <c r="A2436" s="5" t="str">
        <f t="shared" si="43"/>
        <v>202309</v>
      </c>
      <c r="B2436" s="5" t="str">
        <f>"23085021301"</f>
        <v>23085021301</v>
      </c>
      <c r="C2436" s="6">
        <v>0</v>
      </c>
      <c r="D2436" s="6">
        <v>0</v>
      </c>
      <c r="E2436" s="6">
        <v>0</v>
      </c>
      <c r="F2436" s="11" t="s">
        <v>7</v>
      </c>
    </row>
    <row r="2437" spans="1:6">
      <c r="A2437" s="5" t="str">
        <f t="shared" si="43"/>
        <v>202309</v>
      </c>
      <c r="B2437" s="5" t="str">
        <f>"23085020518"</f>
        <v>23085020518</v>
      </c>
      <c r="C2437" s="6">
        <v>0</v>
      </c>
      <c r="D2437" s="6">
        <v>0</v>
      </c>
      <c r="E2437" s="6">
        <v>0</v>
      </c>
      <c r="F2437" s="11" t="s">
        <v>7</v>
      </c>
    </row>
    <row r="2438" spans="1:6">
      <c r="A2438" s="5" t="str">
        <f t="shared" si="43"/>
        <v>202309</v>
      </c>
      <c r="B2438" s="5" t="str">
        <f>"23085020730"</f>
        <v>23085020730</v>
      </c>
      <c r="C2438" s="6">
        <v>0</v>
      </c>
      <c r="D2438" s="6">
        <v>0</v>
      </c>
      <c r="E2438" s="6">
        <v>0</v>
      </c>
      <c r="F2438" s="11" t="s">
        <v>7</v>
      </c>
    </row>
    <row r="2439" spans="1:6">
      <c r="A2439" s="5" t="str">
        <f t="shared" si="43"/>
        <v>202309</v>
      </c>
      <c r="B2439" s="5" t="str">
        <f>"23085020524"</f>
        <v>23085020524</v>
      </c>
      <c r="C2439" s="6">
        <v>0</v>
      </c>
      <c r="D2439" s="6">
        <v>0</v>
      </c>
      <c r="E2439" s="6">
        <v>0</v>
      </c>
      <c r="F2439" s="11" t="s">
        <v>7</v>
      </c>
    </row>
    <row r="2440" spans="1:6">
      <c r="A2440" s="5" t="str">
        <f t="shared" si="43"/>
        <v>202309</v>
      </c>
      <c r="B2440" s="5" t="str">
        <f>"23085016221"</f>
        <v>23085016221</v>
      </c>
      <c r="C2440" s="6">
        <v>0</v>
      </c>
      <c r="D2440" s="6">
        <v>0</v>
      </c>
      <c r="E2440" s="6">
        <v>0</v>
      </c>
      <c r="F2440" s="11" t="s">
        <v>7</v>
      </c>
    </row>
    <row r="2441" spans="1:6">
      <c r="A2441" s="5" t="str">
        <f t="shared" si="43"/>
        <v>202309</v>
      </c>
      <c r="B2441" s="5" t="str">
        <f>"23085020412"</f>
        <v>23085020412</v>
      </c>
      <c r="C2441" s="6">
        <v>0</v>
      </c>
      <c r="D2441" s="6">
        <v>0</v>
      </c>
      <c r="E2441" s="6">
        <v>0</v>
      </c>
      <c r="F2441" s="11" t="s">
        <v>7</v>
      </c>
    </row>
    <row r="2442" spans="1:6">
      <c r="A2442" s="5" t="str">
        <f t="shared" si="43"/>
        <v>202309</v>
      </c>
      <c r="B2442" s="5" t="str">
        <f>"23085021204"</f>
        <v>23085021204</v>
      </c>
      <c r="C2442" s="6">
        <v>0</v>
      </c>
      <c r="D2442" s="6">
        <v>0</v>
      </c>
      <c r="E2442" s="6">
        <v>0</v>
      </c>
      <c r="F2442" s="11" t="s">
        <v>7</v>
      </c>
    </row>
    <row r="2443" spans="1:6">
      <c r="A2443" s="5" t="str">
        <f t="shared" si="43"/>
        <v>202309</v>
      </c>
      <c r="B2443" s="5" t="str">
        <f>"23085016301"</f>
        <v>23085016301</v>
      </c>
      <c r="C2443" s="6">
        <v>0</v>
      </c>
      <c r="D2443" s="6">
        <v>0</v>
      </c>
      <c r="E2443" s="6">
        <v>0</v>
      </c>
      <c r="F2443" s="11" t="s">
        <v>7</v>
      </c>
    </row>
    <row r="2444" spans="1:6">
      <c r="A2444" s="5" t="str">
        <f t="shared" si="43"/>
        <v>202309</v>
      </c>
      <c r="B2444" s="5" t="str">
        <f>"23085021405"</f>
        <v>23085021405</v>
      </c>
      <c r="C2444" s="6">
        <v>0</v>
      </c>
      <c r="D2444" s="6">
        <v>0</v>
      </c>
      <c r="E2444" s="6">
        <v>0</v>
      </c>
      <c r="F2444" s="11" t="s">
        <v>7</v>
      </c>
    </row>
    <row r="2445" spans="1:6">
      <c r="A2445" s="5" t="str">
        <f t="shared" si="43"/>
        <v>202309</v>
      </c>
      <c r="B2445" s="5" t="str">
        <f>"23085020502"</f>
        <v>23085020502</v>
      </c>
      <c r="C2445" s="6">
        <v>0</v>
      </c>
      <c r="D2445" s="6">
        <v>0</v>
      </c>
      <c r="E2445" s="6">
        <v>0</v>
      </c>
      <c r="F2445" s="11" t="s">
        <v>7</v>
      </c>
    </row>
    <row r="2446" spans="1:6">
      <c r="A2446" s="5" t="str">
        <f t="shared" si="43"/>
        <v>202309</v>
      </c>
      <c r="B2446" s="5" t="str">
        <f>"23085021409"</f>
        <v>23085021409</v>
      </c>
      <c r="C2446" s="6">
        <v>0</v>
      </c>
      <c r="D2446" s="6">
        <v>0</v>
      </c>
      <c r="E2446" s="6">
        <v>0</v>
      </c>
      <c r="F2446" s="11" t="s">
        <v>7</v>
      </c>
    </row>
    <row r="2447" spans="1:6">
      <c r="A2447" s="5" t="str">
        <f t="shared" si="43"/>
        <v>202309</v>
      </c>
      <c r="B2447" s="5" t="str">
        <f>"23085016309"</f>
        <v>23085016309</v>
      </c>
      <c r="C2447" s="6">
        <v>0</v>
      </c>
      <c r="D2447" s="6">
        <v>0</v>
      </c>
      <c r="E2447" s="6">
        <v>0</v>
      </c>
      <c r="F2447" s="11" t="s">
        <v>7</v>
      </c>
    </row>
    <row r="2448" spans="1:6">
      <c r="A2448" s="5" t="str">
        <f t="shared" si="43"/>
        <v>202309</v>
      </c>
      <c r="B2448" s="5" t="str">
        <f>"23085020230"</f>
        <v>23085020230</v>
      </c>
      <c r="C2448" s="6">
        <v>0</v>
      </c>
      <c r="D2448" s="6">
        <v>0</v>
      </c>
      <c r="E2448" s="6">
        <v>0</v>
      </c>
      <c r="F2448" s="11" t="s">
        <v>7</v>
      </c>
    </row>
    <row r="2449" spans="1:6">
      <c r="A2449" s="5" t="str">
        <f t="shared" si="43"/>
        <v>202309</v>
      </c>
      <c r="B2449" s="5" t="str">
        <f>"23085021530"</f>
        <v>23085021530</v>
      </c>
      <c r="C2449" s="6">
        <v>0</v>
      </c>
      <c r="D2449" s="6">
        <v>0</v>
      </c>
      <c r="E2449" s="6">
        <v>0</v>
      </c>
      <c r="F2449" s="11" t="s">
        <v>7</v>
      </c>
    </row>
    <row r="2450" spans="1:6">
      <c r="A2450" s="5" t="str">
        <f t="shared" si="43"/>
        <v>202309</v>
      </c>
      <c r="B2450" s="5" t="str">
        <f>"23085021719"</f>
        <v>23085021719</v>
      </c>
      <c r="C2450" s="6">
        <v>0</v>
      </c>
      <c r="D2450" s="6">
        <v>0</v>
      </c>
      <c r="E2450" s="6">
        <v>0</v>
      </c>
      <c r="F2450" s="11" t="s">
        <v>7</v>
      </c>
    </row>
    <row r="2451" spans="1:6">
      <c r="A2451" s="5" t="str">
        <f t="shared" si="43"/>
        <v>202309</v>
      </c>
      <c r="B2451" s="5" t="str">
        <f>"23085021415"</f>
        <v>23085021415</v>
      </c>
      <c r="C2451" s="6">
        <v>0</v>
      </c>
      <c r="D2451" s="6">
        <v>0</v>
      </c>
      <c r="E2451" s="6">
        <v>0</v>
      </c>
      <c r="F2451" s="11" t="s">
        <v>7</v>
      </c>
    </row>
    <row r="2452" spans="1:6">
      <c r="A2452" s="5" t="str">
        <f t="shared" si="43"/>
        <v>202309</v>
      </c>
      <c r="B2452" s="5" t="str">
        <f>"23085020129"</f>
        <v>23085020129</v>
      </c>
      <c r="C2452" s="6">
        <v>0</v>
      </c>
      <c r="D2452" s="6">
        <v>0</v>
      </c>
      <c r="E2452" s="6">
        <v>0</v>
      </c>
      <c r="F2452" s="11" t="s">
        <v>7</v>
      </c>
    </row>
    <row r="2453" spans="1:6">
      <c r="A2453" s="5" t="str">
        <f t="shared" si="43"/>
        <v>202309</v>
      </c>
      <c r="B2453" s="5" t="str">
        <f>"23085021227"</f>
        <v>23085021227</v>
      </c>
      <c r="C2453" s="6">
        <v>0</v>
      </c>
      <c r="D2453" s="6">
        <v>0</v>
      </c>
      <c r="E2453" s="6">
        <v>0</v>
      </c>
      <c r="F2453" s="11" t="s">
        <v>7</v>
      </c>
    </row>
    <row r="2454" spans="1:6">
      <c r="A2454" s="5" t="str">
        <f t="shared" si="43"/>
        <v>202309</v>
      </c>
      <c r="B2454" s="5" t="str">
        <f>"23085020624"</f>
        <v>23085020624</v>
      </c>
      <c r="C2454" s="6">
        <v>0</v>
      </c>
      <c r="D2454" s="6">
        <v>0</v>
      </c>
      <c r="E2454" s="6">
        <v>0</v>
      </c>
      <c r="F2454" s="11" t="s">
        <v>7</v>
      </c>
    </row>
    <row r="2455" spans="1:6">
      <c r="A2455" s="5" t="str">
        <f t="shared" si="43"/>
        <v>202309</v>
      </c>
      <c r="B2455" s="5" t="str">
        <f>"23085016303"</f>
        <v>23085016303</v>
      </c>
      <c r="C2455" s="6">
        <v>0</v>
      </c>
      <c r="D2455" s="6">
        <v>0</v>
      </c>
      <c r="E2455" s="6">
        <v>0</v>
      </c>
      <c r="F2455" s="11" t="s">
        <v>7</v>
      </c>
    </row>
    <row r="2456" spans="1:6">
      <c r="A2456" s="5" t="str">
        <f t="shared" si="43"/>
        <v>202309</v>
      </c>
      <c r="B2456" s="5" t="str">
        <f>"23085016401"</f>
        <v>23085016401</v>
      </c>
      <c r="C2456" s="6">
        <v>0</v>
      </c>
      <c r="D2456" s="6">
        <v>0</v>
      </c>
      <c r="E2456" s="6">
        <v>0</v>
      </c>
      <c r="F2456" s="11" t="s">
        <v>7</v>
      </c>
    </row>
    <row r="2457" spans="1:6">
      <c r="A2457" s="5" t="str">
        <f t="shared" si="43"/>
        <v>202309</v>
      </c>
      <c r="B2457" s="5" t="str">
        <f>"23085020407"</f>
        <v>23085020407</v>
      </c>
      <c r="C2457" s="6">
        <v>0</v>
      </c>
      <c r="D2457" s="6">
        <v>0</v>
      </c>
      <c r="E2457" s="6">
        <v>0</v>
      </c>
      <c r="F2457" s="11" t="s">
        <v>7</v>
      </c>
    </row>
    <row r="2458" spans="1:6">
      <c r="A2458" s="5" t="str">
        <f t="shared" si="43"/>
        <v>202309</v>
      </c>
      <c r="B2458" s="5" t="str">
        <f>"23085020329"</f>
        <v>23085020329</v>
      </c>
      <c r="C2458" s="6">
        <v>0</v>
      </c>
      <c r="D2458" s="6">
        <v>0</v>
      </c>
      <c r="E2458" s="6">
        <v>0</v>
      </c>
      <c r="F2458" s="11" t="s">
        <v>7</v>
      </c>
    </row>
    <row r="2459" spans="1:6">
      <c r="A2459" s="5" t="str">
        <f t="shared" si="43"/>
        <v>202309</v>
      </c>
      <c r="B2459" s="5" t="str">
        <f>"23085016502"</f>
        <v>23085016502</v>
      </c>
      <c r="C2459" s="6">
        <v>0</v>
      </c>
      <c r="D2459" s="6">
        <v>0</v>
      </c>
      <c r="E2459" s="6">
        <v>0</v>
      </c>
      <c r="F2459" s="11" t="s">
        <v>7</v>
      </c>
    </row>
    <row r="2460" spans="1:6">
      <c r="A2460" s="5" t="str">
        <f t="shared" si="43"/>
        <v>202309</v>
      </c>
      <c r="B2460" s="5" t="str">
        <f>"23085016409"</f>
        <v>23085016409</v>
      </c>
      <c r="C2460" s="6">
        <v>0</v>
      </c>
      <c r="D2460" s="6">
        <v>0</v>
      </c>
      <c r="E2460" s="6">
        <v>0</v>
      </c>
      <c r="F2460" s="11" t="s">
        <v>7</v>
      </c>
    </row>
    <row r="2461" spans="1:6">
      <c r="A2461" s="5" t="str">
        <f t="shared" si="43"/>
        <v>202309</v>
      </c>
      <c r="B2461" s="5" t="str">
        <f>"23085020208"</f>
        <v>23085020208</v>
      </c>
      <c r="C2461" s="6">
        <v>0</v>
      </c>
      <c r="D2461" s="6">
        <v>0</v>
      </c>
      <c r="E2461" s="6">
        <v>0</v>
      </c>
      <c r="F2461" s="11" t="s">
        <v>7</v>
      </c>
    </row>
    <row r="2462" spans="1:6">
      <c r="A2462" s="5" t="str">
        <f t="shared" si="43"/>
        <v>202309</v>
      </c>
      <c r="B2462" s="5" t="str">
        <f>"23085016315"</f>
        <v>23085016315</v>
      </c>
      <c r="C2462" s="6">
        <v>0</v>
      </c>
      <c r="D2462" s="6">
        <v>0</v>
      </c>
      <c r="E2462" s="6">
        <v>0</v>
      </c>
      <c r="F2462" s="11" t="s">
        <v>7</v>
      </c>
    </row>
    <row r="2463" spans="1:6">
      <c r="A2463" s="5" t="str">
        <f t="shared" si="43"/>
        <v>202309</v>
      </c>
      <c r="B2463" s="5" t="str">
        <f>"23085020609"</f>
        <v>23085020609</v>
      </c>
      <c r="C2463" s="6">
        <v>0</v>
      </c>
      <c r="D2463" s="6">
        <v>0</v>
      </c>
      <c r="E2463" s="6">
        <v>0</v>
      </c>
      <c r="F2463" s="11" t="s">
        <v>7</v>
      </c>
    </row>
    <row r="2464" spans="1:6">
      <c r="A2464" s="5" t="str">
        <f t="shared" si="43"/>
        <v>202309</v>
      </c>
      <c r="B2464" s="5" t="str">
        <f>"23085021107"</f>
        <v>23085021107</v>
      </c>
      <c r="C2464" s="6">
        <v>0</v>
      </c>
      <c r="D2464" s="6">
        <v>0</v>
      </c>
      <c r="E2464" s="6">
        <v>0</v>
      </c>
      <c r="F2464" s="11" t="s">
        <v>7</v>
      </c>
    </row>
    <row r="2465" spans="1:6">
      <c r="A2465" s="5" t="str">
        <f t="shared" si="43"/>
        <v>202309</v>
      </c>
      <c r="B2465" s="5" t="str">
        <f>"23085021725"</f>
        <v>23085021725</v>
      </c>
      <c r="C2465" s="6">
        <v>0</v>
      </c>
      <c r="D2465" s="6">
        <v>0</v>
      </c>
      <c r="E2465" s="6">
        <v>0</v>
      </c>
      <c r="F2465" s="11" t="s">
        <v>7</v>
      </c>
    </row>
    <row r="2466" spans="1:6">
      <c r="A2466" s="5" t="str">
        <f t="shared" si="43"/>
        <v>202309</v>
      </c>
      <c r="B2466" s="5" t="str">
        <f>"23085020603"</f>
        <v>23085020603</v>
      </c>
      <c r="C2466" s="6">
        <v>0</v>
      </c>
      <c r="D2466" s="6">
        <v>0</v>
      </c>
      <c r="E2466" s="6">
        <v>0</v>
      </c>
      <c r="F2466" s="11" t="s">
        <v>7</v>
      </c>
    </row>
    <row r="2467" spans="1:6">
      <c r="A2467" s="5" t="str">
        <f t="shared" si="43"/>
        <v>202309</v>
      </c>
      <c r="B2467" s="5" t="str">
        <f>"23085021713"</f>
        <v>23085021713</v>
      </c>
      <c r="C2467" s="6">
        <v>0</v>
      </c>
      <c r="D2467" s="6">
        <v>0</v>
      </c>
      <c r="E2467" s="6">
        <v>0</v>
      </c>
      <c r="F2467" s="11" t="s">
        <v>7</v>
      </c>
    </row>
    <row r="2468" spans="1:6">
      <c r="A2468" s="5" t="str">
        <f t="shared" si="43"/>
        <v>202309</v>
      </c>
      <c r="B2468" s="5" t="str">
        <f>"23085016525"</f>
        <v>23085016525</v>
      </c>
      <c r="C2468" s="6">
        <v>0</v>
      </c>
      <c r="D2468" s="6">
        <v>0</v>
      </c>
      <c r="E2468" s="6">
        <v>0</v>
      </c>
      <c r="F2468" s="11" t="s">
        <v>7</v>
      </c>
    </row>
    <row r="2469" spans="1:6">
      <c r="A2469" s="5" t="str">
        <f t="shared" si="43"/>
        <v>202309</v>
      </c>
      <c r="B2469" s="5" t="str">
        <f>"23085020910"</f>
        <v>23085020910</v>
      </c>
      <c r="C2469" s="6">
        <v>0</v>
      </c>
      <c r="D2469" s="6">
        <v>0</v>
      </c>
      <c r="E2469" s="6">
        <v>0</v>
      </c>
      <c r="F2469" s="11" t="s">
        <v>7</v>
      </c>
    </row>
    <row r="2470" spans="1:6">
      <c r="A2470" s="5" t="str">
        <f t="shared" si="43"/>
        <v>202309</v>
      </c>
      <c r="B2470" s="5" t="str">
        <f>"23085016517"</f>
        <v>23085016517</v>
      </c>
      <c r="C2470" s="6">
        <v>0</v>
      </c>
      <c r="D2470" s="6">
        <v>0</v>
      </c>
      <c r="E2470" s="6">
        <v>0</v>
      </c>
      <c r="F2470" s="11" t="s">
        <v>7</v>
      </c>
    </row>
    <row r="2471" spans="1:6">
      <c r="A2471" s="5" t="str">
        <f t="shared" si="43"/>
        <v>202309</v>
      </c>
      <c r="B2471" s="5" t="str">
        <f>"23085020501"</f>
        <v>23085020501</v>
      </c>
      <c r="C2471" s="6">
        <v>0</v>
      </c>
      <c r="D2471" s="6">
        <v>0</v>
      </c>
      <c r="E2471" s="6">
        <v>0</v>
      </c>
      <c r="F2471" s="11" t="s">
        <v>7</v>
      </c>
    </row>
    <row r="2472" spans="1:6">
      <c r="A2472" s="5" t="str">
        <f t="shared" si="43"/>
        <v>202309</v>
      </c>
      <c r="B2472" s="5" t="str">
        <f>"23085016305"</f>
        <v>23085016305</v>
      </c>
      <c r="C2472" s="6">
        <v>0</v>
      </c>
      <c r="D2472" s="6">
        <v>0</v>
      </c>
      <c r="E2472" s="6">
        <v>0</v>
      </c>
      <c r="F2472" s="11" t="s">
        <v>7</v>
      </c>
    </row>
    <row r="2473" spans="1:6">
      <c r="A2473" s="5" t="str">
        <f t="shared" si="43"/>
        <v>202309</v>
      </c>
      <c r="B2473" s="5" t="str">
        <f>"23085020711"</f>
        <v>23085020711</v>
      </c>
      <c r="C2473" s="6">
        <v>0</v>
      </c>
      <c r="D2473" s="6">
        <v>0</v>
      </c>
      <c r="E2473" s="6">
        <v>0</v>
      </c>
      <c r="F2473" s="11" t="s">
        <v>7</v>
      </c>
    </row>
    <row r="2474" spans="1:6">
      <c r="A2474" s="5" t="str">
        <f t="shared" si="43"/>
        <v>202309</v>
      </c>
      <c r="B2474" s="5" t="str">
        <f>"23085020701"</f>
        <v>23085020701</v>
      </c>
      <c r="C2474" s="6">
        <v>0</v>
      </c>
      <c r="D2474" s="6">
        <v>0</v>
      </c>
      <c r="E2474" s="6">
        <v>0</v>
      </c>
      <c r="F2474" s="11" t="s">
        <v>7</v>
      </c>
    </row>
    <row r="2475" spans="1:6">
      <c r="A2475" s="5" t="str">
        <f t="shared" si="43"/>
        <v>202309</v>
      </c>
      <c r="B2475" s="5" t="str">
        <f>"23085021324"</f>
        <v>23085021324</v>
      </c>
      <c r="C2475" s="6">
        <v>0</v>
      </c>
      <c r="D2475" s="6">
        <v>0</v>
      </c>
      <c r="E2475" s="6">
        <v>0</v>
      </c>
      <c r="F2475" s="11" t="s">
        <v>7</v>
      </c>
    </row>
    <row r="2476" spans="1:6">
      <c r="A2476" s="5" t="str">
        <f t="shared" si="43"/>
        <v>202309</v>
      </c>
      <c r="B2476" s="5" t="str">
        <f>"23085020402"</f>
        <v>23085020402</v>
      </c>
      <c r="C2476" s="6">
        <v>0</v>
      </c>
      <c r="D2476" s="6">
        <v>0</v>
      </c>
      <c r="E2476" s="6">
        <v>0</v>
      </c>
      <c r="F2476" s="11" t="s">
        <v>7</v>
      </c>
    </row>
    <row r="2477" spans="1:6">
      <c r="A2477" s="5" t="str">
        <f t="shared" si="43"/>
        <v>202309</v>
      </c>
      <c r="B2477" s="5" t="str">
        <f>"23085020930"</f>
        <v>23085020930</v>
      </c>
      <c r="C2477" s="6">
        <v>0</v>
      </c>
      <c r="D2477" s="6">
        <v>0</v>
      </c>
      <c r="E2477" s="6">
        <v>0</v>
      </c>
      <c r="F2477" s="11" t="s">
        <v>7</v>
      </c>
    </row>
    <row r="2478" spans="1:6">
      <c r="A2478" s="5" t="str">
        <f t="shared" si="43"/>
        <v>202309</v>
      </c>
      <c r="B2478" s="5" t="str">
        <f>"23085020827"</f>
        <v>23085020827</v>
      </c>
      <c r="C2478" s="6">
        <v>0</v>
      </c>
      <c r="D2478" s="6">
        <v>0</v>
      </c>
      <c r="E2478" s="6">
        <v>0</v>
      </c>
      <c r="F2478" s="11" t="s">
        <v>7</v>
      </c>
    </row>
    <row r="2479" spans="1:6">
      <c r="A2479" s="5" t="str">
        <f t="shared" si="43"/>
        <v>202309</v>
      </c>
      <c r="B2479" s="5" t="str">
        <f>"23085016227"</f>
        <v>23085016227</v>
      </c>
      <c r="C2479" s="6">
        <v>0</v>
      </c>
      <c r="D2479" s="6">
        <v>0</v>
      </c>
      <c r="E2479" s="6">
        <v>0</v>
      </c>
      <c r="F2479" s="11" t="s">
        <v>7</v>
      </c>
    </row>
    <row r="2480" spans="1:6">
      <c r="A2480" s="5" t="str">
        <f t="shared" si="43"/>
        <v>202309</v>
      </c>
      <c r="B2480" s="5" t="str">
        <f>"23085020417"</f>
        <v>23085020417</v>
      </c>
      <c r="C2480" s="6">
        <v>0</v>
      </c>
      <c r="D2480" s="6">
        <v>0</v>
      </c>
      <c r="E2480" s="6">
        <v>0</v>
      </c>
      <c r="F2480" s="11" t="s">
        <v>7</v>
      </c>
    </row>
    <row r="2481" spans="1:6">
      <c r="A2481" s="5" t="str">
        <f t="shared" si="43"/>
        <v>202309</v>
      </c>
      <c r="B2481" s="5" t="str">
        <f>"23085020615"</f>
        <v>23085020615</v>
      </c>
      <c r="C2481" s="6">
        <v>0</v>
      </c>
      <c r="D2481" s="6">
        <v>0</v>
      </c>
      <c r="E2481" s="6">
        <v>0</v>
      </c>
      <c r="F2481" s="11" t="s">
        <v>7</v>
      </c>
    </row>
    <row r="2482" spans="1:6">
      <c r="A2482" s="5" t="str">
        <f t="shared" si="43"/>
        <v>202309</v>
      </c>
      <c r="B2482" s="5" t="str">
        <f>"23085016512"</f>
        <v>23085016512</v>
      </c>
      <c r="C2482" s="6">
        <v>0</v>
      </c>
      <c r="D2482" s="6">
        <v>0</v>
      </c>
      <c r="E2482" s="6">
        <v>0</v>
      </c>
      <c r="F2482" s="11" t="s">
        <v>7</v>
      </c>
    </row>
    <row r="2483" spans="1:6">
      <c r="A2483" s="5" t="str">
        <f t="shared" si="43"/>
        <v>202309</v>
      </c>
      <c r="B2483" s="5" t="str">
        <f>"23085021220"</f>
        <v>23085021220</v>
      </c>
      <c r="C2483" s="6">
        <v>0</v>
      </c>
      <c r="D2483" s="6">
        <v>0</v>
      </c>
      <c r="E2483" s="6">
        <v>0</v>
      </c>
      <c r="F2483" s="11" t="s">
        <v>7</v>
      </c>
    </row>
    <row r="2484" spans="1:6">
      <c r="A2484" s="5" t="str">
        <f t="shared" si="43"/>
        <v>202309</v>
      </c>
      <c r="B2484" s="5" t="str">
        <f>"23085021728"</f>
        <v>23085021728</v>
      </c>
      <c r="C2484" s="6">
        <v>0</v>
      </c>
      <c r="D2484" s="6">
        <v>0</v>
      </c>
      <c r="E2484" s="6">
        <v>0</v>
      </c>
      <c r="F2484" s="11" t="s">
        <v>7</v>
      </c>
    </row>
    <row r="2485" spans="1:6">
      <c r="A2485" s="5" t="str">
        <f t="shared" ref="A2485:A2487" si="44">"202309"</f>
        <v>202309</v>
      </c>
      <c r="B2485" s="5" t="str">
        <f>"23085021202"</f>
        <v>23085021202</v>
      </c>
      <c r="C2485" s="6">
        <v>0</v>
      </c>
      <c r="D2485" s="6">
        <v>0</v>
      </c>
      <c r="E2485" s="6">
        <v>0</v>
      </c>
      <c r="F2485" s="11" t="s">
        <v>7</v>
      </c>
    </row>
    <row r="2486" spans="1:6">
      <c r="A2486" s="5" t="str">
        <f t="shared" si="44"/>
        <v>202309</v>
      </c>
      <c r="B2486" s="5" t="str">
        <f>"23085021817"</f>
        <v>23085021817</v>
      </c>
      <c r="C2486" s="6">
        <v>0</v>
      </c>
      <c r="D2486" s="6">
        <v>0</v>
      </c>
      <c r="E2486" s="6">
        <v>0</v>
      </c>
      <c r="F2486" s="11" t="s">
        <v>7</v>
      </c>
    </row>
    <row r="2487" spans="1:6">
      <c r="A2487" s="5" t="str">
        <f t="shared" si="44"/>
        <v>202309</v>
      </c>
      <c r="B2487" s="5" t="str">
        <f>"23085016304"</f>
        <v>23085016304</v>
      </c>
      <c r="C2487" s="6">
        <v>0</v>
      </c>
      <c r="D2487" s="6">
        <v>0</v>
      </c>
      <c r="E2487" s="6">
        <v>0</v>
      </c>
      <c r="F2487" s="11" t="s">
        <v>7</v>
      </c>
    </row>
    <row r="2488" spans="1:6">
      <c r="A2488" s="5" t="str">
        <f t="shared" ref="A2488:A2551" si="45">"202310"</f>
        <v>202310</v>
      </c>
      <c r="B2488" s="5" t="str">
        <f>"23085022710"</f>
        <v>23085022710</v>
      </c>
      <c r="C2488" s="6">
        <v>132</v>
      </c>
      <c r="D2488" s="6">
        <v>117</v>
      </c>
      <c r="E2488" s="6">
        <v>249</v>
      </c>
      <c r="F2488" s="11"/>
    </row>
    <row r="2489" spans="1:6">
      <c r="A2489" s="5" t="str">
        <f t="shared" si="45"/>
        <v>202310</v>
      </c>
      <c r="B2489" s="5" t="str">
        <f>"23085022610"</f>
        <v>23085022610</v>
      </c>
      <c r="C2489" s="6">
        <v>126</v>
      </c>
      <c r="D2489" s="6">
        <v>119.5</v>
      </c>
      <c r="E2489" s="6">
        <v>245.5</v>
      </c>
      <c r="F2489" s="11"/>
    </row>
    <row r="2490" spans="1:6">
      <c r="A2490" s="5" t="str">
        <f t="shared" si="45"/>
        <v>202310</v>
      </c>
      <c r="B2490" s="5" t="str">
        <f>"23085022713"</f>
        <v>23085022713</v>
      </c>
      <c r="C2490" s="6">
        <v>121.5</v>
      </c>
      <c r="D2490" s="6">
        <v>122.5</v>
      </c>
      <c r="E2490" s="6">
        <v>244</v>
      </c>
      <c r="F2490" s="11"/>
    </row>
    <row r="2491" spans="1:6">
      <c r="A2491" s="5" t="str">
        <f t="shared" si="45"/>
        <v>202310</v>
      </c>
      <c r="B2491" s="5" t="str">
        <f>"23085023612"</f>
        <v>23085023612</v>
      </c>
      <c r="C2491" s="6">
        <v>121.5</v>
      </c>
      <c r="D2491" s="6">
        <v>121.5</v>
      </c>
      <c r="E2491" s="6">
        <v>243</v>
      </c>
      <c r="F2491" s="11"/>
    </row>
    <row r="2492" spans="1:6">
      <c r="A2492" s="5" t="str">
        <f t="shared" si="45"/>
        <v>202310</v>
      </c>
      <c r="B2492" s="5" t="str">
        <f>"23085022706"</f>
        <v>23085022706</v>
      </c>
      <c r="C2492" s="6">
        <v>124.5</v>
      </c>
      <c r="D2492" s="6">
        <v>118.5</v>
      </c>
      <c r="E2492" s="6">
        <v>243</v>
      </c>
      <c r="F2492" s="11"/>
    </row>
    <row r="2493" spans="1:6">
      <c r="A2493" s="5" t="str">
        <f t="shared" si="45"/>
        <v>202310</v>
      </c>
      <c r="B2493" s="5" t="str">
        <f>"23085022208"</f>
        <v>23085022208</v>
      </c>
      <c r="C2493" s="6">
        <v>120</v>
      </c>
      <c r="D2493" s="6">
        <v>120.5</v>
      </c>
      <c r="E2493" s="6">
        <v>240.5</v>
      </c>
      <c r="F2493" s="11"/>
    </row>
    <row r="2494" spans="1:6">
      <c r="A2494" s="5" t="str">
        <f t="shared" si="45"/>
        <v>202310</v>
      </c>
      <c r="B2494" s="5" t="str">
        <f>"23085023113"</f>
        <v>23085023113</v>
      </c>
      <c r="C2494" s="6">
        <v>120</v>
      </c>
      <c r="D2494" s="6">
        <v>119.5</v>
      </c>
      <c r="E2494" s="6">
        <v>239.5</v>
      </c>
      <c r="F2494" s="11"/>
    </row>
    <row r="2495" spans="1:6">
      <c r="A2495" s="5" t="str">
        <f t="shared" si="45"/>
        <v>202310</v>
      </c>
      <c r="B2495" s="5" t="str">
        <f>"23085022916"</f>
        <v>23085022916</v>
      </c>
      <c r="C2495" s="6">
        <v>121.5</v>
      </c>
      <c r="D2495" s="6">
        <v>117.5</v>
      </c>
      <c r="E2495" s="6">
        <v>239</v>
      </c>
      <c r="F2495" s="11"/>
    </row>
    <row r="2496" spans="1:6">
      <c r="A2496" s="5" t="str">
        <f t="shared" si="45"/>
        <v>202310</v>
      </c>
      <c r="B2496" s="5" t="str">
        <f>"23085022608"</f>
        <v>23085022608</v>
      </c>
      <c r="C2496" s="6">
        <v>118.5</v>
      </c>
      <c r="D2496" s="6">
        <v>119</v>
      </c>
      <c r="E2496" s="6">
        <v>237.5</v>
      </c>
      <c r="F2496" s="11"/>
    </row>
    <row r="2497" spans="1:6">
      <c r="A2497" s="5" t="str">
        <f t="shared" si="45"/>
        <v>202310</v>
      </c>
      <c r="B2497" s="5" t="str">
        <f>"23085022311"</f>
        <v>23085022311</v>
      </c>
      <c r="C2497" s="6">
        <v>123</v>
      </c>
      <c r="D2497" s="6">
        <v>114</v>
      </c>
      <c r="E2497" s="6">
        <v>237</v>
      </c>
      <c r="F2497" s="11"/>
    </row>
    <row r="2498" spans="1:6">
      <c r="A2498" s="5" t="str">
        <f t="shared" si="45"/>
        <v>202310</v>
      </c>
      <c r="B2498" s="5" t="str">
        <f>"23085022809"</f>
        <v>23085022809</v>
      </c>
      <c r="C2498" s="6">
        <v>120</v>
      </c>
      <c r="D2498" s="6">
        <v>117</v>
      </c>
      <c r="E2498" s="6">
        <v>237</v>
      </c>
      <c r="F2498" s="11"/>
    </row>
    <row r="2499" spans="1:6">
      <c r="A2499" s="5" t="str">
        <f t="shared" si="45"/>
        <v>202310</v>
      </c>
      <c r="B2499" s="5" t="str">
        <f>"23085022013"</f>
        <v>23085022013</v>
      </c>
      <c r="C2499" s="6">
        <v>120</v>
      </c>
      <c r="D2499" s="6">
        <v>116</v>
      </c>
      <c r="E2499" s="6">
        <v>236</v>
      </c>
      <c r="F2499" s="11"/>
    </row>
    <row r="2500" spans="1:6">
      <c r="A2500" s="5" t="str">
        <f t="shared" si="45"/>
        <v>202310</v>
      </c>
      <c r="B2500" s="5" t="str">
        <f>"23085022015"</f>
        <v>23085022015</v>
      </c>
      <c r="C2500" s="6">
        <v>120</v>
      </c>
      <c r="D2500" s="6">
        <v>115.5</v>
      </c>
      <c r="E2500" s="6">
        <v>235.5</v>
      </c>
      <c r="F2500" s="11"/>
    </row>
    <row r="2501" spans="1:6">
      <c r="A2501" s="5" t="str">
        <f t="shared" si="45"/>
        <v>202310</v>
      </c>
      <c r="B2501" s="5" t="str">
        <f>"23085023307"</f>
        <v>23085023307</v>
      </c>
      <c r="C2501" s="6">
        <v>117</v>
      </c>
      <c r="D2501" s="6">
        <v>118.5</v>
      </c>
      <c r="E2501" s="6">
        <v>235.5</v>
      </c>
      <c r="F2501" s="11"/>
    </row>
    <row r="2502" spans="1:6">
      <c r="A2502" s="5" t="str">
        <f t="shared" si="45"/>
        <v>202310</v>
      </c>
      <c r="B2502" s="5" t="str">
        <f>"23085023029"</f>
        <v>23085023029</v>
      </c>
      <c r="C2502" s="6">
        <v>123</v>
      </c>
      <c r="D2502" s="6">
        <v>112.5</v>
      </c>
      <c r="E2502" s="6">
        <v>235.5</v>
      </c>
      <c r="F2502" s="11"/>
    </row>
    <row r="2503" spans="1:6">
      <c r="A2503" s="5" t="str">
        <f t="shared" si="45"/>
        <v>202310</v>
      </c>
      <c r="B2503" s="5" t="str">
        <f>"23085022717"</f>
        <v>23085022717</v>
      </c>
      <c r="C2503" s="6">
        <v>123</v>
      </c>
      <c r="D2503" s="6">
        <v>112</v>
      </c>
      <c r="E2503" s="6">
        <v>235</v>
      </c>
      <c r="F2503" s="11"/>
    </row>
    <row r="2504" spans="1:6">
      <c r="A2504" s="5" t="str">
        <f t="shared" si="45"/>
        <v>202310</v>
      </c>
      <c r="B2504" s="5" t="str">
        <f>"23085022926"</f>
        <v>23085022926</v>
      </c>
      <c r="C2504" s="6">
        <v>118.5</v>
      </c>
      <c r="D2504" s="6">
        <v>116.5</v>
      </c>
      <c r="E2504" s="6">
        <v>235</v>
      </c>
      <c r="F2504" s="11"/>
    </row>
    <row r="2505" spans="1:6">
      <c r="A2505" s="5" t="str">
        <f t="shared" si="45"/>
        <v>202310</v>
      </c>
      <c r="B2505" s="5" t="str">
        <f>"23085022219"</f>
        <v>23085022219</v>
      </c>
      <c r="C2505" s="6">
        <v>117</v>
      </c>
      <c r="D2505" s="6">
        <v>117</v>
      </c>
      <c r="E2505" s="6">
        <v>234</v>
      </c>
      <c r="F2505" s="11"/>
    </row>
    <row r="2506" spans="1:6">
      <c r="A2506" s="5" t="str">
        <f t="shared" si="45"/>
        <v>202310</v>
      </c>
      <c r="B2506" s="5" t="str">
        <f>"23085023410"</f>
        <v>23085023410</v>
      </c>
      <c r="C2506" s="6">
        <v>115.5</v>
      </c>
      <c r="D2506" s="6">
        <v>118.5</v>
      </c>
      <c r="E2506" s="6">
        <v>234</v>
      </c>
      <c r="F2506" s="11"/>
    </row>
    <row r="2507" spans="1:6">
      <c r="A2507" s="5" t="str">
        <f t="shared" si="45"/>
        <v>202310</v>
      </c>
      <c r="B2507" s="5" t="str">
        <f>"23085023130"</f>
        <v>23085023130</v>
      </c>
      <c r="C2507" s="6">
        <v>117</v>
      </c>
      <c r="D2507" s="6">
        <v>116.5</v>
      </c>
      <c r="E2507" s="6">
        <v>233.5</v>
      </c>
      <c r="F2507" s="11"/>
    </row>
    <row r="2508" spans="1:6">
      <c r="A2508" s="5" t="str">
        <f t="shared" si="45"/>
        <v>202310</v>
      </c>
      <c r="B2508" s="5" t="str">
        <f>"23085023320"</f>
        <v>23085023320</v>
      </c>
      <c r="C2508" s="6">
        <v>114</v>
      </c>
      <c r="D2508" s="6">
        <v>119.5</v>
      </c>
      <c r="E2508" s="6">
        <v>233.5</v>
      </c>
      <c r="F2508" s="11"/>
    </row>
    <row r="2509" spans="1:6">
      <c r="A2509" s="5" t="str">
        <f t="shared" si="45"/>
        <v>202310</v>
      </c>
      <c r="B2509" s="5" t="str">
        <f>"23085022328"</f>
        <v>23085022328</v>
      </c>
      <c r="C2509" s="6">
        <v>120</v>
      </c>
      <c r="D2509" s="6">
        <v>113</v>
      </c>
      <c r="E2509" s="6">
        <v>233</v>
      </c>
      <c r="F2509" s="11"/>
    </row>
    <row r="2510" spans="1:6">
      <c r="A2510" s="5" t="str">
        <f t="shared" si="45"/>
        <v>202310</v>
      </c>
      <c r="B2510" s="5" t="str">
        <f>"23085022803"</f>
        <v>23085022803</v>
      </c>
      <c r="C2510" s="6">
        <v>112.5</v>
      </c>
      <c r="D2510" s="6">
        <v>120</v>
      </c>
      <c r="E2510" s="6">
        <v>232.5</v>
      </c>
      <c r="F2510" s="11"/>
    </row>
    <row r="2511" spans="1:6">
      <c r="A2511" s="5" t="str">
        <f t="shared" si="45"/>
        <v>202310</v>
      </c>
      <c r="B2511" s="5" t="str">
        <f>"23085022325"</f>
        <v>23085022325</v>
      </c>
      <c r="C2511" s="6">
        <v>114</v>
      </c>
      <c r="D2511" s="6">
        <v>118.5</v>
      </c>
      <c r="E2511" s="6">
        <v>232.5</v>
      </c>
      <c r="F2511" s="11"/>
    </row>
    <row r="2512" spans="1:6">
      <c r="A2512" s="5" t="str">
        <f t="shared" si="45"/>
        <v>202310</v>
      </c>
      <c r="B2512" s="5" t="str">
        <f>"23085022020"</f>
        <v>23085022020</v>
      </c>
      <c r="C2512" s="6">
        <v>117</v>
      </c>
      <c r="D2512" s="6">
        <v>115</v>
      </c>
      <c r="E2512" s="6">
        <v>232</v>
      </c>
      <c r="F2512" s="11"/>
    </row>
    <row r="2513" spans="1:6">
      <c r="A2513" s="5" t="str">
        <f t="shared" si="45"/>
        <v>202310</v>
      </c>
      <c r="B2513" s="5" t="str">
        <f>"23085022319"</f>
        <v>23085022319</v>
      </c>
      <c r="C2513" s="6">
        <v>117</v>
      </c>
      <c r="D2513" s="6">
        <v>115</v>
      </c>
      <c r="E2513" s="6">
        <v>232</v>
      </c>
      <c r="F2513" s="11"/>
    </row>
    <row r="2514" spans="1:6">
      <c r="A2514" s="5" t="str">
        <f t="shared" si="45"/>
        <v>202310</v>
      </c>
      <c r="B2514" s="5" t="str">
        <f>"23085021920"</f>
        <v>23085021920</v>
      </c>
      <c r="C2514" s="6">
        <v>117</v>
      </c>
      <c r="D2514" s="6">
        <v>114.5</v>
      </c>
      <c r="E2514" s="6">
        <v>231.5</v>
      </c>
      <c r="F2514" s="11"/>
    </row>
    <row r="2515" spans="1:6">
      <c r="A2515" s="5" t="str">
        <f t="shared" si="45"/>
        <v>202310</v>
      </c>
      <c r="B2515" s="5" t="str">
        <f>"23085023525"</f>
        <v>23085023525</v>
      </c>
      <c r="C2515" s="6">
        <v>112.5</v>
      </c>
      <c r="D2515" s="6">
        <v>119</v>
      </c>
      <c r="E2515" s="6">
        <v>231.5</v>
      </c>
      <c r="F2515" s="11"/>
    </row>
    <row r="2516" spans="1:6">
      <c r="A2516" s="5" t="str">
        <f t="shared" si="45"/>
        <v>202310</v>
      </c>
      <c r="B2516" s="5" t="str">
        <f>"23085023501"</f>
        <v>23085023501</v>
      </c>
      <c r="C2516" s="6">
        <v>112.5</v>
      </c>
      <c r="D2516" s="6">
        <v>118.5</v>
      </c>
      <c r="E2516" s="6">
        <v>231</v>
      </c>
      <c r="F2516" s="11"/>
    </row>
    <row r="2517" spans="1:6">
      <c r="A2517" s="5" t="str">
        <f t="shared" si="45"/>
        <v>202310</v>
      </c>
      <c r="B2517" s="5" t="str">
        <f>"23085022404"</f>
        <v>23085022404</v>
      </c>
      <c r="C2517" s="6">
        <v>112.5</v>
      </c>
      <c r="D2517" s="6">
        <v>118.5</v>
      </c>
      <c r="E2517" s="6">
        <v>231</v>
      </c>
      <c r="F2517" s="11"/>
    </row>
    <row r="2518" spans="1:6">
      <c r="A2518" s="5" t="str">
        <f t="shared" si="45"/>
        <v>202310</v>
      </c>
      <c r="B2518" s="5" t="str">
        <f>"23085022908"</f>
        <v>23085022908</v>
      </c>
      <c r="C2518" s="6">
        <v>115.5</v>
      </c>
      <c r="D2518" s="6">
        <v>115.5</v>
      </c>
      <c r="E2518" s="6">
        <v>231</v>
      </c>
      <c r="F2518" s="11"/>
    </row>
    <row r="2519" spans="1:6">
      <c r="A2519" s="5" t="str">
        <f t="shared" si="45"/>
        <v>202310</v>
      </c>
      <c r="B2519" s="5" t="str">
        <f>"23085022528"</f>
        <v>23085022528</v>
      </c>
      <c r="C2519" s="6">
        <v>108</v>
      </c>
      <c r="D2519" s="6">
        <v>123</v>
      </c>
      <c r="E2519" s="6">
        <v>231</v>
      </c>
      <c r="F2519" s="11"/>
    </row>
    <row r="2520" spans="1:6">
      <c r="A2520" s="5" t="str">
        <f t="shared" si="45"/>
        <v>202310</v>
      </c>
      <c r="B2520" s="5" t="str">
        <f>"23085023403"</f>
        <v>23085023403</v>
      </c>
      <c r="C2520" s="6">
        <v>115.5</v>
      </c>
      <c r="D2520" s="6">
        <v>115.5</v>
      </c>
      <c r="E2520" s="6">
        <v>231</v>
      </c>
      <c r="F2520" s="11"/>
    </row>
    <row r="2521" spans="1:6">
      <c r="A2521" s="5" t="str">
        <f t="shared" si="45"/>
        <v>202310</v>
      </c>
      <c r="B2521" s="5" t="str">
        <f>"23085022026"</f>
        <v>23085022026</v>
      </c>
      <c r="C2521" s="6">
        <v>114</v>
      </c>
      <c r="D2521" s="6">
        <v>116.5</v>
      </c>
      <c r="E2521" s="6">
        <v>230.5</v>
      </c>
      <c r="F2521" s="11"/>
    </row>
    <row r="2522" spans="1:6">
      <c r="A2522" s="5" t="str">
        <f t="shared" si="45"/>
        <v>202310</v>
      </c>
      <c r="B2522" s="5" t="str">
        <f>"23085023107"</f>
        <v>23085023107</v>
      </c>
      <c r="C2522" s="6">
        <v>112.5</v>
      </c>
      <c r="D2522" s="6">
        <v>118</v>
      </c>
      <c r="E2522" s="6">
        <v>230.5</v>
      </c>
      <c r="F2522" s="11"/>
    </row>
    <row r="2523" spans="1:6">
      <c r="A2523" s="5" t="str">
        <f t="shared" si="45"/>
        <v>202310</v>
      </c>
      <c r="B2523" s="5" t="str">
        <f>"23085022418"</f>
        <v>23085022418</v>
      </c>
      <c r="C2523" s="6">
        <v>118.5</v>
      </c>
      <c r="D2523" s="6">
        <v>112</v>
      </c>
      <c r="E2523" s="6">
        <v>230.5</v>
      </c>
      <c r="F2523" s="11"/>
    </row>
    <row r="2524" spans="1:6">
      <c r="A2524" s="5" t="str">
        <f t="shared" si="45"/>
        <v>202310</v>
      </c>
      <c r="B2524" s="5" t="str">
        <f>"23085021928"</f>
        <v>23085021928</v>
      </c>
      <c r="C2524" s="6">
        <v>109.5</v>
      </c>
      <c r="D2524" s="6">
        <v>120.5</v>
      </c>
      <c r="E2524" s="6">
        <v>230</v>
      </c>
      <c r="F2524" s="11"/>
    </row>
    <row r="2525" spans="1:6">
      <c r="A2525" s="5" t="str">
        <f t="shared" si="45"/>
        <v>202310</v>
      </c>
      <c r="B2525" s="5" t="str">
        <f>"23085023610"</f>
        <v>23085023610</v>
      </c>
      <c r="C2525" s="6">
        <v>115.5</v>
      </c>
      <c r="D2525" s="6">
        <v>114.5</v>
      </c>
      <c r="E2525" s="6">
        <v>230</v>
      </c>
      <c r="F2525" s="11"/>
    </row>
    <row r="2526" spans="1:6">
      <c r="A2526" s="5" t="str">
        <f t="shared" si="45"/>
        <v>202310</v>
      </c>
      <c r="B2526" s="5" t="str">
        <f>"23085021919"</f>
        <v>23085021919</v>
      </c>
      <c r="C2526" s="6">
        <v>109.5</v>
      </c>
      <c r="D2526" s="6">
        <v>120</v>
      </c>
      <c r="E2526" s="6">
        <v>229.5</v>
      </c>
      <c r="F2526" s="11"/>
    </row>
    <row r="2527" spans="1:6">
      <c r="A2527" s="5" t="str">
        <f t="shared" si="45"/>
        <v>202310</v>
      </c>
      <c r="B2527" s="5" t="str">
        <f>"23085023203"</f>
        <v>23085023203</v>
      </c>
      <c r="C2527" s="6">
        <v>106.5</v>
      </c>
      <c r="D2527" s="6">
        <v>123</v>
      </c>
      <c r="E2527" s="6">
        <v>229.5</v>
      </c>
      <c r="F2527" s="11"/>
    </row>
    <row r="2528" spans="1:6">
      <c r="A2528" s="5" t="str">
        <f t="shared" si="45"/>
        <v>202310</v>
      </c>
      <c r="B2528" s="5" t="str">
        <f>"23085022226"</f>
        <v>23085022226</v>
      </c>
      <c r="C2528" s="6">
        <v>120</v>
      </c>
      <c r="D2528" s="6">
        <v>109.5</v>
      </c>
      <c r="E2528" s="6">
        <v>229.5</v>
      </c>
      <c r="F2528" s="11"/>
    </row>
    <row r="2529" spans="1:6">
      <c r="A2529" s="5" t="str">
        <f t="shared" si="45"/>
        <v>202310</v>
      </c>
      <c r="B2529" s="5" t="str">
        <f>"23085022508"</f>
        <v>23085022508</v>
      </c>
      <c r="C2529" s="6">
        <v>112.5</v>
      </c>
      <c r="D2529" s="6">
        <v>117</v>
      </c>
      <c r="E2529" s="6">
        <v>229.5</v>
      </c>
      <c r="F2529" s="11"/>
    </row>
    <row r="2530" spans="1:6">
      <c r="A2530" s="5" t="str">
        <f t="shared" si="45"/>
        <v>202310</v>
      </c>
      <c r="B2530" s="5" t="str">
        <f>"23085022321"</f>
        <v>23085022321</v>
      </c>
      <c r="C2530" s="6">
        <v>111</v>
      </c>
      <c r="D2530" s="6">
        <v>118.5</v>
      </c>
      <c r="E2530" s="6">
        <v>229.5</v>
      </c>
      <c r="F2530" s="11"/>
    </row>
    <row r="2531" spans="1:6">
      <c r="A2531" s="5" t="str">
        <f t="shared" si="45"/>
        <v>202310</v>
      </c>
      <c r="B2531" s="5" t="str">
        <f>"23085023605"</f>
        <v>23085023605</v>
      </c>
      <c r="C2531" s="6">
        <v>111</v>
      </c>
      <c r="D2531" s="6">
        <v>118.5</v>
      </c>
      <c r="E2531" s="6">
        <v>229.5</v>
      </c>
      <c r="F2531" s="11"/>
    </row>
    <row r="2532" spans="1:6">
      <c r="A2532" s="5" t="str">
        <f t="shared" si="45"/>
        <v>202310</v>
      </c>
      <c r="B2532" s="5" t="str">
        <f>"23085023201"</f>
        <v>23085023201</v>
      </c>
      <c r="C2532" s="6">
        <v>112.5</v>
      </c>
      <c r="D2532" s="6">
        <v>117</v>
      </c>
      <c r="E2532" s="6">
        <v>229.5</v>
      </c>
      <c r="F2532" s="11"/>
    </row>
    <row r="2533" spans="1:6">
      <c r="A2533" s="5" t="str">
        <f t="shared" si="45"/>
        <v>202310</v>
      </c>
      <c r="B2533" s="5" t="str">
        <f>"23085022119"</f>
        <v>23085022119</v>
      </c>
      <c r="C2533" s="6">
        <v>114</v>
      </c>
      <c r="D2533" s="6">
        <v>115</v>
      </c>
      <c r="E2533" s="6">
        <v>229</v>
      </c>
      <c r="F2533" s="11"/>
    </row>
    <row r="2534" spans="1:6">
      <c r="A2534" s="5" t="str">
        <f t="shared" si="45"/>
        <v>202310</v>
      </c>
      <c r="B2534" s="5" t="str">
        <f>"23085023005"</f>
        <v>23085023005</v>
      </c>
      <c r="C2534" s="6">
        <v>114</v>
      </c>
      <c r="D2534" s="6">
        <v>114.5</v>
      </c>
      <c r="E2534" s="6">
        <v>228.5</v>
      </c>
      <c r="F2534" s="11"/>
    </row>
    <row r="2535" spans="1:6">
      <c r="A2535" s="5" t="str">
        <f t="shared" si="45"/>
        <v>202310</v>
      </c>
      <c r="B2535" s="5" t="str">
        <f>"23085023405"</f>
        <v>23085023405</v>
      </c>
      <c r="C2535" s="6">
        <v>112.5</v>
      </c>
      <c r="D2535" s="6">
        <v>116</v>
      </c>
      <c r="E2535" s="6">
        <v>228.5</v>
      </c>
      <c r="F2535" s="11"/>
    </row>
    <row r="2536" spans="1:6">
      <c r="A2536" s="5" t="str">
        <f t="shared" si="45"/>
        <v>202310</v>
      </c>
      <c r="B2536" s="5" t="str">
        <f>"23085023125"</f>
        <v>23085023125</v>
      </c>
      <c r="C2536" s="6">
        <v>108</v>
      </c>
      <c r="D2536" s="6">
        <v>120.5</v>
      </c>
      <c r="E2536" s="6">
        <v>228.5</v>
      </c>
      <c r="F2536" s="11"/>
    </row>
    <row r="2537" spans="1:6">
      <c r="A2537" s="5" t="str">
        <f t="shared" si="45"/>
        <v>202310</v>
      </c>
      <c r="B2537" s="5" t="str">
        <f>"23085023104"</f>
        <v>23085023104</v>
      </c>
      <c r="C2537" s="6">
        <v>114</v>
      </c>
      <c r="D2537" s="6">
        <v>114.5</v>
      </c>
      <c r="E2537" s="6">
        <v>228.5</v>
      </c>
      <c r="F2537" s="11"/>
    </row>
    <row r="2538" spans="1:6">
      <c r="A2538" s="5" t="str">
        <f t="shared" si="45"/>
        <v>202310</v>
      </c>
      <c r="B2538" s="5" t="str">
        <f>"23085023719"</f>
        <v>23085023719</v>
      </c>
      <c r="C2538" s="6">
        <v>114</v>
      </c>
      <c r="D2538" s="6">
        <v>114</v>
      </c>
      <c r="E2538" s="6">
        <v>228</v>
      </c>
      <c r="F2538" s="11"/>
    </row>
    <row r="2539" spans="1:6">
      <c r="A2539" s="5" t="str">
        <f t="shared" si="45"/>
        <v>202310</v>
      </c>
      <c r="B2539" s="5" t="str">
        <f>"23085022707"</f>
        <v>23085022707</v>
      </c>
      <c r="C2539" s="6">
        <v>111</v>
      </c>
      <c r="D2539" s="6">
        <v>117</v>
      </c>
      <c r="E2539" s="6">
        <v>228</v>
      </c>
      <c r="F2539" s="11"/>
    </row>
    <row r="2540" spans="1:6">
      <c r="A2540" s="5" t="str">
        <f t="shared" si="45"/>
        <v>202310</v>
      </c>
      <c r="B2540" s="5" t="str">
        <f>"23085023211"</f>
        <v>23085023211</v>
      </c>
      <c r="C2540" s="6">
        <v>112.5</v>
      </c>
      <c r="D2540" s="6">
        <v>115.5</v>
      </c>
      <c r="E2540" s="6">
        <v>228</v>
      </c>
      <c r="F2540" s="11"/>
    </row>
    <row r="2541" spans="1:6">
      <c r="A2541" s="5" t="str">
        <f t="shared" si="45"/>
        <v>202310</v>
      </c>
      <c r="B2541" s="5" t="str">
        <f>"23085022622"</f>
        <v>23085022622</v>
      </c>
      <c r="C2541" s="6">
        <v>117</v>
      </c>
      <c r="D2541" s="6">
        <v>111</v>
      </c>
      <c r="E2541" s="6">
        <v>228</v>
      </c>
      <c r="F2541" s="11"/>
    </row>
    <row r="2542" spans="1:6">
      <c r="A2542" s="5" t="str">
        <f t="shared" si="45"/>
        <v>202310</v>
      </c>
      <c r="B2542" s="5" t="str">
        <f>"23085022209"</f>
        <v>23085022209</v>
      </c>
      <c r="C2542" s="6">
        <v>106.5</v>
      </c>
      <c r="D2542" s="6">
        <v>121.5</v>
      </c>
      <c r="E2542" s="6">
        <v>228</v>
      </c>
      <c r="F2542" s="11"/>
    </row>
    <row r="2543" spans="1:6">
      <c r="A2543" s="5" t="str">
        <f t="shared" si="45"/>
        <v>202310</v>
      </c>
      <c r="B2543" s="5" t="str">
        <f>"23085023219"</f>
        <v>23085023219</v>
      </c>
      <c r="C2543" s="6">
        <v>120</v>
      </c>
      <c r="D2543" s="6">
        <v>108</v>
      </c>
      <c r="E2543" s="6">
        <v>228</v>
      </c>
      <c r="F2543" s="11"/>
    </row>
    <row r="2544" spans="1:6">
      <c r="A2544" s="5" t="str">
        <f t="shared" si="45"/>
        <v>202310</v>
      </c>
      <c r="B2544" s="5" t="str">
        <f>"23085023419"</f>
        <v>23085023419</v>
      </c>
      <c r="C2544" s="6">
        <v>111</v>
      </c>
      <c r="D2544" s="6">
        <v>117</v>
      </c>
      <c r="E2544" s="6">
        <v>228</v>
      </c>
      <c r="F2544" s="11"/>
    </row>
    <row r="2545" spans="1:6">
      <c r="A2545" s="5" t="str">
        <f t="shared" si="45"/>
        <v>202310</v>
      </c>
      <c r="B2545" s="5" t="str">
        <f>"23085022423"</f>
        <v>23085022423</v>
      </c>
      <c r="C2545" s="6">
        <v>109.5</v>
      </c>
      <c r="D2545" s="6">
        <v>118.5</v>
      </c>
      <c r="E2545" s="6">
        <v>228</v>
      </c>
      <c r="F2545" s="11"/>
    </row>
    <row r="2546" spans="1:6">
      <c r="A2546" s="5" t="str">
        <f t="shared" si="45"/>
        <v>202310</v>
      </c>
      <c r="B2546" s="5" t="str">
        <f>"23085022111"</f>
        <v>23085022111</v>
      </c>
      <c r="C2546" s="6">
        <v>111</v>
      </c>
      <c r="D2546" s="6">
        <v>116.5</v>
      </c>
      <c r="E2546" s="6">
        <v>227.5</v>
      </c>
      <c r="F2546" s="11"/>
    </row>
    <row r="2547" spans="1:6">
      <c r="A2547" s="5" t="str">
        <f t="shared" si="45"/>
        <v>202310</v>
      </c>
      <c r="B2547" s="5" t="str">
        <f>"23085023420"</f>
        <v>23085023420</v>
      </c>
      <c r="C2547" s="6">
        <v>114</v>
      </c>
      <c r="D2547" s="6">
        <v>113.5</v>
      </c>
      <c r="E2547" s="6">
        <v>227.5</v>
      </c>
      <c r="F2547" s="11"/>
    </row>
    <row r="2548" spans="1:6">
      <c r="A2548" s="5" t="str">
        <f t="shared" si="45"/>
        <v>202310</v>
      </c>
      <c r="B2548" s="5" t="str">
        <f>"23085021917"</f>
        <v>23085021917</v>
      </c>
      <c r="C2548" s="6">
        <v>106.5</v>
      </c>
      <c r="D2548" s="6">
        <v>121</v>
      </c>
      <c r="E2548" s="6">
        <v>227.5</v>
      </c>
      <c r="F2548" s="11"/>
    </row>
    <row r="2549" spans="1:6">
      <c r="A2549" s="5" t="str">
        <f t="shared" si="45"/>
        <v>202310</v>
      </c>
      <c r="B2549" s="5" t="str">
        <f>"23085022606"</f>
        <v>23085022606</v>
      </c>
      <c r="C2549" s="6">
        <v>114</v>
      </c>
      <c r="D2549" s="6">
        <v>113.5</v>
      </c>
      <c r="E2549" s="6">
        <v>227.5</v>
      </c>
      <c r="F2549" s="11"/>
    </row>
    <row r="2550" spans="1:6">
      <c r="A2550" s="5" t="str">
        <f t="shared" si="45"/>
        <v>202310</v>
      </c>
      <c r="B2550" s="5" t="str">
        <f>"23085023504"</f>
        <v>23085023504</v>
      </c>
      <c r="C2550" s="6">
        <v>112.5</v>
      </c>
      <c r="D2550" s="6">
        <v>115</v>
      </c>
      <c r="E2550" s="6">
        <v>227.5</v>
      </c>
      <c r="F2550" s="11"/>
    </row>
    <row r="2551" spans="1:6">
      <c r="A2551" s="5" t="str">
        <f t="shared" si="45"/>
        <v>202310</v>
      </c>
      <c r="B2551" s="5" t="str">
        <f>"23085023505"</f>
        <v>23085023505</v>
      </c>
      <c r="C2551" s="6">
        <v>105</v>
      </c>
      <c r="D2551" s="6">
        <v>122.5</v>
      </c>
      <c r="E2551" s="6">
        <v>227.5</v>
      </c>
      <c r="F2551" s="11"/>
    </row>
    <row r="2552" spans="1:6">
      <c r="A2552" s="5" t="str">
        <f t="shared" ref="A2552:A2615" si="46">"202310"</f>
        <v>202310</v>
      </c>
      <c r="B2552" s="5" t="str">
        <f>"23085023021"</f>
        <v>23085023021</v>
      </c>
      <c r="C2552" s="6">
        <v>106.5</v>
      </c>
      <c r="D2552" s="6">
        <v>120.5</v>
      </c>
      <c r="E2552" s="6">
        <v>227</v>
      </c>
      <c r="F2552" s="11"/>
    </row>
    <row r="2553" spans="1:6">
      <c r="A2553" s="5" t="str">
        <f t="shared" si="46"/>
        <v>202310</v>
      </c>
      <c r="B2553" s="5" t="str">
        <f>"23085022723"</f>
        <v>23085022723</v>
      </c>
      <c r="C2553" s="6">
        <v>111</v>
      </c>
      <c r="D2553" s="6">
        <v>116</v>
      </c>
      <c r="E2553" s="6">
        <v>227</v>
      </c>
      <c r="F2553" s="11"/>
    </row>
    <row r="2554" spans="1:6">
      <c r="A2554" s="5" t="str">
        <f t="shared" si="46"/>
        <v>202310</v>
      </c>
      <c r="B2554" s="5" t="str">
        <f>"23085022115"</f>
        <v>23085022115</v>
      </c>
      <c r="C2554" s="6">
        <v>108</v>
      </c>
      <c r="D2554" s="6">
        <v>119</v>
      </c>
      <c r="E2554" s="6">
        <v>227</v>
      </c>
      <c r="F2554" s="11"/>
    </row>
    <row r="2555" spans="1:6">
      <c r="A2555" s="5" t="str">
        <f t="shared" si="46"/>
        <v>202310</v>
      </c>
      <c r="B2555" s="5" t="str">
        <f>"23085023520"</f>
        <v>23085023520</v>
      </c>
      <c r="C2555" s="6">
        <v>118.5</v>
      </c>
      <c r="D2555" s="6">
        <v>108</v>
      </c>
      <c r="E2555" s="6">
        <v>226.5</v>
      </c>
      <c r="F2555" s="11"/>
    </row>
    <row r="2556" spans="1:6">
      <c r="A2556" s="5" t="str">
        <f t="shared" si="46"/>
        <v>202310</v>
      </c>
      <c r="B2556" s="5" t="str">
        <f>"23085022905"</f>
        <v>23085022905</v>
      </c>
      <c r="C2556" s="6">
        <v>106.5</v>
      </c>
      <c r="D2556" s="6">
        <v>120</v>
      </c>
      <c r="E2556" s="6">
        <v>226.5</v>
      </c>
      <c r="F2556" s="11"/>
    </row>
    <row r="2557" spans="1:6">
      <c r="A2557" s="5" t="str">
        <f t="shared" si="46"/>
        <v>202310</v>
      </c>
      <c r="B2557" s="5" t="str">
        <f>"23085023422"</f>
        <v>23085023422</v>
      </c>
      <c r="C2557" s="6">
        <v>117</v>
      </c>
      <c r="D2557" s="6">
        <v>109.5</v>
      </c>
      <c r="E2557" s="6">
        <v>226.5</v>
      </c>
      <c r="F2557" s="11"/>
    </row>
    <row r="2558" spans="1:6">
      <c r="A2558" s="5" t="str">
        <f t="shared" si="46"/>
        <v>202310</v>
      </c>
      <c r="B2558" s="5" t="str">
        <f>"23085022603"</f>
        <v>23085022603</v>
      </c>
      <c r="C2558" s="6">
        <v>103.5</v>
      </c>
      <c r="D2558" s="6">
        <v>123</v>
      </c>
      <c r="E2558" s="6">
        <v>226.5</v>
      </c>
      <c r="F2558" s="11"/>
    </row>
    <row r="2559" spans="1:6">
      <c r="A2559" s="5" t="str">
        <f t="shared" si="46"/>
        <v>202310</v>
      </c>
      <c r="B2559" s="5" t="str">
        <f>"23085022609"</f>
        <v>23085022609</v>
      </c>
      <c r="C2559" s="6">
        <v>121.5</v>
      </c>
      <c r="D2559" s="6">
        <v>105</v>
      </c>
      <c r="E2559" s="6">
        <v>226.5</v>
      </c>
      <c r="F2559" s="11"/>
    </row>
    <row r="2560" spans="1:6">
      <c r="A2560" s="5" t="str">
        <f t="shared" si="46"/>
        <v>202310</v>
      </c>
      <c r="B2560" s="5" t="str">
        <f>"23085022029"</f>
        <v>23085022029</v>
      </c>
      <c r="C2560" s="6">
        <v>115.5</v>
      </c>
      <c r="D2560" s="6">
        <v>111</v>
      </c>
      <c r="E2560" s="6">
        <v>226.5</v>
      </c>
      <c r="F2560" s="11"/>
    </row>
    <row r="2561" spans="1:6">
      <c r="A2561" s="5" t="str">
        <f t="shared" si="46"/>
        <v>202310</v>
      </c>
      <c r="B2561" s="5" t="str">
        <f>"23085022924"</f>
        <v>23085022924</v>
      </c>
      <c r="C2561" s="6">
        <v>106.5</v>
      </c>
      <c r="D2561" s="6">
        <v>119.5</v>
      </c>
      <c r="E2561" s="6">
        <v>226</v>
      </c>
      <c r="F2561" s="11"/>
    </row>
    <row r="2562" spans="1:6">
      <c r="A2562" s="5" t="str">
        <f t="shared" si="46"/>
        <v>202310</v>
      </c>
      <c r="B2562" s="5" t="str">
        <f>"23085022601"</f>
        <v>23085022601</v>
      </c>
      <c r="C2562" s="6">
        <v>112.5</v>
      </c>
      <c r="D2562" s="6">
        <v>113.5</v>
      </c>
      <c r="E2562" s="6">
        <v>226</v>
      </c>
      <c r="F2562" s="11"/>
    </row>
    <row r="2563" spans="1:6">
      <c r="A2563" s="5" t="str">
        <f t="shared" si="46"/>
        <v>202310</v>
      </c>
      <c r="B2563" s="5" t="str">
        <f>"23085023311"</f>
        <v>23085023311</v>
      </c>
      <c r="C2563" s="6">
        <v>109.5</v>
      </c>
      <c r="D2563" s="6">
        <v>116.5</v>
      </c>
      <c r="E2563" s="6">
        <v>226</v>
      </c>
      <c r="F2563" s="11"/>
    </row>
    <row r="2564" spans="1:6">
      <c r="A2564" s="5" t="str">
        <f t="shared" si="46"/>
        <v>202310</v>
      </c>
      <c r="B2564" s="5" t="str">
        <f>"23085022624"</f>
        <v>23085022624</v>
      </c>
      <c r="C2564" s="6">
        <v>112.5</v>
      </c>
      <c r="D2564" s="6">
        <v>113.5</v>
      </c>
      <c r="E2564" s="6">
        <v>226</v>
      </c>
      <c r="F2564" s="11"/>
    </row>
    <row r="2565" spans="1:6">
      <c r="A2565" s="5" t="str">
        <f t="shared" si="46"/>
        <v>202310</v>
      </c>
      <c r="B2565" s="5" t="str">
        <f>"23085023019"</f>
        <v>23085023019</v>
      </c>
      <c r="C2565" s="6">
        <v>111</v>
      </c>
      <c r="D2565" s="6">
        <v>114.5</v>
      </c>
      <c r="E2565" s="6">
        <v>225.5</v>
      </c>
      <c r="F2565" s="11"/>
    </row>
    <row r="2566" spans="1:6">
      <c r="A2566" s="5" t="str">
        <f t="shared" si="46"/>
        <v>202310</v>
      </c>
      <c r="B2566" s="5" t="str">
        <f>"23085022911"</f>
        <v>23085022911</v>
      </c>
      <c r="C2566" s="6">
        <v>112.5</v>
      </c>
      <c r="D2566" s="6">
        <v>113</v>
      </c>
      <c r="E2566" s="6">
        <v>225.5</v>
      </c>
      <c r="F2566" s="11"/>
    </row>
    <row r="2567" spans="1:6">
      <c r="A2567" s="5" t="str">
        <f t="shared" si="46"/>
        <v>202310</v>
      </c>
      <c r="B2567" s="5" t="str">
        <f>"23085022023"</f>
        <v>23085022023</v>
      </c>
      <c r="C2567" s="6">
        <v>108</v>
      </c>
      <c r="D2567" s="6">
        <v>117.5</v>
      </c>
      <c r="E2567" s="6">
        <v>225.5</v>
      </c>
      <c r="F2567" s="11"/>
    </row>
    <row r="2568" spans="1:6">
      <c r="A2568" s="5" t="str">
        <f t="shared" si="46"/>
        <v>202310</v>
      </c>
      <c r="B2568" s="5" t="str">
        <f>"23085022929"</f>
        <v>23085022929</v>
      </c>
      <c r="C2568" s="6">
        <v>112.5</v>
      </c>
      <c r="D2568" s="6">
        <v>112.5</v>
      </c>
      <c r="E2568" s="6">
        <v>225</v>
      </c>
      <c r="F2568" s="11"/>
    </row>
    <row r="2569" spans="1:6">
      <c r="A2569" s="5" t="str">
        <f t="shared" si="46"/>
        <v>202310</v>
      </c>
      <c r="B2569" s="5" t="str">
        <f>"23085022730"</f>
        <v>23085022730</v>
      </c>
      <c r="C2569" s="6">
        <v>109.5</v>
      </c>
      <c r="D2569" s="6">
        <v>115.5</v>
      </c>
      <c r="E2569" s="6">
        <v>225</v>
      </c>
      <c r="F2569" s="11"/>
    </row>
    <row r="2570" spans="1:6">
      <c r="A2570" s="5" t="str">
        <f t="shared" si="46"/>
        <v>202310</v>
      </c>
      <c r="B2570" s="5" t="str">
        <f>"23085022514"</f>
        <v>23085022514</v>
      </c>
      <c r="C2570" s="6">
        <v>105</v>
      </c>
      <c r="D2570" s="6">
        <v>120</v>
      </c>
      <c r="E2570" s="6">
        <v>225</v>
      </c>
      <c r="F2570" s="11"/>
    </row>
    <row r="2571" spans="1:6">
      <c r="A2571" s="5" t="str">
        <f t="shared" si="46"/>
        <v>202310</v>
      </c>
      <c r="B2571" s="5" t="str">
        <f>"23085022028"</f>
        <v>23085022028</v>
      </c>
      <c r="C2571" s="6">
        <v>112.5</v>
      </c>
      <c r="D2571" s="6">
        <v>112.5</v>
      </c>
      <c r="E2571" s="6">
        <v>225</v>
      </c>
      <c r="F2571" s="11"/>
    </row>
    <row r="2572" spans="1:6">
      <c r="A2572" s="5" t="str">
        <f t="shared" si="46"/>
        <v>202310</v>
      </c>
      <c r="B2572" s="5" t="str">
        <f>"23085023510"</f>
        <v>23085023510</v>
      </c>
      <c r="C2572" s="6">
        <v>112.5</v>
      </c>
      <c r="D2572" s="6">
        <v>112.5</v>
      </c>
      <c r="E2572" s="6">
        <v>225</v>
      </c>
      <c r="F2572" s="11"/>
    </row>
    <row r="2573" spans="1:6">
      <c r="A2573" s="5" t="str">
        <f t="shared" si="46"/>
        <v>202310</v>
      </c>
      <c r="B2573" s="5" t="str">
        <f>"23085022506"</f>
        <v>23085022506</v>
      </c>
      <c r="C2573" s="6">
        <v>106.5</v>
      </c>
      <c r="D2573" s="6">
        <v>118</v>
      </c>
      <c r="E2573" s="6">
        <v>224.5</v>
      </c>
      <c r="F2573" s="11"/>
    </row>
    <row r="2574" spans="1:6">
      <c r="A2574" s="5" t="str">
        <f t="shared" si="46"/>
        <v>202310</v>
      </c>
      <c r="B2574" s="5" t="str">
        <f>"23085021913"</f>
        <v>23085021913</v>
      </c>
      <c r="C2574" s="6">
        <v>111</v>
      </c>
      <c r="D2574" s="6">
        <v>113.5</v>
      </c>
      <c r="E2574" s="6">
        <v>224.5</v>
      </c>
      <c r="F2574" s="11"/>
    </row>
    <row r="2575" spans="1:6">
      <c r="A2575" s="5" t="str">
        <f t="shared" si="46"/>
        <v>202310</v>
      </c>
      <c r="B2575" s="5" t="str">
        <f>"23085022808"</f>
        <v>23085022808</v>
      </c>
      <c r="C2575" s="6">
        <v>108</v>
      </c>
      <c r="D2575" s="6">
        <v>116.5</v>
      </c>
      <c r="E2575" s="6">
        <v>224.5</v>
      </c>
      <c r="F2575" s="11"/>
    </row>
    <row r="2576" spans="1:6">
      <c r="A2576" s="5" t="str">
        <f t="shared" si="46"/>
        <v>202310</v>
      </c>
      <c r="B2576" s="5" t="str">
        <f>"23085022405"</f>
        <v>23085022405</v>
      </c>
      <c r="C2576" s="6">
        <v>111</v>
      </c>
      <c r="D2576" s="6">
        <v>113.5</v>
      </c>
      <c r="E2576" s="6">
        <v>224.5</v>
      </c>
      <c r="F2576" s="11"/>
    </row>
    <row r="2577" spans="1:6">
      <c r="A2577" s="5" t="str">
        <f t="shared" si="46"/>
        <v>202310</v>
      </c>
      <c r="B2577" s="5" t="str">
        <f>"23085023716"</f>
        <v>23085023716</v>
      </c>
      <c r="C2577" s="6">
        <v>111</v>
      </c>
      <c r="D2577" s="6">
        <v>113.5</v>
      </c>
      <c r="E2577" s="6">
        <v>224.5</v>
      </c>
      <c r="F2577" s="11"/>
    </row>
    <row r="2578" spans="1:6">
      <c r="A2578" s="5" t="str">
        <f t="shared" si="46"/>
        <v>202310</v>
      </c>
      <c r="B2578" s="5" t="str">
        <f>"23085022014"</f>
        <v>23085022014</v>
      </c>
      <c r="C2578" s="6">
        <v>109.5</v>
      </c>
      <c r="D2578" s="6">
        <v>115</v>
      </c>
      <c r="E2578" s="6">
        <v>224.5</v>
      </c>
      <c r="F2578" s="11"/>
    </row>
    <row r="2579" spans="1:6">
      <c r="A2579" s="5" t="str">
        <f t="shared" si="46"/>
        <v>202310</v>
      </c>
      <c r="B2579" s="5" t="str">
        <f>"23085023713"</f>
        <v>23085023713</v>
      </c>
      <c r="C2579" s="6">
        <v>111</v>
      </c>
      <c r="D2579" s="6">
        <v>113.5</v>
      </c>
      <c r="E2579" s="6">
        <v>224.5</v>
      </c>
      <c r="F2579" s="11"/>
    </row>
    <row r="2580" spans="1:6">
      <c r="A2580" s="5" t="str">
        <f t="shared" si="46"/>
        <v>202310</v>
      </c>
      <c r="B2580" s="5" t="str">
        <f>"23085023105"</f>
        <v>23085023105</v>
      </c>
      <c r="C2580" s="6">
        <v>108</v>
      </c>
      <c r="D2580" s="6">
        <v>116.5</v>
      </c>
      <c r="E2580" s="6">
        <v>224.5</v>
      </c>
      <c r="F2580" s="11"/>
    </row>
    <row r="2581" spans="1:6">
      <c r="A2581" s="5" t="str">
        <f t="shared" si="46"/>
        <v>202310</v>
      </c>
      <c r="B2581" s="5" t="str">
        <f>"23085021924"</f>
        <v>23085021924</v>
      </c>
      <c r="C2581" s="6">
        <v>114</v>
      </c>
      <c r="D2581" s="6">
        <v>110.5</v>
      </c>
      <c r="E2581" s="6">
        <v>224.5</v>
      </c>
      <c r="F2581" s="11"/>
    </row>
    <row r="2582" spans="1:6">
      <c r="A2582" s="5" t="str">
        <f t="shared" si="46"/>
        <v>202310</v>
      </c>
      <c r="B2582" s="5" t="str">
        <f>"23085022728"</f>
        <v>23085022728</v>
      </c>
      <c r="C2582" s="6">
        <v>103.5</v>
      </c>
      <c r="D2582" s="6">
        <v>120.5</v>
      </c>
      <c r="E2582" s="6">
        <v>224</v>
      </c>
      <c r="F2582" s="11"/>
    </row>
    <row r="2583" spans="1:6">
      <c r="A2583" s="5" t="str">
        <f t="shared" si="46"/>
        <v>202310</v>
      </c>
      <c r="B2583" s="5" t="str">
        <f>"23085022025"</f>
        <v>23085022025</v>
      </c>
      <c r="C2583" s="6">
        <v>120</v>
      </c>
      <c r="D2583" s="6">
        <v>104</v>
      </c>
      <c r="E2583" s="6">
        <v>224</v>
      </c>
      <c r="F2583" s="11"/>
    </row>
    <row r="2584" spans="1:6">
      <c r="A2584" s="5" t="str">
        <f t="shared" si="46"/>
        <v>202310</v>
      </c>
      <c r="B2584" s="5" t="str">
        <f>"23085023623"</f>
        <v>23085023623</v>
      </c>
      <c r="C2584" s="6">
        <v>118.5</v>
      </c>
      <c r="D2584" s="6">
        <v>105.5</v>
      </c>
      <c r="E2584" s="6">
        <v>224</v>
      </c>
      <c r="F2584" s="11"/>
    </row>
    <row r="2585" spans="1:6">
      <c r="A2585" s="5" t="str">
        <f t="shared" si="46"/>
        <v>202310</v>
      </c>
      <c r="B2585" s="5" t="str">
        <f>"23085023425"</f>
        <v>23085023425</v>
      </c>
      <c r="C2585" s="6">
        <v>106.5</v>
      </c>
      <c r="D2585" s="6">
        <v>117.5</v>
      </c>
      <c r="E2585" s="6">
        <v>224</v>
      </c>
      <c r="F2585" s="11"/>
    </row>
    <row r="2586" spans="1:6">
      <c r="A2586" s="5" t="str">
        <f t="shared" si="46"/>
        <v>202310</v>
      </c>
      <c r="B2586" s="5" t="str">
        <f>"23085023030"</f>
        <v>23085023030</v>
      </c>
      <c r="C2586" s="6">
        <v>111</v>
      </c>
      <c r="D2586" s="6">
        <v>113</v>
      </c>
      <c r="E2586" s="6">
        <v>224</v>
      </c>
      <c r="F2586" s="11"/>
    </row>
    <row r="2587" spans="1:6">
      <c r="A2587" s="5" t="str">
        <f t="shared" si="46"/>
        <v>202310</v>
      </c>
      <c r="B2587" s="5" t="str">
        <f>"23085023208"</f>
        <v>23085023208</v>
      </c>
      <c r="C2587" s="6">
        <v>114</v>
      </c>
      <c r="D2587" s="6">
        <v>109.5</v>
      </c>
      <c r="E2587" s="6">
        <v>223.5</v>
      </c>
      <c r="F2587" s="11"/>
    </row>
    <row r="2588" spans="1:6">
      <c r="A2588" s="5" t="str">
        <f t="shared" si="46"/>
        <v>202310</v>
      </c>
      <c r="B2588" s="5" t="str">
        <f>"23085023214"</f>
        <v>23085023214</v>
      </c>
      <c r="C2588" s="6">
        <v>114</v>
      </c>
      <c r="D2588" s="6">
        <v>109.5</v>
      </c>
      <c r="E2588" s="6">
        <v>223.5</v>
      </c>
      <c r="F2588" s="11"/>
    </row>
    <row r="2589" spans="1:6">
      <c r="A2589" s="5" t="str">
        <f t="shared" si="46"/>
        <v>202310</v>
      </c>
      <c r="B2589" s="5" t="str">
        <f>"23085022030"</f>
        <v>23085022030</v>
      </c>
      <c r="C2589" s="6">
        <v>117</v>
      </c>
      <c r="D2589" s="6">
        <v>106.5</v>
      </c>
      <c r="E2589" s="6">
        <v>223.5</v>
      </c>
      <c r="F2589" s="11"/>
    </row>
    <row r="2590" spans="1:6">
      <c r="A2590" s="5" t="str">
        <f t="shared" si="46"/>
        <v>202310</v>
      </c>
      <c r="B2590" s="5" t="str">
        <f>"23085022309"</f>
        <v>23085022309</v>
      </c>
      <c r="C2590" s="6">
        <v>114</v>
      </c>
      <c r="D2590" s="6">
        <v>109.5</v>
      </c>
      <c r="E2590" s="6">
        <v>223.5</v>
      </c>
      <c r="F2590" s="11"/>
    </row>
    <row r="2591" spans="1:6">
      <c r="A2591" s="5" t="str">
        <f t="shared" si="46"/>
        <v>202310</v>
      </c>
      <c r="B2591" s="5" t="str">
        <f>"23085022503"</f>
        <v>23085022503</v>
      </c>
      <c r="C2591" s="6">
        <v>112.5</v>
      </c>
      <c r="D2591" s="6">
        <v>111</v>
      </c>
      <c r="E2591" s="6">
        <v>223.5</v>
      </c>
      <c r="F2591" s="11"/>
    </row>
    <row r="2592" spans="1:6">
      <c r="A2592" s="5" t="str">
        <f t="shared" si="46"/>
        <v>202310</v>
      </c>
      <c r="B2592" s="5" t="str">
        <f>"23085022820"</f>
        <v>23085022820</v>
      </c>
      <c r="C2592" s="6">
        <v>109.5</v>
      </c>
      <c r="D2592" s="6">
        <v>113.5</v>
      </c>
      <c r="E2592" s="6">
        <v>223</v>
      </c>
      <c r="F2592" s="11"/>
    </row>
    <row r="2593" spans="1:6">
      <c r="A2593" s="5" t="str">
        <f t="shared" si="46"/>
        <v>202310</v>
      </c>
      <c r="B2593" s="5" t="str">
        <f>"23085023027"</f>
        <v>23085023027</v>
      </c>
      <c r="C2593" s="6">
        <v>102</v>
      </c>
      <c r="D2593" s="6">
        <v>121</v>
      </c>
      <c r="E2593" s="6">
        <v>223</v>
      </c>
      <c r="F2593" s="11"/>
    </row>
    <row r="2594" spans="1:6">
      <c r="A2594" s="5" t="str">
        <f t="shared" si="46"/>
        <v>202310</v>
      </c>
      <c r="B2594" s="5" t="str">
        <f>"23085023616"</f>
        <v>23085023616</v>
      </c>
      <c r="C2594" s="6">
        <v>106.5</v>
      </c>
      <c r="D2594" s="6">
        <v>116.5</v>
      </c>
      <c r="E2594" s="6">
        <v>223</v>
      </c>
      <c r="F2594" s="11"/>
    </row>
    <row r="2595" spans="1:6">
      <c r="A2595" s="5" t="str">
        <f t="shared" si="46"/>
        <v>202310</v>
      </c>
      <c r="B2595" s="5" t="str">
        <f>"23085023206"</f>
        <v>23085023206</v>
      </c>
      <c r="C2595" s="6">
        <v>109.5</v>
      </c>
      <c r="D2595" s="6">
        <v>113.5</v>
      </c>
      <c r="E2595" s="6">
        <v>223</v>
      </c>
      <c r="F2595" s="11"/>
    </row>
    <row r="2596" spans="1:6">
      <c r="A2596" s="5" t="str">
        <f t="shared" si="46"/>
        <v>202310</v>
      </c>
      <c r="B2596" s="5" t="str">
        <f>"23085022104"</f>
        <v>23085022104</v>
      </c>
      <c r="C2596" s="6">
        <v>112.5</v>
      </c>
      <c r="D2596" s="6">
        <v>110.5</v>
      </c>
      <c r="E2596" s="6">
        <v>223</v>
      </c>
      <c r="F2596" s="11"/>
    </row>
    <row r="2597" spans="1:6">
      <c r="A2597" s="5" t="str">
        <f t="shared" si="46"/>
        <v>202310</v>
      </c>
      <c r="B2597" s="5" t="str">
        <f>"23085021826"</f>
        <v>23085021826</v>
      </c>
      <c r="C2597" s="6">
        <v>100.5</v>
      </c>
      <c r="D2597" s="6">
        <v>122.5</v>
      </c>
      <c r="E2597" s="6">
        <v>223</v>
      </c>
      <c r="F2597" s="11"/>
    </row>
    <row r="2598" spans="1:6">
      <c r="A2598" s="5" t="str">
        <f t="shared" si="46"/>
        <v>202310</v>
      </c>
      <c r="B2598" s="5" t="str">
        <f>"23085022721"</f>
        <v>23085022721</v>
      </c>
      <c r="C2598" s="6">
        <v>105</v>
      </c>
      <c r="D2598" s="6">
        <v>117.5</v>
      </c>
      <c r="E2598" s="6">
        <v>222.5</v>
      </c>
      <c r="F2598" s="11"/>
    </row>
    <row r="2599" spans="1:6">
      <c r="A2599" s="5" t="str">
        <f t="shared" si="46"/>
        <v>202310</v>
      </c>
      <c r="B2599" s="5" t="str">
        <f>"23085022128"</f>
        <v>23085022128</v>
      </c>
      <c r="C2599" s="6">
        <v>108</v>
      </c>
      <c r="D2599" s="6">
        <v>114.5</v>
      </c>
      <c r="E2599" s="6">
        <v>222.5</v>
      </c>
      <c r="F2599" s="11"/>
    </row>
    <row r="2600" spans="1:6">
      <c r="A2600" s="5" t="str">
        <f t="shared" si="46"/>
        <v>202310</v>
      </c>
      <c r="B2600" s="5" t="str">
        <f>"23085023317"</f>
        <v>23085023317</v>
      </c>
      <c r="C2600" s="6">
        <v>115.5</v>
      </c>
      <c r="D2600" s="6">
        <v>107</v>
      </c>
      <c r="E2600" s="6">
        <v>222.5</v>
      </c>
      <c r="F2600" s="11"/>
    </row>
    <row r="2601" spans="1:6">
      <c r="A2601" s="5" t="str">
        <f t="shared" si="46"/>
        <v>202310</v>
      </c>
      <c r="B2601" s="5" t="str">
        <f>"23085023002"</f>
        <v>23085023002</v>
      </c>
      <c r="C2601" s="6">
        <v>108</v>
      </c>
      <c r="D2601" s="6">
        <v>114.5</v>
      </c>
      <c r="E2601" s="6">
        <v>222.5</v>
      </c>
      <c r="F2601" s="11"/>
    </row>
    <row r="2602" spans="1:6">
      <c r="A2602" s="5" t="str">
        <f t="shared" si="46"/>
        <v>202310</v>
      </c>
      <c r="B2602" s="5" t="str">
        <f>"23085022301"</f>
        <v>23085022301</v>
      </c>
      <c r="C2602" s="6">
        <v>100.5</v>
      </c>
      <c r="D2602" s="6">
        <v>121.5</v>
      </c>
      <c r="E2602" s="6">
        <v>222</v>
      </c>
      <c r="F2602" s="11"/>
    </row>
    <row r="2603" spans="1:6">
      <c r="A2603" s="5" t="str">
        <f t="shared" si="46"/>
        <v>202310</v>
      </c>
      <c r="B2603" s="5" t="str">
        <f>"23085023519"</f>
        <v>23085023519</v>
      </c>
      <c r="C2603" s="6">
        <v>105</v>
      </c>
      <c r="D2603" s="6">
        <v>117</v>
      </c>
      <c r="E2603" s="6">
        <v>222</v>
      </c>
      <c r="F2603" s="11"/>
    </row>
    <row r="2604" spans="1:6">
      <c r="A2604" s="5" t="str">
        <f t="shared" si="46"/>
        <v>202310</v>
      </c>
      <c r="B2604" s="5" t="str">
        <f>"23085021921"</f>
        <v>23085021921</v>
      </c>
      <c r="C2604" s="6">
        <v>103.5</v>
      </c>
      <c r="D2604" s="6">
        <v>118.5</v>
      </c>
      <c r="E2604" s="6">
        <v>222</v>
      </c>
      <c r="F2604" s="11"/>
    </row>
    <row r="2605" spans="1:6">
      <c r="A2605" s="5" t="str">
        <f t="shared" si="46"/>
        <v>202310</v>
      </c>
      <c r="B2605" s="5" t="str">
        <f>"23085022214"</f>
        <v>23085022214</v>
      </c>
      <c r="C2605" s="6">
        <v>109.5</v>
      </c>
      <c r="D2605" s="6">
        <v>112.5</v>
      </c>
      <c r="E2605" s="6">
        <v>222</v>
      </c>
      <c r="F2605" s="11"/>
    </row>
    <row r="2606" spans="1:6">
      <c r="A2606" s="5" t="str">
        <f t="shared" si="46"/>
        <v>202310</v>
      </c>
      <c r="B2606" s="5" t="str">
        <f>"23085023003"</f>
        <v>23085023003</v>
      </c>
      <c r="C2606" s="6">
        <v>112.5</v>
      </c>
      <c r="D2606" s="6">
        <v>109.5</v>
      </c>
      <c r="E2606" s="6">
        <v>222</v>
      </c>
      <c r="F2606" s="11"/>
    </row>
    <row r="2607" spans="1:6">
      <c r="A2607" s="5" t="str">
        <f t="shared" si="46"/>
        <v>202310</v>
      </c>
      <c r="B2607" s="5" t="str">
        <f>"23085022511"</f>
        <v>23085022511</v>
      </c>
      <c r="C2607" s="6">
        <v>109.5</v>
      </c>
      <c r="D2607" s="6">
        <v>112.5</v>
      </c>
      <c r="E2607" s="6">
        <v>222</v>
      </c>
      <c r="F2607" s="11"/>
    </row>
    <row r="2608" spans="1:6">
      <c r="A2608" s="5" t="str">
        <f t="shared" si="46"/>
        <v>202310</v>
      </c>
      <c r="B2608" s="5" t="str">
        <f>"23085022116"</f>
        <v>23085022116</v>
      </c>
      <c r="C2608" s="6">
        <v>106.5</v>
      </c>
      <c r="D2608" s="6">
        <v>115.5</v>
      </c>
      <c r="E2608" s="6">
        <v>222</v>
      </c>
      <c r="F2608" s="11"/>
    </row>
    <row r="2609" spans="1:6">
      <c r="A2609" s="5" t="str">
        <f t="shared" si="46"/>
        <v>202310</v>
      </c>
      <c r="B2609" s="5" t="str">
        <f>"23085022614"</f>
        <v>23085022614</v>
      </c>
      <c r="C2609" s="6">
        <v>105</v>
      </c>
      <c r="D2609" s="6">
        <v>117</v>
      </c>
      <c r="E2609" s="6">
        <v>222</v>
      </c>
      <c r="F2609" s="11"/>
    </row>
    <row r="2610" spans="1:6">
      <c r="A2610" s="5" t="str">
        <f t="shared" si="46"/>
        <v>202310</v>
      </c>
      <c r="B2610" s="5" t="str">
        <f>"23085023306"</f>
        <v>23085023306</v>
      </c>
      <c r="C2610" s="6">
        <v>106.5</v>
      </c>
      <c r="D2610" s="6">
        <v>115</v>
      </c>
      <c r="E2610" s="6">
        <v>221.5</v>
      </c>
      <c r="F2610" s="11"/>
    </row>
    <row r="2611" spans="1:6">
      <c r="A2611" s="5" t="str">
        <f t="shared" si="46"/>
        <v>202310</v>
      </c>
      <c r="B2611" s="5" t="str">
        <f>"23085022816"</f>
        <v>23085022816</v>
      </c>
      <c r="C2611" s="6">
        <v>100.5</v>
      </c>
      <c r="D2611" s="6">
        <v>121</v>
      </c>
      <c r="E2611" s="6">
        <v>221.5</v>
      </c>
      <c r="F2611" s="11"/>
    </row>
    <row r="2612" spans="1:6">
      <c r="A2612" s="5" t="str">
        <f t="shared" si="46"/>
        <v>202310</v>
      </c>
      <c r="B2612" s="5" t="str">
        <f>"23085022619"</f>
        <v>23085022619</v>
      </c>
      <c r="C2612" s="6">
        <v>106.5</v>
      </c>
      <c r="D2612" s="6">
        <v>115</v>
      </c>
      <c r="E2612" s="6">
        <v>221.5</v>
      </c>
      <c r="F2612" s="11"/>
    </row>
    <row r="2613" spans="1:6">
      <c r="A2613" s="5" t="str">
        <f t="shared" si="46"/>
        <v>202310</v>
      </c>
      <c r="B2613" s="5" t="str">
        <f>"23085023012"</f>
        <v>23085023012</v>
      </c>
      <c r="C2613" s="6">
        <v>108</v>
      </c>
      <c r="D2613" s="6">
        <v>113.5</v>
      </c>
      <c r="E2613" s="6">
        <v>221.5</v>
      </c>
      <c r="F2613" s="11"/>
    </row>
    <row r="2614" spans="1:6">
      <c r="A2614" s="5" t="str">
        <f t="shared" si="46"/>
        <v>202310</v>
      </c>
      <c r="B2614" s="5" t="str">
        <f>"23085023007"</f>
        <v>23085023007</v>
      </c>
      <c r="C2614" s="6">
        <v>106.5</v>
      </c>
      <c r="D2614" s="6">
        <v>114.5</v>
      </c>
      <c r="E2614" s="6">
        <v>221</v>
      </c>
      <c r="F2614" s="11"/>
    </row>
    <row r="2615" spans="1:6">
      <c r="A2615" s="5" t="str">
        <f t="shared" si="46"/>
        <v>202310</v>
      </c>
      <c r="B2615" s="5" t="str">
        <f>"23085023507"</f>
        <v>23085023507</v>
      </c>
      <c r="C2615" s="6">
        <v>97.5</v>
      </c>
      <c r="D2615" s="6">
        <v>123.5</v>
      </c>
      <c r="E2615" s="6">
        <v>221</v>
      </c>
      <c r="F2615" s="11"/>
    </row>
    <row r="2616" spans="1:6">
      <c r="A2616" s="5" t="str">
        <f t="shared" ref="A2616:A2679" si="47">"202310"</f>
        <v>202310</v>
      </c>
      <c r="B2616" s="5" t="str">
        <f>"23085022126"</f>
        <v>23085022126</v>
      </c>
      <c r="C2616" s="6">
        <v>105</v>
      </c>
      <c r="D2616" s="6">
        <v>116</v>
      </c>
      <c r="E2616" s="6">
        <v>221</v>
      </c>
      <c r="F2616" s="11"/>
    </row>
    <row r="2617" spans="1:6">
      <c r="A2617" s="5" t="str">
        <f t="shared" si="47"/>
        <v>202310</v>
      </c>
      <c r="B2617" s="5" t="str">
        <f>"23085023404"</f>
        <v>23085023404</v>
      </c>
      <c r="C2617" s="6">
        <v>106.5</v>
      </c>
      <c r="D2617" s="6">
        <v>114.5</v>
      </c>
      <c r="E2617" s="6">
        <v>221</v>
      </c>
      <c r="F2617" s="11"/>
    </row>
    <row r="2618" spans="1:6">
      <c r="A2618" s="5" t="str">
        <f t="shared" si="47"/>
        <v>202310</v>
      </c>
      <c r="B2618" s="5" t="str">
        <f>"23085022330"</f>
        <v>23085022330</v>
      </c>
      <c r="C2618" s="6">
        <v>102</v>
      </c>
      <c r="D2618" s="6">
        <v>118.5</v>
      </c>
      <c r="E2618" s="6">
        <v>220.5</v>
      </c>
      <c r="F2618" s="11"/>
    </row>
    <row r="2619" spans="1:6">
      <c r="A2619" s="5" t="str">
        <f t="shared" si="47"/>
        <v>202310</v>
      </c>
      <c r="B2619" s="5" t="str">
        <f>"23085023415"</f>
        <v>23085023415</v>
      </c>
      <c r="C2619" s="6">
        <v>103.5</v>
      </c>
      <c r="D2619" s="6">
        <v>117</v>
      </c>
      <c r="E2619" s="6">
        <v>220.5</v>
      </c>
      <c r="F2619" s="11"/>
    </row>
    <row r="2620" spans="1:6">
      <c r="A2620" s="5" t="str">
        <f t="shared" si="47"/>
        <v>202310</v>
      </c>
      <c r="B2620" s="5" t="str">
        <f>"23085022819"</f>
        <v>23085022819</v>
      </c>
      <c r="C2620" s="6">
        <v>111</v>
      </c>
      <c r="D2620" s="6">
        <v>109.5</v>
      </c>
      <c r="E2620" s="6">
        <v>220.5</v>
      </c>
      <c r="F2620" s="11"/>
    </row>
    <row r="2621" spans="1:6">
      <c r="A2621" s="5" t="str">
        <f t="shared" si="47"/>
        <v>202310</v>
      </c>
      <c r="B2621" s="5" t="str">
        <f>"23085021904"</f>
        <v>23085021904</v>
      </c>
      <c r="C2621" s="6">
        <v>103.5</v>
      </c>
      <c r="D2621" s="6">
        <v>117</v>
      </c>
      <c r="E2621" s="6">
        <v>220.5</v>
      </c>
      <c r="F2621" s="11"/>
    </row>
    <row r="2622" spans="1:6">
      <c r="A2622" s="5" t="str">
        <f t="shared" si="47"/>
        <v>202310</v>
      </c>
      <c r="B2622" s="5" t="str">
        <f>"23085022518"</f>
        <v>23085022518</v>
      </c>
      <c r="C2622" s="6">
        <v>109.5</v>
      </c>
      <c r="D2622" s="6">
        <v>111</v>
      </c>
      <c r="E2622" s="6">
        <v>220.5</v>
      </c>
      <c r="F2622" s="11"/>
    </row>
    <row r="2623" spans="1:6">
      <c r="A2623" s="5" t="str">
        <f t="shared" si="47"/>
        <v>202310</v>
      </c>
      <c r="B2623" s="5" t="str">
        <f>"23085022727"</f>
        <v>23085022727</v>
      </c>
      <c r="C2623" s="6">
        <v>109.5</v>
      </c>
      <c r="D2623" s="6">
        <v>111</v>
      </c>
      <c r="E2623" s="6">
        <v>220.5</v>
      </c>
      <c r="F2623" s="11"/>
    </row>
    <row r="2624" spans="1:6">
      <c r="A2624" s="5" t="str">
        <f t="shared" si="47"/>
        <v>202310</v>
      </c>
      <c r="B2624" s="5" t="str">
        <f>"23085023706"</f>
        <v>23085023706</v>
      </c>
      <c r="C2624" s="6">
        <v>102</v>
      </c>
      <c r="D2624" s="6">
        <v>118.5</v>
      </c>
      <c r="E2624" s="6">
        <v>220.5</v>
      </c>
      <c r="F2624" s="11"/>
    </row>
    <row r="2625" spans="1:6">
      <c r="A2625" s="5" t="str">
        <f t="shared" si="47"/>
        <v>202310</v>
      </c>
      <c r="B2625" s="5" t="str">
        <f>"23085022708"</f>
        <v>23085022708</v>
      </c>
      <c r="C2625" s="6">
        <v>105</v>
      </c>
      <c r="D2625" s="6">
        <v>115.5</v>
      </c>
      <c r="E2625" s="6">
        <v>220.5</v>
      </c>
      <c r="F2625" s="11"/>
    </row>
    <row r="2626" spans="1:6">
      <c r="A2626" s="5" t="str">
        <f t="shared" si="47"/>
        <v>202310</v>
      </c>
      <c r="B2626" s="5" t="str">
        <f>"23085023628"</f>
        <v>23085023628</v>
      </c>
      <c r="C2626" s="6">
        <v>100.5</v>
      </c>
      <c r="D2626" s="6">
        <v>119.5</v>
      </c>
      <c r="E2626" s="6">
        <v>220</v>
      </c>
      <c r="F2626" s="11"/>
    </row>
    <row r="2627" spans="1:6">
      <c r="A2627" s="5" t="str">
        <f t="shared" si="47"/>
        <v>202310</v>
      </c>
      <c r="B2627" s="5" t="str">
        <f>"23085022917"</f>
        <v>23085022917</v>
      </c>
      <c r="C2627" s="6">
        <v>108</v>
      </c>
      <c r="D2627" s="6">
        <v>112</v>
      </c>
      <c r="E2627" s="6">
        <v>220</v>
      </c>
      <c r="F2627" s="11"/>
    </row>
    <row r="2628" spans="1:6">
      <c r="A2628" s="5" t="str">
        <f t="shared" si="47"/>
        <v>202310</v>
      </c>
      <c r="B2628" s="5" t="str">
        <f>"23085022826"</f>
        <v>23085022826</v>
      </c>
      <c r="C2628" s="6">
        <v>108</v>
      </c>
      <c r="D2628" s="6">
        <v>112</v>
      </c>
      <c r="E2628" s="6">
        <v>220</v>
      </c>
      <c r="F2628" s="11"/>
    </row>
    <row r="2629" spans="1:6">
      <c r="A2629" s="5" t="str">
        <f t="shared" si="47"/>
        <v>202310</v>
      </c>
      <c r="B2629" s="5" t="str">
        <f>"23085023611"</f>
        <v>23085023611</v>
      </c>
      <c r="C2629" s="6">
        <v>103.5</v>
      </c>
      <c r="D2629" s="6">
        <v>116.5</v>
      </c>
      <c r="E2629" s="6">
        <v>220</v>
      </c>
      <c r="F2629" s="11"/>
    </row>
    <row r="2630" spans="1:6">
      <c r="A2630" s="5" t="str">
        <f t="shared" si="47"/>
        <v>202310</v>
      </c>
      <c r="B2630" s="5" t="str">
        <f>"23085021903"</f>
        <v>23085021903</v>
      </c>
      <c r="C2630" s="6">
        <v>111</v>
      </c>
      <c r="D2630" s="6">
        <v>109</v>
      </c>
      <c r="E2630" s="6">
        <v>220</v>
      </c>
      <c r="F2630" s="11"/>
    </row>
    <row r="2631" spans="1:6">
      <c r="A2631" s="5" t="str">
        <f t="shared" si="47"/>
        <v>202310</v>
      </c>
      <c r="B2631" s="5" t="str">
        <f>"23085023704"</f>
        <v>23085023704</v>
      </c>
      <c r="C2631" s="6">
        <v>109.5</v>
      </c>
      <c r="D2631" s="6">
        <v>110.5</v>
      </c>
      <c r="E2631" s="6">
        <v>220</v>
      </c>
      <c r="F2631" s="11"/>
    </row>
    <row r="2632" spans="1:6">
      <c r="A2632" s="5" t="str">
        <f t="shared" si="47"/>
        <v>202310</v>
      </c>
      <c r="B2632" s="5" t="str">
        <f>"23085022327"</f>
        <v>23085022327</v>
      </c>
      <c r="C2632" s="6">
        <v>105</v>
      </c>
      <c r="D2632" s="6">
        <v>115</v>
      </c>
      <c r="E2632" s="6">
        <v>220</v>
      </c>
      <c r="F2632" s="11"/>
    </row>
    <row r="2633" spans="1:6">
      <c r="A2633" s="5" t="str">
        <f t="shared" si="47"/>
        <v>202310</v>
      </c>
      <c r="B2633" s="5" t="str">
        <f>"23085022008"</f>
        <v>23085022008</v>
      </c>
      <c r="C2633" s="6">
        <v>106.5</v>
      </c>
      <c r="D2633" s="6">
        <v>113</v>
      </c>
      <c r="E2633" s="6">
        <v>219.5</v>
      </c>
      <c r="F2633" s="11"/>
    </row>
    <row r="2634" spans="1:6">
      <c r="A2634" s="5" t="str">
        <f t="shared" si="47"/>
        <v>202310</v>
      </c>
      <c r="B2634" s="5" t="str">
        <f>"23085021828"</f>
        <v>23085021828</v>
      </c>
      <c r="C2634" s="6">
        <v>105</v>
      </c>
      <c r="D2634" s="6">
        <v>114.5</v>
      </c>
      <c r="E2634" s="6">
        <v>219.5</v>
      </c>
      <c r="F2634" s="11"/>
    </row>
    <row r="2635" spans="1:6">
      <c r="A2635" s="5" t="str">
        <f t="shared" si="47"/>
        <v>202310</v>
      </c>
      <c r="B2635" s="5" t="str">
        <f>"23085023001"</f>
        <v>23085023001</v>
      </c>
      <c r="C2635" s="6">
        <v>103.5</v>
      </c>
      <c r="D2635" s="6">
        <v>115.5</v>
      </c>
      <c r="E2635" s="6">
        <v>219</v>
      </c>
      <c r="F2635" s="11"/>
    </row>
    <row r="2636" spans="1:6">
      <c r="A2636" s="5" t="str">
        <f t="shared" si="47"/>
        <v>202310</v>
      </c>
      <c r="B2636" s="5" t="str">
        <f>"23085022823"</f>
        <v>23085022823</v>
      </c>
      <c r="C2636" s="6">
        <v>96</v>
      </c>
      <c r="D2636" s="6">
        <v>123</v>
      </c>
      <c r="E2636" s="6">
        <v>219</v>
      </c>
      <c r="F2636" s="11"/>
    </row>
    <row r="2637" spans="1:6">
      <c r="A2637" s="5" t="str">
        <f t="shared" si="47"/>
        <v>202310</v>
      </c>
      <c r="B2637" s="5" t="str">
        <f>"23085022910"</f>
        <v>23085022910</v>
      </c>
      <c r="C2637" s="6">
        <v>106.5</v>
      </c>
      <c r="D2637" s="6">
        <v>112.5</v>
      </c>
      <c r="E2637" s="6">
        <v>219</v>
      </c>
      <c r="F2637" s="11"/>
    </row>
    <row r="2638" spans="1:6">
      <c r="A2638" s="5" t="str">
        <f t="shared" si="47"/>
        <v>202310</v>
      </c>
      <c r="B2638" s="5" t="str">
        <f>"23085023116"</f>
        <v>23085023116</v>
      </c>
      <c r="C2638" s="6">
        <v>100.5</v>
      </c>
      <c r="D2638" s="6">
        <v>118.5</v>
      </c>
      <c r="E2638" s="6">
        <v>219</v>
      </c>
      <c r="F2638" s="11"/>
    </row>
    <row r="2639" spans="1:6">
      <c r="A2639" s="5" t="str">
        <f t="shared" si="47"/>
        <v>202310</v>
      </c>
      <c r="B2639" s="5" t="str">
        <f>"23085022825"</f>
        <v>23085022825</v>
      </c>
      <c r="C2639" s="6">
        <v>106.5</v>
      </c>
      <c r="D2639" s="6">
        <v>112.5</v>
      </c>
      <c r="E2639" s="6">
        <v>219</v>
      </c>
      <c r="F2639" s="11"/>
    </row>
    <row r="2640" spans="1:6">
      <c r="A2640" s="5" t="str">
        <f t="shared" si="47"/>
        <v>202310</v>
      </c>
      <c r="B2640" s="5" t="str">
        <f>"23085022822"</f>
        <v>23085022822</v>
      </c>
      <c r="C2640" s="6">
        <v>102</v>
      </c>
      <c r="D2640" s="6">
        <v>116.5</v>
      </c>
      <c r="E2640" s="6">
        <v>218.5</v>
      </c>
      <c r="F2640" s="11"/>
    </row>
    <row r="2641" spans="1:6">
      <c r="A2641" s="5" t="str">
        <f t="shared" si="47"/>
        <v>202310</v>
      </c>
      <c r="B2641" s="5" t="str">
        <f>"23085022630"</f>
        <v>23085022630</v>
      </c>
      <c r="C2641" s="6">
        <v>100.5</v>
      </c>
      <c r="D2641" s="6">
        <v>118</v>
      </c>
      <c r="E2641" s="6">
        <v>218.5</v>
      </c>
      <c r="F2641" s="11"/>
    </row>
    <row r="2642" spans="1:6">
      <c r="A2642" s="5" t="str">
        <f t="shared" si="47"/>
        <v>202310</v>
      </c>
      <c r="B2642" s="5" t="str">
        <f>"23085023511"</f>
        <v>23085023511</v>
      </c>
      <c r="C2642" s="6">
        <v>111</v>
      </c>
      <c r="D2642" s="6">
        <v>107.5</v>
      </c>
      <c r="E2642" s="6">
        <v>218.5</v>
      </c>
      <c r="F2642" s="11"/>
    </row>
    <row r="2643" spans="1:6">
      <c r="A2643" s="5" t="str">
        <f t="shared" si="47"/>
        <v>202310</v>
      </c>
      <c r="B2643" s="5" t="str">
        <f>"23085023701"</f>
        <v>23085023701</v>
      </c>
      <c r="C2643" s="6">
        <v>109.5</v>
      </c>
      <c r="D2643" s="6">
        <v>109</v>
      </c>
      <c r="E2643" s="6">
        <v>218.5</v>
      </c>
      <c r="F2643" s="11"/>
    </row>
    <row r="2644" spans="1:6">
      <c r="A2644" s="5" t="str">
        <f t="shared" si="47"/>
        <v>202310</v>
      </c>
      <c r="B2644" s="5" t="str">
        <f>"23085023213"</f>
        <v>23085023213</v>
      </c>
      <c r="C2644" s="6">
        <v>106.5</v>
      </c>
      <c r="D2644" s="6">
        <v>112</v>
      </c>
      <c r="E2644" s="6">
        <v>218.5</v>
      </c>
      <c r="F2644" s="11"/>
    </row>
    <row r="2645" spans="1:6">
      <c r="A2645" s="5" t="str">
        <f t="shared" si="47"/>
        <v>202310</v>
      </c>
      <c r="B2645" s="5" t="str">
        <f>"23085022228"</f>
        <v>23085022228</v>
      </c>
      <c r="C2645" s="6">
        <v>102</v>
      </c>
      <c r="D2645" s="6">
        <v>116.5</v>
      </c>
      <c r="E2645" s="6">
        <v>218.5</v>
      </c>
      <c r="F2645" s="11"/>
    </row>
    <row r="2646" spans="1:6">
      <c r="A2646" s="5" t="str">
        <f t="shared" si="47"/>
        <v>202310</v>
      </c>
      <c r="B2646" s="5" t="str">
        <f>"23085022417"</f>
        <v>23085022417</v>
      </c>
      <c r="C2646" s="6">
        <v>102</v>
      </c>
      <c r="D2646" s="6">
        <v>116.5</v>
      </c>
      <c r="E2646" s="6">
        <v>218.5</v>
      </c>
      <c r="F2646" s="11"/>
    </row>
    <row r="2647" spans="1:6">
      <c r="A2647" s="5" t="str">
        <f t="shared" si="47"/>
        <v>202310</v>
      </c>
      <c r="B2647" s="5" t="str">
        <f>"23085022202"</f>
        <v>23085022202</v>
      </c>
      <c r="C2647" s="6">
        <v>105</v>
      </c>
      <c r="D2647" s="6">
        <v>113</v>
      </c>
      <c r="E2647" s="6">
        <v>218</v>
      </c>
      <c r="F2647" s="11"/>
    </row>
    <row r="2648" spans="1:6">
      <c r="A2648" s="5" t="str">
        <f t="shared" si="47"/>
        <v>202310</v>
      </c>
      <c r="B2648" s="5" t="str">
        <f>"23085023224"</f>
        <v>23085023224</v>
      </c>
      <c r="C2648" s="6">
        <v>103.5</v>
      </c>
      <c r="D2648" s="6">
        <v>114.5</v>
      </c>
      <c r="E2648" s="6">
        <v>218</v>
      </c>
      <c r="F2648" s="11"/>
    </row>
    <row r="2649" spans="1:6">
      <c r="A2649" s="5" t="str">
        <f t="shared" si="47"/>
        <v>202310</v>
      </c>
      <c r="B2649" s="5" t="str">
        <f>"23085023411"</f>
        <v>23085023411</v>
      </c>
      <c r="C2649" s="6">
        <v>103.5</v>
      </c>
      <c r="D2649" s="6">
        <v>114.5</v>
      </c>
      <c r="E2649" s="6">
        <v>218</v>
      </c>
      <c r="F2649" s="11"/>
    </row>
    <row r="2650" spans="1:6">
      <c r="A2650" s="5" t="str">
        <f t="shared" si="47"/>
        <v>202310</v>
      </c>
      <c r="B2650" s="5" t="str">
        <f>"23085021927"</f>
        <v>23085021927</v>
      </c>
      <c r="C2650" s="6">
        <v>112.5</v>
      </c>
      <c r="D2650" s="6">
        <v>105.5</v>
      </c>
      <c r="E2650" s="6">
        <v>218</v>
      </c>
      <c r="F2650" s="11"/>
    </row>
    <row r="2651" spans="1:6">
      <c r="A2651" s="5" t="str">
        <f t="shared" si="47"/>
        <v>202310</v>
      </c>
      <c r="B2651" s="5" t="str">
        <f>"23085022105"</f>
        <v>23085022105</v>
      </c>
      <c r="C2651" s="6">
        <v>102</v>
      </c>
      <c r="D2651" s="6">
        <v>115.5</v>
      </c>
      <c r="E2651" s="6">
        <v>217.5</v>
      </c>
      <c r="F2651" s="11"/>
    </row>
    <row r="2652" spans="1:6">
      <c r="A2652" s="5" t="str">
        <f t="shared" si="47"/>
        <v>202310</v>
      </c>
      <c r="B2652" s="5" t="str">
        <f>"23085023228"</f>
        <v>23085023228</v>
      </c>
      <c r="C2652" s="6">
        <v>105</v>
      </c>
      <c r="D2652" s="6">
        <v>112.5</v>
      </c>
      <c r="E2652" s="6">
        <v>217.5</v>
      </c>
      <c r="F2652" s="11"/>
    </row>
    <row r="2653" spans="1:6">
      <c r="A2653" s="5" t="str">
        <f t="shared" si="47"/>
        <v>202310</v>
      </c>
      <c r="B2653" s="5" t="str">
        <f>"23085023503"</f>
        <v>23085023503</v>
      </c>
      <c r="C2653" s="6">
        <v>106.5</v>
      </c>
      <c r="D2653" s="6">
        <v>111</v>
      </c>
      <c r="E2653" s="6">
        <v>217.5</v>
      </c>
      <c r="F2653" s="11"/>
    </row>
    <row r="2654" spans="1:6">
      <c r="A2654" s="5" t="str">
        <f t="shared" si="47"/>
        <v>202310</v>
      </c>
      <c r="B2654" s="5" t="str">
        <f>"23085022729"</f>
        <v>23085022729</v>
      </c>
      <c r="C2654" s="6">
        <v>103.5</v>
      </c>
      <c r="D2654" s="6">
        <v>114</v>
      </c>
      <c r="E2654" s="6">
        <v>217.5</v>
      </c>
      <c r="F2654" s="11"/>
    </row>
    <row r="2655" spans="1:6">
      <c r="A2655" s="5" t="str">
        <f t="shared" si="47"/>
        <v>202310</v>
      </c>
      <c r="B2655" s="5" t="str">
        <f>"23085023210"</f>
        <v>23085023210</v>
      </c>
      <c r="C2655" s="6">
        <v>105</v>
      </c>
      <c r="D2655" s="6">
        <v>112</v>
      </c>
      <c r="E2655" s="6">
        <v>217</v>
      </c>
      <c r="F2655" s="11"/>
    </row>
    <row r="2656" spans="1:6">
      <c r="A2656" s="5" t="str">
        <f t="shared" si="47"/>
        <v>202310</v>
      </c>
      <c r="B2656" s="5" t="str">
        <f>"23085023020"</f>
        <v>23085023020</v>
      </c>
      <c r="C2656" s="6">
        <v>102</v>
      </c>
      <c r="D2656" s="6">
        <v>115</v>
      </c>
      <c r="E2656" s="6">
        <v>217</v>
      </c>
      <c r="F2656" s="11"/>
    </row>
    <row r="2657" spans="1:6">
      <c r="A2657" s="5" t="str">
        <f t="shared" si="47"/>
        <v>202310</v>
      </c>
      <c r="B2657" s="5" t="str">
        <f>"23085022912"</f>
        <v>23085022912</v>
      </c>
      <c r="C2657" s="6">
        <v>103.5</v>
      </c>
      <c r="D2657" s="6">
        <v>113.5</v>
      </c>
      <c r="E2657" s="6">
        <v>217</v>
      </c>
      <c r="F2657" s="11"/>
    </row>
    <row r="2658" spans="1:6">
      <c r="A2658" s="5" t="str">
        <f t="shared" si="47"/>
        <v>202310</v>
      </c>
      <c r="B2658" s="5" t="str">
        <f>"23085022827"</f>
        <v>23085022827</v>
      </c>
      <c r="C2658" s="6">
        <v>97.5</v>
      </c>
      <c r="D2658" s="6">
        <v>119.5</v>
      </c>
      <c r="E2658" s="6">
        <v>217</v>
      </c>
      <c r="F2658" s="11"/>
    </row>
    <row r="2659" spans="1:6">
      <c r="A2659" s="5" t="str">
        <f t="shared" si="47"/>
        <v>202310</v>
      </c>
      <c r="B2659" s="5" t="str">
        <f>"23085022709"</f>
        <v>23085022709</v>
      </c>
      <c r="C2659" s="6">
        <v>105</v>
      </c>
      <c r="D2659" s="6">
        <v>112</v>
      </c>
      <c r="E2659" s="6">
        <v>217</v>
      </c>
      <c r="F2659" s="11"/>
    </row>
    <row r="2660" spans="1:6">
      <c r="A2660" s="5" t="str">
        <f t="shared" si="47"/>
        <v>202310</v>
      </c>
      <c r="B2660" s="5" t="str">
        <f>"23085022703"</f>
        <v>23085022703</v>
      </c>
      <c r="C2660" s="6">
        <v>99</v>
      </c>
      <c r="D2660" s="6">
        <v>118</v>
      </c>
      <c r="E2660" s="6">
        <v>217</v>
      </c>
      <c r="F2660" s="11"/>
    </row>
    <row r="2661" spans="1:6">
      <c r="A2661" s="5" t="str">
        <f t="shared" si="47"/>
        <v>202310</v>
      </c>
      <c r="B2661" s="5" t="str">
        <f>"23085022616"</f>
        <v>23085022616</v>
      </c>
      <c r="C2661" s="6">
        <v>96</v>
      </c>
      <c r="D2661" s="6">
        <v>121</v>
      </c>
      <c r="E2661" s="6">
        <v>217</v>
      </c>
      <c r="F2661" s="11"/>
    </row>
    <row r="2662" spans="1:6">
      <c r="A2662" s="5" t="str">
        <f t="shared" si="47"/>
        <v>202310</v>
      </c>
      <c r="B2662" s="5" t="str">
        <f>"23085022607"</f>
        <v>23085022607</v>
      </c>
      <c r="C2662" s="6">
        <v>105</v>
      </c>
      <c r="D2662" s="6">
        <v>111.5</v>
      </c>
      <c r="E2662" s="6">
        <v>216.5</v>
      </c>
      <c r="F2662" s="11"/>
    </row>
    <row r="2663" spans="1:6">
      <c r="A2663" s="5" t="str">
        <f t="shared" si="47"/>
        <v>202310</v>
      </c>
      <c r="B2663" s="5" t="str">
        <f>"23085022225"</f>
        <v>23085022225</v>
      </c>
      <c r="C2663" s="6">
        <v>103.5</v>
      </c>
      <c r="D2663" s="6">
        <v>113</v>
      </c>
      <c r="E2663" s="6">
        <v>216.5</v>
      </c>
      <c r="F2663" s="11"/>
    </row>
    <row r="2664" spans="1:6">
      <c r="A2664" s="5" t="str">
        <f t="shared" si="47"/>
        <v>202310</v>
      </c>
      <c r="B2664" s="5" t="str">
        <f>"23085022207"</f>
        <v>23085022207</v>
      </c>
      <c r="C2664" s="6">
        <v>99</v>
      </c>
      <c r="D2664" s="6">
        <v>117.5</v>
      </c>
      <c r="E2664" s="6">
        <v>216.5</v>
      </c>
      <c r="F2664" s="11"/>
    </row>
    <row r="2665" spans="1:6">
      <c r="A2665" s="5" t="str">
        <f t="shared" si="47"/>
        <v>202310</v>
      </c>
      <c r="B2665" s="5" t="str">
        <f>"23085023723"</f>
        <v>23085023723</v>
      </c>
      <c r="C2665" s="6">
        <v>97.5</v>
      </c>
      <c r="D2665" s="6">
        <v>119</v>
      </c>
      <c r="E2665" s="6">
        <v>216.5</v>
      </c>
      <c r="F2665" s="11"/>
    </row>
    <row r="2666" spans="1:6">
      <c r="A2666" s="5" t="str">
        <f t="shared" si="47"/>
        <v>202310</v>
      </c>
      <c r="B2666" s="5" t="str">
        <f>"23085022101"</f>
        <v>23085022101</v>
      </c>
      <c r="C2666" s="6">
        <v>105</v>
      </c>
      <c r="D2666" s="6">
        <v>111</v>
      </c>
      <c r="E2666" s="6">
        <v>216</v>
      </c>
      <c r="F2666" s="11"/>
    </row>
    <row r="2667" spans="1:6">
      <c r="A2667" s="5" t="str">
        <f t="shared" si="47"/>
        <v>202310</v>
      </c>
      <c r="B2667" s="5" t="str">
        <f>"23085023524"</f>
        <v>23085023524</v>
      </c>
      <c r="C2667" s="6">
        <v>102</v>
      </c>
      <c r="D2667" s="6">
        <v>114</v>
      </c>
      <c r="E2667" s="6">
        <v>216</v>
      </c>
      <c r="F2667" s="11"/>
    </row>
    <row r="2668" spans="1:6">
      <c r="A2668" s="5" t="str">
        <f t="shared" si="47"/>
        <v>202310</v>
      </c>
      <c r="B2668" s="5" t="str">
        <f>"23085022906"</f>
        <v>23085022906</v>
      </c>
      <c r="C2668" s="6">
        <v>99</v>
      </c>
      <c r="D2668" s="6">
        <v>117</v>
      </c>
      <c r="E2668" s="6">
        <v>216</v>
      </c>
      <c r="F2668" s="11"/>
    </row>
    <row r="2669" spans="1:6">
      <c r="A2669" s="5" t="str">
        <f t="shared" si="47"/>
        <v>202310</v>
      </c>
      <c r="B2669" s="5" t="str">
        <f>"23085022007"</f>
        <v>23085022007</v>
      </c>
      <c r="C2669" s="6">
        <v>103.5</v>
      </c>
      <c r="D2669" s="6">
        <v>112.5</v>
      </c>
      <c r="E2669" s="6">
        <v>216</v>
      </c>
      <c r="F2669" s="11"/>
    </row>
    <row r="2670" spans="1:6">
      <c r="A2670" s="5" t="str">
        <f t="shared" si="47"/>
        <v>202310</v>
      </c>
      <c r="B2670" s="5" t="str">
        <f>"23085022726"</f>
        <v>23085022726</v>
      </c>
      <c r="C2670" s="6">
        <v>99</v>
      </c>
      <c r="D2670" s="6">
        <v>117</v>
      </c>
      <c r="E2670" s="6">
        <v>216</v>
      </c>
      <c r="F2670" s="11"/>
    </row>
    <row r="2671" spans="1:6">
      <c r="A2671" s="5" t="str">
        <f t="shared" si="47"/>
        <v>202310</v>
      </c>
      <c r="B2671" s="5" t="str">
        <f>"23085022411"</f>
        <v>23085022411</v>
      </c>
      <c r="C2671" s="6">
        <v>106.5</v>
      </c>
      <c r="D2671" s="6">
        <v>109.5</v>
      </c>
      <c r="E2671" s="6">
        <v>216</v>
      </c>
      <c r="F2671" s="11"/>
    </row>
    <row r="2672" spans="1:6">
      <c r="A2672" s="5" t="str">
        <f t="shared" si="47"/>
        <v>202310</v>
      </c>
      <c r="B2672" s="5" t="str">
        <f>"23085022429"</f>
        <v>23085022429</v>
      </c>
      <c r="C2672" s="6">
        <v>102</v>
      </c>
      <c r="D2672" s="6">
        <v>114</v>
      </c>
      <c r="E2672" s="6">
        <v>216</v>
      </c>
      <c r="F2672" s="11"/>
    </row>
    <row r="2673" spans="1:6">
      <c r="A2673" s="5" t="str">
        <f t="shared" si="47"/>
        <v>202310</v>
      </c>
      <c r="B2673" s="5" t="str">
        <f>"23085022220"</f>
        <v>23085022220</v>
      </c>
      <c r="C2673" s="6">
        <v>112.5</v>
      </c>
      <c r="D2673" s="6">
        <v>103</v>
      </c>
      <c r="E2673" s="6">
        <v>215.5</v>
      </c>
      <c r="F2673" s="11"/>
    </row>
    <row r="2674" spans="1:6">
      <c r="A2674" s="5" t="str">
        <f t="shared" si="47"/>
        <v>202310</v>
      </c>
      <c r="B2674" s="5" t="str">
        <f>"23085023325"</f>
        <v>23085023325</v>
      </c>
      <c r="C2674" s="6">
        <v>105</v>
      </c>
      <c r="D2674" s="6">
        <v>110.5</v>
      </c>
      <c r="E2674" s="6">
        <v>215.5</v>
      </c>
      <c r="F2674" s="11"/>
    </row>
    <row r="2675" spans="1:6">
      <c r="A2675" s="5" t="str">
        <f t="shared" si="47"/>
        <v>202310</v>
      </c>
      <c r="B2675" s="5" t="str">
        <f>"23085022811"</f>
        <v>23085022811</v>
      </c>
      <c r="C2675" s="6">
        <v>103.5</v>
      </c>
      <c r="D2675" s="6">
        <v>112</v>
      </c>
      <c r="E2675" s="6">
        <v>215.5</v>
      </c>
      <c r="F2675" s="11"/>
    </row>
    <row r="2676" spans="1:6">
      <c r="A2676" s="5" t="str">
        <f t="shared" si="47"/>
        <v>202310</v>
      </c>
      <c r="B2676" s="5" t="str">
        <f>"23085023326"</f>
        <v>23085023326</v>
      </c>
      <c r="C2676" s="6">
        <v>114</v>
      </c>
      <c r="D2676" s="6">
        <v>101.5</v>
      </c>
      <c r="E2676" s="6">
        <v>215.5</v>
      </c>
      <c r="F2676" s="11"/>
    </row>
    <row r="2677" spans="1:6">
      <c r="A2677" s="5" t="str">
        <f t="shared" si="47"/>
        <v>202310</v>
      </c>
      <c r="B2677" s="5" t="str">
        <f>"23085023509"</f>
        <v>23085023509</v>
      </c>
      <c r="C2677" s="6">
        <v>96</v>
      </c>
      <c r="D2677" s="6">
        <v>119.5</v>
      </c>
      <c r="E2677" s="6">
        <v>215.5</v>
      </c>
      <c r="F2677" s="11"/>
    </row>
    <row r="2678" spans="1:6">
      <c r="A2678" s="5" t="str">
        <f t="shared" si="47"/>
        <v>202310</v>
      </c>
      <c r="B2678" s="5" t="str">
        <f>"23085023327"</f>
        <v>23085023327</v>
      </c>
      <c r="C2678" s="6">
        <v>97.5</v>
      </c>
      <c r="D2678" s="6">
        <v>118</v>
      </c>
      <c r="E2678" s="6">
        <v>215.5</v>
      </c>
      <c r="F2678" s="11"/>
    </row>
    <row r="2679" spans="1:6">
      <c r="A2679" s="5" t="str">
        <f t="shared" si="47"/>
        <v>202310</v>
      </c>
      <c r="B2679" s="5" t="str">
        <f>"23085022711"</f>
        <v>23085022711</v>
      </c>
      <c r="C2679" s="6">
        <v>102</v>
      </c>
      <c r="D2679" s="6">
        <v>113.5</v>
      </c>
      <c r="E2679" s="6">
        <v>215.5</v>
      </c>
      <c r="F2679" s="11"/>
    </row>
    <row r="2680" spans="1:6">
      <c r="A2680" s="5" t="str">
        <f t="shared" ref="A2680:A2743" si="48">"202310"</f>
        <v>202310</v>
      </c>
      <c r="B2680" s="5" t="str">
        <f>"23085023416"</f>
        <v>23085023416</v>
      </c>
      <c r="C2680" s="6">
        <v>111</v>
      </c>
      <c r="D2680" s="6">
        <v>104.5</v>
      </c>
      <c r="E2680" s="6">
        <v>215.5</v>
      </c>
      <c r="F2680" s="11"/>
    </row>
    <row r="2681" spans="1:6">
      <c r="A2681" s="5" t="str">
        <f t="shared" si="48"/>
        <v>202310</v>
      </c>
      <c r="B2681" s="5" t="str">
        <f>"23085023207"</f>
        <v>23085023207</v>
      </c>
      <c r="C2681" s="6">
        <v>111</v>
      </c>
      <c r="D2681" s="6">
        <v>104.5</v>
      </c>
      <c r="E2681" s="6">
        <v>215.5</v>
      </c>
      <c r="F2681" s="11"/>
    </row>
    <row r="2682" spans="1:6">
      <c r="A2682" s="5" t="str">
        <f t="shared" si="48"/>
        <v>202310</v>
      </c>
      <c r="B2682" s="5" t="str">
        <f>"23085023515"</f>
        <v>23085023515</v>
      </c>
      <c r="C2682" s="6">
        <v>112.5</v>
      </c>
      <c r="D2682" s="6">
        <v>103</v>
      </c>
      <c r="E2682" s="6">
        <v>215.5</v>
      </c>
      <c r="F2682" s="11"/>
    </row>
    <row r="2683" spans="1:6">
      <c r="A2683" s="5" t="str">
        <f t="shared" si="48"/>
        <v>202310</v>
      </c>
      <c r="B2683" s="5" t="str">
        <f>"23085023613"</f>
        <v>23085023613</v>
      </c>
      <c r="C2683" s="6">
        <v>103.5</v>
      </c>
      <c r="D2683" s="6">
        <v>112</v>
      </c>
      <c r="E2683" s="6">
        <v>215.5</v>
      </c>
      <c r="F2683" s="11"/>
    </row>
    <row r="2684" spans="1:6">
      <c r="A2684" s="5" t="str">
        <f t="shared" si="48"/>
        <v>202310</v>
      </c>
      <c r="B2684" s="5" t="str">
        <f>"23085022529"</f>
        <v>23085022529</v>
      </c>
      <c r="C2684" s="6">
        <v>115.5</v>
      </c>
      <c r="D2684" s="6">
        <v>100</v>
      </c>
      <c r="E2684" s="6">
        <v>215.5</v>
      </c>
      <c r="F2684" s="11"/>
    </row>
    <row r="2685" spans="1:6">
      <c r="A2685" s="5" t="str">
        <f t="shared" si="48"/>
        <v>202310</v>
      </c>
      <c r="B2685" s="5" t="str">
        <f>"23085022604"</f>
        <v>23085022604</v>
      </c>
      <c r="C2685" s="6">
        <v>106.5</v>
      </c>
      <c r="D2685" s="6">
        <v>108.5</v>
      </c>
      <c r="E2685" s="6">
        <v>215</v>
      </c>
      <c r="F2685" s="11"/>
    </row>
    <row r="2686" spans="1:6">
      <c r="A2686" s="5" t="str">
        <f t="shared" si="48"/>
        <v>202310</v>
      </c>
      <c r="B2686" s="5" t="str">
        <f>"23085023606"</f>
        <v>23085023606</v>
      </c>
      <c r="C2686" s="6">
        <v>99</v>
      </c>
      <c r="D2686" s="6">
        <v>116</v>
      </c>
      <c r="E2686" s="6">
        <v>215</v>
      </c>
      <c r="F2686" s="11"/>
    </row>
    <row r="2687" spans="1:6">
      <c r="A2687" s="5" t="str">
        <f t="shared" si="48"/>
        <v>202310</v>
      </c>
      <c r="B2687" s="5" t="str">
        <f>"23085023630"</f>
        <v>23085023630</v>
      </c>
      <c r="C2687" s="6">
        <v>97.5</v>
      </c>
      <c r="D2687" s="6">
        <v>117.5</v>
      </c>
      <c r="E2687" s="6">
        <v>215</v>
      </c>
      <c r="F2687" s="11"/>
    </row>
    <row r="2688" spans="1:6">
      <c r="A2688" s="5" t="str">
        <f t="shared" si="48"/>
        <v>202310</v>
      </c>
      <c r="B2688" s="5" t="str">
        <f>"23085023217"</f>
        <v>23085023217</v>
      </c>
      <c r="C2688" s="6">
        <v>103.5</v>
      </c>
      <c r="D2688" s="6">
        <v>111.5</v>
      </c>
      <c r="E2688" s="6">
        <v>215</v>
      </c>
      <c r="F2688" s="11"/>
    </row>
    <row r="2689" spans="1:6">
      <c r="A2689" s="5" t="str">
        <f t="shared" si="48"/>
        <v>202310</v>
      </c>
      <c r="B2689" s="5" t="str">
        <f>"23085023015"</f>
        <v>23085023015</v>
      </c>
      <c r="C2689" s="6">
        <v>102</v>
      </c>
      <c r="D2689" s="6">
        <v>113</v>
      </c>
      <c r="E2689" s="6">
        <v>215</v>
      </c>
      <c r="F2689" s="11"/>
    </row>
    <row r="2690" spans="1:6">
      <c r="A2690" s="5" t="str">
        <f t="shared" si="48"/>
        <v>202310</v>
      </c>
      <c r="B2690" s="5" t="str">
        <f>"23085023305"</f>
        <v>23085023305</v>
      </c>
      <c r="C2690" s="6">
        <v>108</v>
      </c>
      <c r="D2690" s="6">
        <v>107</v>
      </c>
      <c r="E2690" s="6">
        <v>215</v>
      </c>
      <c r="F2690" s="11"/>
    </row>
    <row r="2691" spans="1:6">
      <c r="A2691" s="5" t="str">
        <f t="shared" si="48"/>
        <v>202310</v>
      </c>
      <c r="B2691" s="5" t="str">
        <f>"23085023329"</f>
        <v>23085023329</v>
      </c>
      <c r="C2691" s="6">
        <v>99</v>
      </c>
      <c r="D2691" s="6">
        <v>116</v>
      </c>
      <c r="E2691" s="6">
        <v>215</v>
      </c>
      <c r="F2691" s="11"/>
    </row>
    <row r="2692" spans="1:6">
      <c r="A2692" s="5" t="str">
        <f t="shared" si="48"/>
        <v>202310</v>
      </c>
      <c r="B2692" s="5" t="str">
        <f>"23085022722"</f>
        <v>23085022722</v>
      </c>
      <c r="C2692" s="6">
        <v>96</v>
      </c>
      <c r="D2692" s="6">
        <v>118.5</v>
      </c>
      <c r="E2692" s="6">
        <v>214.5</v>
      </c>
      <c r="F2692" s="11"/>
    </row>
    <row r="2693" spans="1:6">
      <c r="A2693" s="5" t="str">
        <f t="shared" si="48"/>
        <v>202310</v>
      </c>
      <c r="B2693" s="5" t="str">
        <f>"23085022507"</f>
        <v>23085022507</v>
      </c>
      <c r="C2693" s="6">
        <v>99</v>
      </c>
      <c r="D2693" s="6">
        <v>115.5</v>
      </c>
      <c r="E2693" s="6">
        <v>214.5</v>
      </c>
      <c r="F2693" s="11"/>
    </row>
    <row r="2694" spans="1:6">
      <c r="A2694" s="5" t="str">
        <f t="shared" si="48"/>
        <v>202310</v>
      </c>
      <c r="B2694" s="5" t="str">
        <f>"23085022425"</f>
        <v>23085022425</v>
      </c>
      <c r="C2694" s="6">
        <v>103.5</v>
      </c>
      <c r="D2694" s="6">
        <v>111</v>
      </c>
      <c r="E2694" s="6">
        <v>214.5</v>
      </c>
      <c r="F2694" s="11"/>
    </row>
    <row r="2695" spans="1:6">
      <c r="A2695" s="5" t="str">
        <f t="shared" si="48"/>
        <v>202310</v>
      </c>
      <c r="B2695" s="5" t="str">
        <f>"23085022224"</f>
        <v>23085022224</v>
      </c>
      <c r="C2695" s="6">
        <v>105</v>
      </c>
      <c r="D2695" s="6">
        <v>109.5</v>
      </c>
      <c r="E2695" s="6">
        <v>214.5</v>
      </c>
      <c r="F2695" s="11"/>
    </row>
    <row r="2696" spans="1:6">
      <c r="A2696" s="5" t="str">
        <f t="shared" si="48"/>
        <v>202310</v>
      </c>
      <c r="B2696" s="5" t="str">
        <f>"23085023328"</f>
        <v>23085023328</v>
      </c>
      <c r="C2696" s="6">
        <v>94.5</v>
      </c>
      <c r="D2696" s="6">
        <v>120</v>
      </c>
      <c r="E2696" s="6">
        <v>214.5</v>
      </c>
      <c r="F2696" s="11"/>
    </row>
    <row r="2697" spans="1:6">
      <c r="A2697" s="5" t="str">
        <f t="shared" si="48"/>
        <v>202310</v>
      </c>
      <c r="B2697" s="5" t="str">
        <f>"23085022201"</f>
        <v>23085022201</v>
      </c>
      <c r="C2697" s="6">
        <v>103.5</v>
      </c>
      <c r="D2697" s="6">
        <v>111</v>
      </c>
      <c r="E2697" s="6">
        <v>214.5</v>
      </c>
      <c r="F2697" s="11"/>
    </row>
    <row r="2698" spans="1:6">
      <c r="A2698" s="5" t="str">
        <f t="shared" si="48"/>
        <v>202310</v>
      </c>
      <c r="B2698" s="5" t="str">
        <f>"23085022018"</f>
        <v>23085022018</v>
      </c>
      <c r="C2698" s="6">
        <v>106.5</v>
      </c>
      <c r="D2698" s="6">
        <v>107.5</v>
      </c>
      <c r="E2698" s="6">
        <v>214</v>
      </c>
      <c r="F2698" s="11"/>
    </row>
    <row r="2699" spans="1:6">
      <c r="A2699" s="5" t="str">
        <f t="shared" si="48"/>
        <v>202310</v>
      </c>
      <c r="B2699" s="5" t="str">
        <f>"23085023318"</f>
        <v>23085023318</v>
      </c>
      <c r="C2699" s="6">
        <v>103.5</v>
      </c>
      <c r="D2699" s="6">
        <v>110.5</v>
      </c>
      <c r="E2699" s="6">
        <v>214</v>
      </c>
      <c r="F2699" s="11"/>
    </row>
    <row r="2700" spans="1:6">
      <c r="A2700" s="5" t="str">
        <f t="shared" si="48"/>
        <v>202310</v>
      </c>
      <c r="B2700" s="5" t="str">
        <f>"23085022318"</f>
        <v>23085022318</v>
      </c>
      <c r="C2700" s="6">
        <v>97.5</v>
      </c>
      <c r="D2700" s="6">
        <v>116.5</v>
      </c>
      <c r="E2700" s="6">
        <v>214</v>
      </c>
      <c r="F2700" s="11"/>
    </row>
    <row r="2701" spans="1:6">
      <c r="A2701" s="5" t="str">
        <f t="shared" si="48"/>
        <v>202310</v>
      </c>
      <c r="B2701" s="5" t="str">
        <f>"23085023118"</f>
        <v>23085023118</v>
      </c>
      <c r="C2701" s="6">
        <v>94.5</v>
      </c>
      <c r="D2701" s="6">
        <v>119.5</v>
      </c>
      <c r="E2701" s="6">
        <v>214</v>
      </c>
      <c r="F2701" s="11"/>
    </row>
    <row r="2702" spans="1:6">
      <c r="A2702" s="5" t="str">
        <f t="shared" si="48"/>
        <v>202310</v>
      </c>
      <c r="B2702" s="5" t="str">
        <f>"23085023629"</f>
        <v>23085023629</v>
      </c>
      <c r="C2702" s="6">
        <v>108</v>
      </c>
      <c r="D2702" s="6">
        <v>106</v>
      </c>
      <c r="E2702" s="6">
        <v>214</v>
      </c>
      <c r="F2702" s="11"/>
    </row>
    <row r="2703" spans="1:6">
      <c r="A2703" s="5" t="str">
        <f t="shared" si="48"/>
        <v>202310</v>
      </c>
      <c r="B2703" s="5" t="str">
        <f>"23085023712"</f>
        <v>23085023712</v>
      </c>
      <c r="C2703" s="6">
        <v>96</v>
      </c>
      <c r="D2703" s="6">
        <v>118</v>
      </c>
      <c r="E2703" s="6">
        <v>214</v>
      </c>
      <c r="F2703" s="11"/>
    </row>
    <row r="2704" spans="1:6">
      <c r="A2704" s="5" t="str">
        <f t="shared" si="48"/>
        <v>202310</v>
      </c>
      <c r="B2704" s="5" t="str">
        <f>"23085023225"</f>
        <v>23085023225</v>
      </c>
      <c r="C2704" s="6">
        <v>97.5</v>
      </c>
      <c r="D2704" s="6">
        <v>116.5</v>
      </c>
      <c r="E2704" s="6">
        <v>214</v>
      </c>
      <c r="F2704" s="11"/>
    </row>
    <row r="2705" spans="1:6">
      <c r="A2705" s="5" t="str">
        <f t="shared" si="48"/>
        <v>202310</v>
      </c>
      <c r="B2705" s="5" t="str">
        <f>"23085023301"</f>
        <v>23085023301</v>
      </c>
      <c r="C2705" s="6">
        <v>102</v>
      </c>
      <c r="D2705" s="6">
        <v>112</v>
      </c>
      <c r="E2705" s="6">
        <v>214</v>
      </c>
      <c r="F2705" s="11"/>
    </row>
    <row r="2706" spans="1:6">
      <c r="A2706" s="5" t="str">
        <f t="shared" si="48"/>
        <v>202310</v>
      </c>
      <c r="B2706" s="5" t="str">
        <f>"23085022016"</f>
        <v>23085022016</v>
      </c>
      <c r="C2706" s="6">
        <v>99</v>
      </c>
      <c r="D2706" s="6">
        <v>115</v>
      </c>
      <c r="E2706" s="6">
        <v>214</v>
      </c>
      <c r="F2706" s="11"/>
    </row>
    <row r="2707" spans="1:6">
      <c r="A2707" s="5" t="str">
        <f t="shared" si="48"/>
        <v>202310</v>
      </c>
      <c r="B2707" s="5" t="str">
        <f>"23085021830"</f>
        <v>23085021830</v>
      </c>
      <c r="C2707" s="6">
        <v>109.5</v>
      </c>
      <c r="D2707" s="6">
        <v>104</v>
      </c>
      <c r="E2707" s="6">
        <v>213.5</v>
      </c>
      <c r="F2707" s="11"/>
    </row>
    <row r="2708" spans="1:6">
      <c r="A2708" s="5" t="str">
        <f t="shared" si="48"/>
        <v>202310</v>
      </c>
      <c r="B2708" s="5" t="str">
        <f>"23085023127"</f>
        <v>23085023127</v>
      </c>
      <c r="C2708" s="6">
        <v>103.5</v>
      </c>
      <c r="D2708" s="6">
        <v>110</v>
      </c>
      <c r="E2708" s="6">
        <v>213.5</v>
      </c>
      <c r="F2708" s="11"/>
    </row>
    <row r="2709" spans="1:6">
      <c r="A2709" s="5" t="str">
        <f t="shared" si="48"/>
        <v>202310</v>
      </c>
      <c r="B2709" s="5" t="str">
        <f>"23085022904"</f>
        <v>23085022904</v>
      </c>
      <c r="C2709" s="6">
        <v>97.5</v>
      </c>
      <c r="D2709" s="6">
        <v>116</v>
      </c>
      <c r="E2709" s="6">
        <v>213.5</v>
      </c>
      <c r="F2709" s="11"/>
    </row>
    <row r="2710" spans="1:6">
      <c r="A2710" s="5" t="str">
        <f t="shared" si="48"/>
        <v>202310</v>
      </c>
      <c r="B2710" s="5" t="str">
        <f>"23085022420"</f>
        <v>23085022420</v>
      </c>
      <c r="C2710" s="6">
        <v>108</v>
      </c>
      <c r="D2710" s="6">
        <v>105.5</v>
      </c>
      <c r="E2710" s="6">
        <v>213.5</v>
      </c>
      <c r="F2710" s="11"/>
    </row>
    <row r="2711" spans="1:6">
      <c r="A2711" s="5" t="str">
        <f t="shared" si="48"/>
        <v>202310</v>
      </c>
      <c r="B2711" s="5" t="str">
        <f>"23085022712"</f>
        <v>23085022712</v>
      </c>
      <c r="C2711" s="6">
        <v>105</v>
      </c>
      <c r="D2711" s="6">
        <v>108.5</v>
      </c>
      <c r="E2711" s="6">
        <v>213.5</v>
      </c>
      <c r="F2711" s="11"/>
    </row>
    <row r="2712" spans="1:6">
      <c r="A2712" s="5" t="str">
        <f t="shared" si="48"/>
        <v>202310</v>
      </c>
      <c r="B2712" s="5" t="str">
        <f>"23085023124"</f>
        <v>23085023124</v>
      </c>
      <c r="C2712" s="6">
        <v>99</v>
      </c>
      <c r="D2712" s="6">
        <v>114</v>
      </c>
      <c r="E2712" s="6">
        <v>213</v>
      </c>
      <c r="F2712" s="11"/>
    </row>
    <row r="2713" spans="1:6">
      <c r="A2713" s="5" t="str">
        <f t="shared" si="48"/>
        <v>202310</v>
      </c>
      <c r="B2713" s="5" t="str">
        <f>"23085022120"</f>
        <v>23085022120</v>
      </c>
      <c r="C2713" s="6">
        <v>102</v>
      </c>
      <c r="D2713" s="6">
        <v>111</v>
      </c>
      <c r="E2713" s="6">
        <v>213</v>
      </c>
      <c r="F2713" s="11"/>
    </row>
    <row r="2714" spans="1:6">
      <c r="A2714" s="5" t="str">
        <f t="shared" si="48"/>
        <v>202310</v>
      </c>
      <c r="B2714" s="5" t="str">
        <f>"23085022628"</f>
        <v>23085022628</v>
      </c>
      <c r="C2714" s="6">
        <v>96</v>
      </c>
      <c r="D2714" s="6">
        <v>117</v>
      </c>
      <c r="E2714" s="6">
        <v>213</v>
      </c>
      <c r="F2714" s="11"/>
    </row>
    <row r="2715" spans="1:6">
      <c r="A2715" s="5" t="str">
        <f t="shared" si="48"/>
        <v>202310</v>
      </c>
      <c r="B2715" s="5" t="str">
        <f>"23085022204"</f>
        <v>23085022204</v>
      </c>
      <c r="C2715" s="6">
        <v>106.5</v>
      </c>
      <c r="D2715" s="6">
        <v>106.5</v>
      </c>
      <c r="E2715" s="6">
        <v>213</v>
      </c>
      <c r="F2715" s="11"/>
    </row>
    <row r="2716" spans="1:6">
      <c r="A2716" s="5" t="str">
        <f t="shared" si="48"/>
        <v>202310</v>
      </c>
      <c r="B2716" s="5" t="str">
        <f>"23085023115"</f>
        <v>23085023115</v>
      </c>
      <c r="C2716" s="6">
        <v>102</v>
      </c>
      <c r="D2716" s="6">
        <v>111</v>
      </c>
      <c r="E2716" s="6">
        <v>213</v>
      </c>
      <c r="F2716" s="11"/>
    </row>
    <row r="2717" spans="1:6">
      <c r="A2717" s="5" t="str">
        <f t="shared" si="48"/>
        <v>202310</v>
      </c>
      <c r="B2717" s="5" t="str">
        <f>"23085023314"</f>
        <v>23085023314</v>
      </c>
      <c r="C2717" s="6">
        <v>99</v>
      </c>
      <c r="D2717" s="6">
        <v>114</v>
      </c>
      <c r="E2717" s="6">
        <v>213</v>
      </c>
      <c r="F2717" s="11"/>
    </row>
    <row r="2718" spans="1:6">
      <c r="A2718" s="5" t="str">
        <f t="shared" si="48"/>
        <v>202310</v>
      </c>
      <c r="B2718" s="5" t="str">
        <f>"23085022915"</f>
        <v>23085022915</v>
      </c>
      <c r="C2718" s="6">
        <v>105</v>
      </c>
      <c r="D2718" s="6">
        <v>108</v>
      </c>
      <c r="E2718" s="6">
        <v>213</v>
      </c>
      <c r="F2718" s="11"/>
    </row>
    <row r="2719" spans="1:6">
      <c r="A2719" s="5" t="str">
        <f t="shared" si="48"/>
        <v>202310</v>
      </c>
      <c r="B2719" s="5" t="str">
        <f>"23085023621"</f>
        <v>23085023621</v>
      </c>
      <c r="C2719" s="6">
        <v>100.5</v>
      </c>
      <c r="D2719" s="6">
        <v>112.5</v>
      </c>
      <c r="E2719" s="6">
        <v>213</v>
      </c>
      <c r="F2719" s="11"/>
    </row>
    <row r="2720" spans="1:6">
      <c r="A2720" s="5" t="str">
        <f t="shared" si="48"/>
        <v>202310</v>
      </c>
      <c r="B2720" s="5" t="str">
        <f>"23085023309"</f>
        <v>23085023309</v>
      </c>
      <c r="C2720" s="6">
        <v>97.5</v>
      </c>
      <c r="D2720" s="6">
        <v>115.5</v>
      </c>
      <c r="E2720" s="6">
        <v>213</v>
      </c>
      <c r="F2720" s="11"/>
    </row>
    <row r="2721" spans="1:6">
      <c r="A2721" s="5" t="str">
        <f t="shared" si="48"/>
        <v>202310</v>
      </c>
      <c r="B2721" s="5" t="str">
        <f>"23085023522"</f>
        <v>23085023522</v>
      </c>
      <c r="C2721" s="6">
        <v>99</v>
      </c>
      <c r="D2721" s="6">
        <v>114</v>
      </c>
      <c r="E2721" s="6">
        <v>213</v>
      </c>
      <c r="F2721" s="11"/>
    </row>
    <row r="2722" spans="1:6">
      <c r="A2722" s="5" t="str">
        <f t="shared" si="48"/>
        <v>202310</v>
      </c>
      <c r="B2722" s="5" t="str">
        <f>"23085022303"</f>
        <v>23085022303</v>
      </c>
      <c r="C2722" s="6">
        <v>97.5</v>
      </c>
      <c r="D2722" s="6">
        <v>115.5</v>
      </c>
      <c r="E2722" s="6">
        <v>213</v>
      </c>
      <c r="F2722" s="11"/>
    </row>
    <row r="2723" spans="1:6">
      <c r="A2723" s="5" t="str">
        <f t="shared" si="48"/>
        <v>202310</v>
      </c>
      <c r="B2723" s="5" t="str">
        <f>"23085023025"</f>
        <v>23085023025</v>
      </c>
      <c r="C2723" s="6">
        <v>102</v>
      </c>
      <c r="D2723" s="6">
        <v>111</v>
      </c>
      <c r="E2723" s="6">
        <v>213</v>
      </c>
      <c r="F2723" s="11"/>
    </row>
    <row r="2724" spans="1:6">
      <c r="A2724" s="5" t="str">
        <f t="shared" si="48"/>
        <v>202310</v>
      </c>
      <c r="B2724" s="5" t="str">
        <f>"23085022109"</f>
        <v>23085022109</v>
      </c>
      <c r="C2724" s="6">
        <v>108</v>
      </c>
      <c r="D2724" s="6">
        <v>104.5</v>
      </c>
      <c r="E2724" s="6">
        <v>212.5</v>
      </c>
      <c r="F2724" s="11"/>
    </row>
    <row r="2725" spans="1:6">
      <c r="A2725" s="5" t="str">
        <f t="shared" si="48"/>
        <v>202310</v>
      </c>
      <c r="B2725" s="5" t="str">
        <f>"23085023008"</f>
        <v>23085023008</v>
      </c>
      <c r="C2725" s="6">
        <v>97.5</v>
      </c>
      <c r="D2725" s="6">
        <v>115</v>
      </c>
      <c r="E2725" s="6">
        <v>212.5</v>
      </c>
      <c r="F2725" s="11"/>
    </row>
    <row r="2726" spans="1:6">
      <c r="A2726" s="5" t="str">
        <f t="shared" si="48"/>
        <v>202310</v>
      </c>
      <c r="B2726" s="5" t="str">
        <f>"23085023026"</f>
        <v>23085023026</v>
      </c>
      <c r="C2726" s="6">
        <v>94.5</v>
      </c>
      <c r="D2726" s="6">
        <v>118</v>
      </c>
      <c r="E2726" s="6">
        <v>212.5</v>
      </c>
      <c r="F2726" s="11"/>
    </row>
    <row r="2727" spans="1:6">
      <c r="A2727" s="5" t="str">
        <f t="shared" si="48"/>
        <v>202310</v>
      </c>
      <c r="B2727" s="5" t="str">
        <f>"23085022623"</f>
        <v>23085022623</v>
      </c>
      <c r="C2727" s="6">
        <v>96</v>
      </c>
      <c r="D2727" s="6">
        <v>116</v>
      </c>
      <c r="E2727" s="6">
        <v>212</v>
      </c>
      <c r="F2727" s="11"/>
    </row>
    <row r="2728" spans="1:6">
      <c r="A2728" s="5" t="str">
        <f t="shared" si="48"/>
        <v>202310</v>
      </c>
      <c r="B2728" s="5" t="str">
        <f>"23085022801"</f>
        <v>23085022801</v>
      </c>
      <c r="C2728" s="6">
        <v>99</v>
      </c>
      <c r="D2728" s="6">
        <v>113</v>
      </c>
      <c r="E2728" s="6">
        <v>212</v>
      </c>
      <c r="F2728" s="11"/>
    </row>
    <row r="2729" spans="1:6">
      <c r="A2729" s="5" t="str">
        <f t="shared" si="48"/>
        <v>202310</v>
      </c>
      <c r="B2729" s="5" t="str">
        <f>"23085022818"</f>
        <v>23085022818</v>
      </c>
      <c r="C2729" s="6">
        <v>93</v>
      </c>
      <c r="D2729" s="6">
        <v>119</v>
      </c>
      <c r="E2729" s="6">
        <v>212</v>
      </c>
      <c r="F2729" s="11"/>
    </row>
    <row r="2730" spans="1:6">
      <c r="A2730" s="5" t="str">
        <f t="shared" si="48"/>
        <v>202310</v>
      </c>
      <c r="B2730" s="5" t="str">
        <f>"23085023601"</f>
        <v>23085023601</v>
      </c>
      <c r="C2730" s="6">
        <v>97.5</v>
      </c>
      <c r="D2730" s="6">
        <v>114.5</v>
      </c>
      <c r="E2730" s="6">
        <v>212</v>
      </c>
      <c r="F2730" s="11"/>
    </row>
    <row r="2731" spans="1:6">
      <c r="A2731" s="5" t="str">
        <f t="shared" si="48"/>
        <v>202310</v>
      </c>
      <c r="B2731" s="5" t="str">
        <f>"23085023220"</f>
        <v>23085023220</v>
      </c>
      <c r="C2731" s="6">
        <v>102</v>
      </c>
      <c r="D2731" s="6">
        <v>110</v>
      </c>
      <c r="E2731" s="6">
        <v>212</v>
      </c>
      <c r="F2731" s="11"/>
    </row>
    <row r="2732" spans="1:6">
      <c r="A2732" s="5" t="str">
        <f t="shared" si="48"/>
        <v>202310</v>
      </c>
      <c r="B2732" s="5" t="str">
        <f>"23085022517"</f>
        <v>23085022517</v>
      </c>
      <c r="C2732" s="6">
        <v>97.5</v>
      </c>
      <c r="D2732" s="6">
        <v>114</v>
      </c>
      <c r="E2732" s="6">
        <v>211.5</v>
      </c>
      <c r="F2732" s="11"/>
    </row>
    <row r="2733" spans="1:6">
      <c r="A2733" s="5" t="str">
        <f t="shared" si="48"/>
        <v>202310</v>
      </c>
      <c r="B2733" s="5" t="str">
        <f>"23085023506"</f>
        <v>23085023506</v>
      </c>
      <c r="C2733" s="6">
        <v>100.5</v>
      </c>
      <c r="D2733" s="6">
        <v>111</v>
      </c>
      <c r="E2733" s="6">
        <v>211.5</v>
      </c>
      <c r="F2733" s="11"/>
    </row>
    <row r="2734" spans="1:6">
      <c r="A2734" s="5" t="str">
        <f t="shared" si="48"/>
        <v>202310</v>
      </c>
      <c r="B2734" s="5" t="str">
        <f>"23085021923"</f>
        <v>23085021923</v>
      </c>
      <c r="C2734" s="6">
        <v>100.5</v>
      </c>
      <c r="D2734" s="6">
        <v>111</v>
      </c>
      <c r="E2734" s="6">
        <v>211.5</v>
      </c>
      <c r="F2734" s="11"/>
    </row>
    <row r="2735" spans="1:6">
      <c r="A2735" s="5" t="str">
        <f t="shared" si="48"/>
        <v>202310</v>
      </c>
      <c r="B2735" s="5" t="str">
        <f>"23085023619"</f>
        <v>23085023619</v>
      </c>
      <c r="C2735" s="6">
        <v>97.5</v>
      </c>
      <c r="D2735" s="6">
        <v>114</v>
      </c>
      <c r="E2735" s="6">
        <v>211.5</v>
      </c>
      <c r="F2735" s="11"/>
    </row>
    <row r="2736" spans="1:6">
      <c r="A2736" s="5" t="str">
        <f t="shared" si="48"/>
        <v>202310</v>
      </c>
      <c r="B2736" s="5" t="str">
        <f>"23085022103"</f>
        <v>23085022103</v>
      </c>
      <c r="C2736" s="6">
        <v>100.5</v>
      </c>
      <c r="D2736" s="6">
        <v>111</v>
      </c>
      <c r="E2736" s="6">
        <v>211.5</v>
      </c>
      <c r="F2736" s="11"/>
    </row>
    <row r="2737" spans="1:6">
      <c r="A2737" s="5" t="str">
        <f t="shared" si="48"/>
        <v>202310</v>
      </c>
      <c r="B2737" s="5" t="str">
        <f>"23085022821"</f>
        <v>23085022821</v>
      </c>
      <c r="C2737" s="6">
        <v>96</v>
      </c>
      <c r="D2737" s="6">
        <v>115</v>
      </c>
      <c r="E2737" s="6">
        <v>211</v>
      </c>
      <c r="F2737" s="11"/>
    </row>
    <row r="2738" spans="1:6">
      <c r="A2738" s="5" t="str">
        <f t="shared" si="48"/>
        <v>202310</v>
      </c>
      <c r="B2738" s="5" t="str">
        <f>"23085022322"</f>
        <v>23085022322</v>
      </c>
      <c r="C2738" s="6">
        <v>97.5</v>
      </c>
      <c r="D2738" s="6">
        <v>113.5</v>
      </c>
      <c r="E2738" s="6">
        <v>211</v>
      </c>
      <c r="F2738" s="11"/>
    </row>
    <row r="2739" spans="1:6">
      <c r="A2739" s="5" t="str">
        <f t="shared" si="48"/>
        <v>202310</v>
      </c>
      <c r="B2739" s="5" t="str">
        <f>"23085021911"</f>
        <v>23085021911</v>
      </c>
      <c r="C2739" s="6">
        <v>91.5</v>
      </c>
      <c r="D2739" s="6">
        <v>119.5</v>
      </c>
      <c r="E2739" s="6">
        <v>211</v>
      </c>
      <c r="F2739" s="11"/>
    </row>
    <row r="2740" spans="1:6">
      <c r="A2740" s="5" t="str">
        <f t="shared" si="48"/>
        <v>202310</v>
      </c>
      <c r="B2740" s="5" t="str">
        <f>"23085022424"</f>
        <v>23085022424</v>
      </c>
      <c r="C2740" s="6">
        <v>103.5</v>
      </c>
      <c r="D2740" s="6">
        <v>107.5</v>
      </c>
      <c r="E2740" s="6">
        <v>211</v>
      </c>
      <c r="F2740" s="11"/>
    </row>
    <row r="2741" spans="1:6">
      <c r="A2741" s="5" t="str">
        <f t="shared" si="48"/>
        <v>202310</v>
      </c>
      <c r="B2741" s="5" t="str">
        <f>"23085023722"</f>
        <v>23085023722</v>
      </c>
      <c r="C2741" s="6">
        <v>97.5</v>
      </c>
      <c r="D2741" s="6">
        <v>113.5</v>
      </c>
      <c r="E2741" s="6">
        <v>211</v>
      </c>
      <c r="F2741" s="11"/>
    </row>
    <row r="2742" spans="1:6">
      <c r="A2742" s="5" t="str">
        <f t="shared" si="48"/>
        <v>202310</v>
      </c>
      <c r="B2742" s="5" t="str">
        <f>"23085023121"</f>
        <v>23085023121</v>
      </c>
      <c r="C2742" s="6">
        <v>93</v>
      </c>
      <c r="D2742" s="6">
        <v>118</v>
      </c>
      <c r="E2742" s="6">
        <v>211</v>
      </c>
      <c r="F2742" s="11"/>
    </row>
    <row r="2743" spans="1:6">
      <c r="A2743" s="5" t="str">
        <f t="shared" si="48"/>
        <v>202310</v>
      </c>
      <c r="B2743" s="5" t="str">
        <f>"23085022914"</f>
        <v>23085022914</v>
      </c>
      <c r="C2743" s="6">
        <v>88.5</v>
      </c>
      <c r="D2743" s="6">
        <v>122.5</v>
      </c>
      <c r="E2743" s="6">
        <v>211</v>
      </c>
      <c r="F2743" s="11"/>
    </row>
    <row r="2744" spans="1:6">
      <c r="A2744" s="5" t="str">
        <f t="shared" ref="A2744:A2807" si="49">"202310"</f>
        <v>202310</v>
      </c>
      <c r="B2744" s="5" t="str">
        <f>"23085023106"</f>
        <v>23085023106</v>
      </c>
      <c r="C2744" s="6">
        <v>90</v>
      </c>
      <c r="D2744" s="6">
        <v>121</v>
      </c>
      <c r="E2744" s="6">
        <v>211</v>
      </c>
      <c r="F2744" s="11"/>
    </row>
    <row r="2745" spans="1:6">
      <c r="A2745" s="5" t="str">
        <f t="shared" si="49"/>
        <v>202310</v>
      </c>
      <c r="B2745" s="5" t="str">
        <f>"23085023013"</f>
        <v>23085023013</v>
      </c>
      <c r="C2745" s="6">
        <v>96</v>
      </c>
      <c r="D2745" s="6">
        <v>115</v>
      </c>
      <c r="E2745" s="6">
        <v>211</v>
      </c>
      <c r="F2745" s="11"/>
    </row>
    <row r="2746" spans="1:6">
      <c r="A2746" s="5" t="str">
        <f t="shared" si="49"/>
        <v>202310</v>
      </c>
      <c r="B2746" s="5" t="str">
        <f>"23085022407"</f>
        <v>23085022407</v>
      </c>
      <c r="C2746" s="6">
        <v>91.5</v>
      </c>
      <c r="D2746" s="6">
        <v>119.5</v>
      </c>
      <c r="E2746" s="6">
        <v>211</v>
      </c>
      <c r="F2746" s="11"/>
    </row>
    <row r="2747" spans="1:6">
      <c r="A2747" s="5" t="str">
        <f t="shared" si="49"/>
        <v>202310</v>
      </c>
      <c r="B2747" s="5" t="str">
        <f>"23085023103"</f>
        <v>23085023103</v>
      </c>
      <c r="C2747" s="6">
        <v>96</v>
      </c>
      <c r="D2747" s="6">
        <v>114.5</v>
      </c>
      <c r="E2747" s="6">
        <v>210.5</v>
      </c>
      <c r="F2747" s="11"/>
    </row>
    <row r="2748" spans="1:6">
      <c r="A2748" s="5" t="str">
        <f t="shared" si="49"/>
        <v>202310</v>
      </c>
      <c r="B2748" s="5" t="str">
        <f>"23085023112"</f>
        <v>23085023112</v>
      </c>
      <c r="C2748" s="6">
        <v>100.5</v>
      </c>
      <c r="D2748" s="6">
        <v>110</v>
      </c>
      <c r="E2748" s="6">
        <v>210.5</v>
      </c>
      <c r="F2748" s="11"/>
    </row>
    <row r="2749" spans="1:6">
      <c r="A2749" s="5" t="str">
        <f t="shared" si="49"/>
        <v>202310</v>
      </c>
      <c r="B2749" s="5" t="str">
        <f>"23085023711"</f>
        <v>23085023711</v>
      </c>
      <c r="C2749" s="6">
        <v>94.5</v>
      </c>
      <c r="D2749" s="6">
        <v>116</v>
      </c>
      <c r="E2749" s="6">
        <v>210.5</v>
      </c>
      <c r="F2749" s="11"/>
    </row>
    <row r="2750" spans="1:6">
      <c r="A2750" s="5" t="str">
        <f t="shared" si="49"/>
        <v>202310</v>
      </c>
      <c r="B2750" s="5" t="str">
        <f>"23085022414"</f>
        <v>23085022414</v>
      </c>
      <c r="C2750" s="6">
        <v>102</v>
      </c>
      <c r="D2750" s="6">
        <v>108</v>
      </c>
      <c r="E2750" s="6">
        <v>210</v>
      </c>
      <c r="F2750" s="11"/>
    </row>
    <row r="2751" spans="1:6">
      <c r="A2751" s="5" t="str">
        <f t="shared" si="49"/>
        <v>202310</v>
      </c>
      <c r="B2751" s="5" t="str">
        <f>"23085022223"</f>
        <v>23085022223</v>
      </c>
      <c r="C2751" s="6">
        <v>97.5</v>
      </c>
      <c r="D2751" s="6">
        <v>112.5</v>
      </c>
      <c r="E2751" s="6">
        <v>210</v>
      </c>
      <c r="F2751" s="11"/>
    </row>
    <row r="2752" spans="1:6">
      <c r="A2752" s="5" t="str">
        <f t="shared" si="49"/>
        <v>202310</v>
      </c>
      <c r="B2752" s="5" t="str">
        <f>"23085023530"</f>
        <v>23085023530</v>
      </c>
      <c r="C2752" s="6">
        <v>99</v>
      </c>
      <c r="D2752" s="6">
        <v>110.5</v>
      </c>
      <c r="E2752" s="6">
        <v>209.5</v>
      </c>
      <c r="F2752" s="11"/>
    </row>
    <row r="2753" spans="1:6">
      <c r="A2753" s="5" t="str">
        <f t="shared" si="49"/>
        <v>202310</v>
      </c>
      <c r="B2753" s="5" t="str">
        <f>"23085023705"</f>
        <v>23085023705</v>
      </c>
      <c r="C2753" s="6">
        <v>100.5</v>
      </c>
      <c r="D2753" s="6">
        <v>109</v>
      </c>
      <c r="E2753" s="6">
        <v>209.5</v>
      </c>
      <c r="F2753" s="11"/>
    </row>
    <row r="2754" spans="1:6">
      <c r="A2754" s="5" t="str">
        <f t="shared" si="49"/>
        <v>202310</v>
      </c>
      <c r="B2754" s="5" t="str">
        <f>"23085023117"</f>
        <v>23085023117</v>
      </c>
      <c r="C2754" s="6">
        <v>90</v>
      </c>
      <c r="D2754" s="6">
        <v>119.5</v>
      </c>
      <c r="E2754" s="6">
        <v>209.5</v>
      </c>
      <c r="F2754" s="11"/>
    </row>
    <row r="2755" spans="1:6">
      <c r="A2755" s="5" t="str">
        <f t="shared" si="49"/>
        <v>202310</v>
      </c>
      <c r="B2755" s="5" t="str">
        <f>"23085023123"</f>
        <v>23085023123</v>
      </c>
      <c r="C2755" s="6">
        <v>96</v>
      </c>
      <c r="D2755" s="6">
        <v>113.5</v>
      </c>
      <c r="E2755" s="6">
        <v>209.5</v>
      </c>
      <c r="F2755" s="11"/>
    </row>
    <row r="2756" spans="1:6">
      <c r="A2756" s="5" t="str">
        <f t="shared" si="49"/>
        <v>202310</v>
      </c>
      <c r="B2756" s="5" t="str">
        <f>"23085022001"</f>
        <v>23085022001</v>
      </c>
      <c r="C2756" s="6">
        <v>97.5</v>
      </c>
      <c r="D2756" s="6">
        <v>112</v>
      </c>
      <c r="E2756" s="6">
        <v>209.5</v>
      </c>
      <c r="F2756" s="11"/>
    </row>
    <row r="2757" spans="1:6">
      <c r="A2757" s="5" t="str">
        <f t="shared" si="49"/>
        <v>202310</v>
      </c>
      <c r="B2757" s="5" t="str">
        <f>"23085022522"</f>
        <v>23085022522</v>
      </c>
      <c r="C2757" s="6">
        <v>105</v>
      </c>
      <c r="D2757" s="6">
        <v>104</v>
      </c>
      <c r="E2757" s="6">
        <v>209</v>
      </c>
      <c r="F2757" s="11"/>
    </row>
    <row r="2758" spans="1:6">
      <c r="A2758" s="5" t="str">
        <f t="shared" si="49"/>
        <v>202310</v>
      </c>
      <c r="B2758" s="5" t="str">
        <f>"23085023017"</f>
        <v>23085023017</v>
      </c>
      <c r="C2758" s="6">
        <v>97.5</v>
      </c>
      <c r="D2758" s="6">
        <v>111.5</v>
      </c>
      <c r="E2758" s="6">
        <v>209</v>
      </c>
      <c r="F2758" s="11"/>
    </row>
    <row r="2759" spans="1:6">
      <c r="A2759" s="5" t="str">
        <f t="shared" si="49"/>
        <v>202310</v>
      </c>
      <c r="B2759" s="5" t="str">
        <f>"23085022504"</f>
        <v>23085022504</v>
      </c>
      <c r="C2759" s="6">
        <v>97.5</v>
      </c>
      <c r="D2759" s="6">
        <v>111.5</v>
      </c>
      <c r="E2759" s="6">
        <v>209</v>
      </c>
      <c r="F2759" s="11"/>
    </row>
    <row r="2760" spans="1:6">
      <c r="A2760" s="5" t="str">
        <f t="shared" si="49"/>
        <v>202310</v>
      </c>
      <c r="B2760" s="5" t="str">
        <f>"23085023428"</f>
        <v>23085023428</v>
      </c>
      <c r="C2760" s="6">
        <v>94.5</v>
      </c>
      <c r="D2760" s="6">
        <v>114.5</v>
      </c>
      <c r="E2760" s="6">
        <v>209</v>
      </c>
      <c r="F2760" s="11"/>
    </row>
    <row r="2761" spans="1:6">
      <c r="A2761" s="5" t="str">
        <f t="shared" si="49"/>
        <v>202310</v>
      </c>
      <c r="B2761" s="5" t="str">
        <f>"23085022611"</f>
        <v>23085022611</v>
      </c>
      <c r="C2761" s="6">
        <v>90</v>
      </c>
      <c r="D2761" s="6">
        <v>119</v>
      </c>
      <c r="E2761" s="6">
        <v>209</v>
      </c>
      <c r="F2761" s="11"/>
    </row>
    <row r="2762" spans="1:6">
      <c r="A2762" s="5" t="str">
        <f t="shared" si="49"/>
        <v>202310</v>
      </c>
      <c r="B2762" s="5" t="str">
        <f>"23085022625"</f>
        <v>23085022625</v>
      </c>
      <c r="C2762" s="6">
        <v>90</v>
      </c>
      <c r="D2762" s="6">
        <v>119</v>
      </c>
      <c r="E2762" s="6">
        <v>209</v>
      </c>
      <c r="F2762" s="11"/>
    </row>
    <row r="2763" spans="1:6">
      <c r="A2763" s="5" t="str">
        <f t="shared" si="49"/>
        <v>202310</v>
      </c>
      <c r="B2763" s="5" t="str">
        <f>"23085023602"</f>
        <v>23085023602</v>
      </c>
      <c r="C2763" s="6">
        <v>97.5</v>
      </c>
      <c r="D2763" s="6">
        <v>111</v>
      </c>
      <c r="E2763" s="6">
        <v>208.5</v>
      </c>
      <c r="F2763" s="11"/>
    </row>
    <row r="2764" spans="1:6">
      <c r="A2764" s="5" t="str">
        <f t="shared" si="49"/>
        <v>202310</v>
      </c>
      <c r="B2764" s="5" t="str">
        <f>"23085022615"</f>
        <v>23085022615</v>
      </c>
      <c r="C2764" s="6">
        <v>103.5</v>
      </c>
      <c r="D2764" s="6">
        <v>105</v>
      </c>
      <c r="E2764" s="6">
        <v>208.5</v>
      </c>
      <c r="F2764" s="11"/>
    </row>
    <row r="2765" spans="1:6">
      <c r="A2765" s="5" t="str">
        <f t="shared" si="49"/>
        <v>202310</v>
      </c>
      <c r="B2765" s="5" t="str">
        <f>"23085023119"</f>
        <v>23085023119</v>
      </c>
      <c r="C2765" s="6">
        <v>91.5</v>
      </c>
      <c r="D2765" s="6">
        <v>117</v>
      </c>
      <c r="E2765" s="6">
        <v>208.5</v>
      </c>
      <c r="F2765" s="11"/>
    </row>
    <row r="2766" spans="1:6">
      <c r="A2766" s="5" t="str">
        <f t="shared" si="49"/>
        <v>202310</v>
      </c>
      <c r="B2766" s="5" t="str">
        <f>"23085022410"</f>
        <v>23085022410</v>
      </c>
      <c r="C2766" s="6">
        <v>94.5</v>
      </c>
      <c r="D2766" s="6">
        <v>114</v>
      </c>
      <c r="E2766" s="6">
        <v>208.5</v>
      </c>
      <c r="F2766" s="11"/>
    </row>
    <row r="2767" spans="1:6">
      <c r="A2767" s="5" t="str">
        <f t="shared" si="49"/>
        <v>202310</v>
      </c>
      <c r="B2767" s="5" t="str">
        <f>"23085023407"</f>
        <v>23085023407</v>
      </c>
      <c r="C2767" s="6">
        <v>97.5</v>
      </c>
      <c r="D2767" s="6">
        <v>111</v>
      </c>
      <c r="E2767" s="6">
        <v>208.5</v>
      </c>
      <c r="F2767" s="11"/>
    </row>
    <row r="2768" spans="1:6">
      <c r="A2768" s="5" t="str">
        <f t="shared" si="49"/>
        <v>202310</v>
      </c>
      <c r="B2768" s="5" t="str">
        <f>"23085023323"</f>
        <v>23085023323</v>
      </c>
      <c r="C2768" s="6">
        <v>97.5</v>
      </c>
      <c r="D2768" s="6">
        <v>111</v>
      </c>
      <c r="E2768" s="6">
        <v>208.5</v>
      </c>
      <c r="F2768" s="11"/>
    </row>
    <row r="2769" spans="1:6">
      <c r="A2769" s="5" t="str">
        <f t="shared" si="49"/>
        <v>202310</v>
      </c>
      <c r="B2769" s="5" t="str">
        <f>"23085023209"</f>
        <v>23085023209</v>
      </c>
      <c r="C2769" s="6">
        <v>90</v>
      </c>
      <c r="D2769" s="6">
        <v>118</v>
      </c>
      <c r="E2769" s="6">
        <v>208</v>
      </c>
      <c r="F2769" s="11"/>
    </row>
    <row r="2770" spans="1:6">
      <c r="A2770" s="5" t="str">
        <f t="shared" si="49"/>
        <v>202310</v>
      </c>
      <c r="B2770" s="5" t="str">
        <f>"23085021829"</f>
        <v>23085021829</v>
      </c>
      <c r="C2770" s="6">
        <v>105</v>
      </c>
      <c r="D2770" s="6">
        <v>103</v>
      </c>
      <c r="E2770" s="6">
        <v>208</v>
      </c>
      <c r="F2770" s="11"/>
    </row>
    <row r="2771" spans="1:6">
      <c r="A2771" s="5" t="str">
        <f t="shared" si="49"/>
        <v>202310</v>
      </c>
      <c r="B2771" s="5" t="str">
        <f>"23085023406"</f>
        <v>23085023406</v>
      </c>
      <c r="C2771" s="6">
        <v>93</v>
      </c>
      <c r="D2771" s="6">
        <v>114.5</v>
      </c>
      <c r="E2771" s="6">
        <v>207.5</v>
      </c>
      <c r="F2771" s="11"/>
    </row>
    <row r="2772" spans="1:6">
      <c r="A2772" s="5" t="str">
        <f t="shared" si="49"/>
        <v>202310</v>
      </c>
      <c r="B2772" s="5" t="str">
        <f>"23085023724"</f>
        <v>23085023724</v>
      </c>
      <c r="C2772" s="6">
        <v>88.5</v>
      </c>
      <c r="D2772" s="6">
        <v>119</v>
      </c>
      <c r="E2772" s="6">
        <v>207.5</v>
      </c>
      <c r="F2772" s="11"/>
    </row>
    <row r="2773" spans="1:6">
      <c r="A2773" s="5" t="str">
        <f t="shared" si="49"/>
        <v>202310</v>
      </c>
      <c r="B2773" s="5" t="str">
        <f>"23085022002"</f>
        <v>23085022002</v>
      </c>
      <c r="C2773" s="6">
        <v>100.5</v>
      </c>
      <c r="D2773" s="6">
        <v>107</v>
      </c>
      <c r="E2773" s="6">
        <v>207.5</v>
      </c>
      <c r="F2773" s="11"/>
    </row>
    <row r="2774" spans="1:6">
      <c r="A2774" s="5" t="str">
        <f t="shared" si="49"/>
        <v>202310</v>
      </c>
      <c r="B2774" s="5" t="str">
        <f>"23085022521"</f>
        <v>23085022521</v>
      </c>
      <c r="C2774" s="6">
        <v>94.5</v>
      </c>
      <c r="D2774" s="6">
        <v>113</v>
      </c>
      <c r="E2774" s="6">
        <v>207.5</v>
      </c>
      <c r="F2774" s="11"/>
    </row>
    <row r="2775" spans="1:6">
      <c r="A2775" s="5" t="str">
        <f t="shared" si="49"/>
        <v>202310</v>
      </c>
      <c r="B2775" s="5" t="str">
        <f>"23085022704"</f>
        <v>23085022704</v>
      </c>
      <c r="C2775" s="6">
        <v>93</v>
      </c>
      <c r="D2775" s="6">
        <v>114.5</v>
      </c>
      <c r="E2775" s="6">
        <v>207.5</v>
      </c>
      <c r="F2775" s="11"/>
    </row>
    <row r="2776" spans="1:6">
      <c r="A2776" s="5" t="str">
        <f t="shared" si="49"/>
        <v>202310</v>
      </c>
      <c r="B2776" s="5" t="str">
        <f>"23085022923"</f>
        <v>23085022923</v>
      </c>
      <c r="C2776" s="6">
        <v>99</v>
      </c>
      <c r="D2776" s="6">
        <v>108.5</v>
      </c>
      <c r="E2776" s="6">
        <v>207.5</v>
      </c>
      <c r="F2776" s="11"/>
    </row>
    <row r="2777" spans="1:6">
      <c r="A2777" s="5" t="str">
        <f t="shared" si="49"/>
        <v>202310</v>
      </c>
      <c r="B2777" s="5" t="str">
        <f>"23085022304"</f>
        <v>23085022304</v>
      </c>
      <c r="C2777" s="6">
        <v>82.5</v>
      </c>
      <c r="D2777" s="6">
        <v>124.5</v>
      </c>
      <c r="E2777" s="6">
        <v>207</v>
      </c>
      <c r="F2777" s="11"/>
    </row>
    <row r="2778" spans="1:6">
      <c r="A2778" s="5" t="str">
        <f t="shared" si="49"/>
        <v>202310</v>
      </c>
      <c r="B2778" s="5" t="str">
        <f>"23085023527"</f>
        <v>23085023527</v>
      </c>
      <c r="C2778" s="6">
        <v>99</v>
      </c>
      <c r="D2778" s="6">
        <v>108</v>
      </c>
      <c r="E2778" s="6">
        <v>207</v>
      </c>
      <c r="F2778" s="11"/>
    </row>
    <row r="2779" spans="1:6">
      <c r="A2779" s="5" t="str">
        <f t="shared" si="49"/>
        <v>202310</v>
      </c>
      <c r="B2779" s="5" t="str">
        <f>"23085022402"</f>
        <v>23085022402</v>
      </c>
      <c r="C2779" s="6">
        <v>97.5</v>
      </c>
      <c r="D2779" s="6">
        <v>109.5</v>
      </c>
      <c r="E2779" s="6">
        <v>207</v>
      </c>
      <c r="F2779" s="11"/>
    </row>
    <row r="2780" spans="1:6">
      <c r="A2780" s="5" t="str">
        <f t="shared" si="49"/>
        <v>202310</v>
      </c>
      <c r="B2780" s="5" t="str">
        <f>"23085021930"</f>
        <v>23085021930</v>
      </c>
      <c r="C2780" s="6">
        <v>87</v>
      </c>
      <c r="D2780" s="6">
        <v>119.5</v>
      </c>
      <c r="E2780" s="6">
        <v>206.5</v>
      </c>
      <c r="F2780" s="11"/>
    </row>
    <row r="2781" spans="1:6">
      <c r="A2781" s="5" t="str">
        <f t="shared" si="49"/>
        <v>202310</v>
      </c>
      <c r="B2781" s="5" t="str">
        <f>"23085023215"</f>
        <v>23085023215</v>
      </c>
      <c r="C2781" s="6">
        <v>93</v>
      </c>
      <c r="D2781" s="6">
        <v>113</v>
      </c>
      <c r="E2781" s="6">
        <v>206</v>
      </c>
      <c r="F2781" s="11"/>
    </row>
    <row r="2782" spans="1:6">
      <c r="A2782" s="5" t="str">
        <f t="shared" si="49"/>
        <v>202310</v>
      </c>
      <c r="B2782" s="5" t="str">
        <f>"23085023608"</f>
        <v>23085023608</v>
      </c>
      <c r="C2782" s="6">
        <v>85.5</v>
      </c>
      <c r="D2782" s="6">
        <v>120.5</v>
      </c>
      <c r="E2782" s="6">
        <v>206</v>
      </c>
      <c r="F2782" s="11"/>
    </row>
    <row r="2783" spans="1:6">
      <c r="A2783" s="5" t="str">
        <f t="shared" si="49"/>
        <v>202310</v>
      </c>
      <c r="B2783" s="5" t="str">
        <f>"23085022817"</f>
        <v>23085022817</v>
      </c>
      <c r="C2783" s="6">
        <v>91.5</v>
      </c>
      <c r="D2783" s="6">
        <v>114.5</v>
      </c>
      <c r="E2783" s="6">
        <v>206</v>
      </c>
      <c r="F2783" s="11"/>
    </row>
    <row r="2784" spans="1:6">
      <c r="A2784" s="5" t="str">
        <f t="shared" si="49"/>
        <v>202310</v>
      </c>
      <c r="B2784" s="5" t="str">
        <f>"23085021915"</f>
        <v>23085021915</v>
      </c>
      <c r="C2784" s="6">
        <v>102</v>
      </c>
      <c r="D2784" s="6">
        <v>103.5</v>
      </c>
      <c r="E2784" s="6">
        <v>205.5</v>
      </c>
      <c r="F2784" s="11"/>
    </row>
    <row r="2785" spans="1:6">
      <c r="A2785" s="5" t="str">
        <f t="shared" si="49"/>
        <v>202310</v>
      </c>
      <c r="B2785" s="5" t="str">
        <f>"23085022416"</f>
        <v>23085022416</v>
      </c>
      <c r="C2785" s="6">
        <v>90</v>
      </c>
      <c r="D2785" s="6">
        <v>115.5</v>
      </c>
      <c r="E2785" s="6">
        <v>205.5</v>
      </c>
      <c r="F2785" s="11"/>
    </row>
    <row r="2786" spans="1:6">
      <c r="A2786" s="5" t="str">
        <f t="shared" si="49"/>
        <v>202310</v>
      </c>
      <c r="B2786" s="5" t="str">
        <f>"23085022211"</f>
        <v>23085022211</v>
      </c>
      <c r="C2786" s="6">
        <v>93</v>
      </c>
      <c r="D2786" s="6">
        <v>112.5</v>
      </c>
      <c r="E2786" s="6">
        <v>205.5</v>
      </c>
      <c r="F2786" s="11"/>
    </row>
    <row r="2787" spans="1:6">
      <c r="A2787" s="5" t="str">
        <f t="shared" si="49"/>
        <v>202310</v>
      </c>
      <c r="B2787" s="5" t="str">
        <f>"23085022312"</f>
        <v>23085022312</v>
      </c>
      <c r="C2787" s="6">
        <v>99</v>
      </c>
      <c r="D2787" s="6">
        <v>106.5</v>
      </c>
      <c r="E2787" s="6">
        <v>205.5</v>
      </c>
      <c r="F2787" s="11"/>
    </row>
    <row r="2788" spans="1:6">
      <c r="A2788" s="5" t="str">
        <f t="shared" si="49"/>
        <v>202310</v>
      </c>
      <c r="B2788" s="5" t="str">
        <f>"23085023512"</f>
        <v>23085023512</v>
      </c>
      <c r="C2788" s="6">
        <v>100.5</v>
      </c>
      <c r="D2788" s="6">
        <v>105</v>
      </c>
      <c r="E2788" s="6">
        <v>205.5</v>
      </c>
      <c r="F2788" s="11"/>
    </row>
    <row r="2789" spans="1:6">
      <c r="A2789" s="5" t="str">
        <f t="shared" si="49"/>
        <v>202310</v>
      </c>
      <c r="B2789" s="5" t="str">
        <f>"23085023018"</f>
        <v>23085023018</v>
      </c>
      <c r="C2789" s="6">
        <v>85.5</v>
      </c>
      <c r="D2789" s="6">
        <v>120</v>
      </c>
      <c r="E2789" s="6">
        <v>205.5</v>
      </c>
      <c r="F2789" s="11"/>
    </row>
    <row r="2790" spans="1:6">
      <c r="A2790" s="5" t="str">
        <f t="shared" si="49"/>
        <v>202310</v>
      </c>
      <c r="B2790" s="5" t="str">
        <f>"23085022004"</f>
        <v>23085022004</v>
      </c>
      <c r="C2790" s="6">
        <v>105</v>
      </c>
      <c r="D2790" s="6">
        <v>100</v>
      </c>
      <c r="E2790" s="6">
        <v>205</v>
      </c>
      <c r="F2790" s="11"/>
    </row>
    <row r="2791" spans="1:6">
      <c r="A2791" s="5" t="str">
        <f t="shared" si="49"/>
        <v>202310</v>
      </c>
      <c r="B2791" s="5" t="str">
        <f>"23085023402"</f>
        <v>23085023402</v>
      </c>
      <c r="C2791" s="6">
        <v>97.5</v>
      </c>
      <c r="D2791" s="6">
        <v>107.5</v>
      </c>
      <c r="E2791" s="6">
        <v>205</v>
      </c>
      <c r="F2791" s="11"/>
    </row>
    <row r="2792" spans="1:6">
      <c r="A2792" s="5" t="str">
        <f t="shared" si="49"/>
        <v>202310</v>
      </c>
      <c r="B2792" s="5" t="str">
        <f>"23085022315"</f>
        <v>23085022315</v>
      </c>
      <c r="C2792" s="6">
        <v>94.5</v>
      </c>
      <c r="D2792" s="6">
        <v>110</v>
      </c>
      <c r="E2792" s="6">
        <v>204.5</v>
      </c>
      <c r="F2792" s="11"/>
    </row>
    <row r="2793" spans="1:6">
      <c r="A2793" s="5" t="str">
        <f t="shared" si="49"/>
        <v>202310</v>
      </c>
      <c r="B2793" s="5" t="str">
        <f>"23085023721"</f>
        <v>23085023721</v>
      </c>
      <c r="C2793" s="6">
        <v>91.5</v>
      </c>
      <c r="D2793" s="6">
        <v>113</v>
      </c>
      <c r="E2793" s="6">
        <v>204.5</v>
      </c>
      <c r="F2793" s="11"/>
    </row>
    <row r="2794" spans="1:6">
      <c r="A2794" s="5" t="str">
        <f t="shared" si="49"/>
        <v>202310</v>
      </c>
      <c r="B2794" s="5" t="str">
        <f>"23085022701"</f>
        <v>23085022701</v>
      </c>
      <c r="C2794" s="6">
        <v>96</v>
      </c>
      <c r="D2794" s="6">
        <v>108.5</v>
      </c>
      <c r="E2794" s="6">
        <v>204.5</v>
      </c>
      <c r="F2794" s="11"/>
    </row>
    <row r="2795" spans="1:6">
      <c r="A2795" s="5" t="str">
        <f t="shared" si="49"/>
        <v>202310</v>
      </c>
      <c r="B2795" s="5" t="str">
        <f>"23085023625"</f>
        <v>23085023625</v>
      </c>
      <c r="C2795" s="6">
        <v>93</v>
      </c>
      <c r="D2795" s="6">
        <v>111.5</v>
      </c>
      <c r="E2795" s="6">
        <v>204.5</v>
      </c>
      <c r="F2795" s="11"/>
    </row>
    <row r="2796" spans="1:6">
      <c r="A2796" s="5" t="str">
        <f t="shared" si="49"/>
        <v>202310</v>
      </c>
      <c r="B2796" s="5" t="str">
        <f>"23085021908"</f>
        <v>23085021908</v>
      </c>
      <c r="C2796" s="6">
        <v>96</v>
      </c>
      <c r="D2796" s="6">
        <v>108.5</v>
      </c>
      <c r="E2796" s="6">
        <v>204.5</v>
      </c>
      <c r="F2796" s="11"/>
    </row>
    <row r="2797" spans="1:6">
      <c r="A2797" s="5" t="str">
        <f t="shared" si="49"/>
        <v>202310</v>
      </c>
      <c r="B2797" s="5" t="str">
        <f>"23085023408"</f>
        <v>23085023408</v>
      </c>
      <c r="C2797" s="6">
        <v>85.5</v>
      </c>
      <c r="D2797" s="6">
        <v>118.5</v>
      </c>
      <c r="E2797" s="6">
        <v>204</v>
      </c>
      <c r="F2797" s="11"/>
    </row>
    <row r="2798" spans="1:6">
      <c r="A2798" s="5" t="str">
        <f t="shared" si="49"/>
        <v>202310</v>
      </c>
      <c r="B2798" s="5" t="str">
        <f>"23085021909"</f>
        <v>23085021909</v>
      </c>
      <c r="C2798" s="6">
        <v>90</v>
      </c>
      <c r="D2798" s="6">
        <v>114</v>
      </c>
      <c r="E2798" s="6">
        <v>204</v>
      </c>
      <c r="F2798" s="11"/>
    </row>
    <row r="2799" spans="1:6">
      <c r="A2799" s="5" t="str">
        <f t="shared" si="49"/>
        <v>202310</v>
      </c>
      <c r="B2799" s="5" t="str">
        <f>"23085022210"</f>
        <v>23085022210</v>
      </c>
      <c r="C2799" s="6">
        <v>90</v>
      </c>
      <c r="D2799" s="6">
        <v>114</v>
      </c>
      <c r="E2799" s="6">
        <v>204</v>
      </c>
      <c r="F2799" s="11"/>
    </row>
    <row r="2800" spans="1:6">
      <c r="A2800" s="5" t="str">
        <f t="shared" si="49"/>
        <v>202310</v>
      </c>
      <c r="B2800" s="5" t="str">
        <f>"23085022902"</f>
        <v>23085022902</v>
      </c>
      <c r="C2800" s="6">
        <v>96</v>
      </c>
      <c r="D2800" s="6">
        <v>108</v>
      </c>
      <c r="E2800" s="6">
        <v>204</v>
      </c>
      <c r="F2800" s="11"/>
    </row>
    <row r="2801" spans="1:6">
      <c r="A2801" s="5" t="str">
        <f t="shared" si="49"/>
        <v>202310</v>
      </c>
      <c r="B2801" s="5" t="str">
        <f>"23085022627"</f>
        <v>23085022627</v>
      </c>
      <c r="C2801" s="6">
        <v>84</v>
      </c>
      <c r="D2801" s="6">
        <v>119.5</v>
      </c>
      <c r="E2801" s="6">
        <v>203.5</v>
      </c>
      <c r="F2801" s="11"/>
    </row>
    <row r="2802" spans="1:6">
      <c r="A2802" s="5" t="str">
        <f t="shared" si="49"/>
        <v>202310</v>
      </c>
      <c r="B2802" s="5" t="str">
        <f>"23085022218"</f>
        <v>23085022218</v>
      </c>
      <c r="C2802" s="6">
        <v>93</v>
      </c>
      <c r="D2802" s="6">
        <v>110.5</v>
      </c>
      <c r="E2802" s="6">
        <v>203.5</v>
      </c>
      <c r="F2802" s="11"/>
    </row>
    <row r="2803" spans="1:6">
      <c r="A2803" s="5" t="str">
        <f t="shared" si="49"/>
        <v>202310</v>
      </c>
      <c r="B2803" s="5" t="str">
        <f>"23085022021"</f>
        <v>23085022021</v>
      </c>
      <c r="C2803" s="6">
        <v>112.5</v>
      </c>
      <c r="D2803" s="6">
        <v>91</v>
      </c>
      <c r="E2803" s="6">
        <v>203.5</v>
      </c>
      <c r="F2803" s="11"/>
    </row>
    <row r="2804" spans="1:6">
      <c r="A2804" s="5" t="str">
        <f t="shared" si="49"/>
        <v>202310</v>
      </c>
      <c r="B2804" s="5" t="str">
        <f>"23085022618"</f>
        <v>23085022618</v>
      </c>
      <c r="C2804" s="6">
        <v>85.5</v>
      </c>
      <c r="D2804" s="6">
        <v>118</v>
      </c>
      <c r="E2804" s="6">
        <v>203.5</v>
      </c>
      <c r="F2804" s="11"/>
    </row>
    <row r="2805" spans="1:6">
      <c r="A2805" s="5" t="str">
        <f t="shared" si="49"/>
        <v>202310</v>
      </c>
      <c r="B2805" s="5" t="str">
        <f>"23085023126"</f>
        <v>23085023126</v>
      </c>
      <c r="C2805" s="6">
        <v>90</v>
      </c>
      <c r="D2805" s="6">
        <v>113.5</v>
      </c>
      <c r="E2805" s="6">
        <v>203.5</v>
      </c>
      <c r="F2805" s="11"/>
    </row>
    <row r="2806" spans="1:6">
      <c r="A2806" s="5" t="str">
        <f t="shared" si="49"/>
        <v>202310</v>
      </c>
      <c r="B2806" s="5" t="str">
        <f>"23085021902"</f>
        <v>23085021902</v>
      </c>
      <c r="C2806" s="6">
        <v>93</v>
      </c>
      <c r="D2806" s="6">
        <v>110.5</v>
      </c>
      <c r="E2806" s="6">
        <v>203.5</v>
      </c>
      <c r="F2806" s="11"/>
    </row>
    <row r="2807" spans="1:6">
      <c r="A2807" s="5" t="str">
        <f t="shared" si="49"/>
        <v>202310</v>
      </c>
      <c r="B2807" s="5" t="str">
        <f>"23085022127"</f>
        <v>23085022127</v>
      </c>
      <c r="C2807" s="6">
        <v>103.5</v>
      </c>
      <c r="D2807" s="6">
        <v>100</v>
      </c>
      <c r="E2807" s="6">
        <v>203.5</v>
      </c>
      <c r="F2807" s="11"/>
    </row>
    <row r="2808" spans="1:6">
      <c r="A2808" s="5" t="str">
        <f t="shared" ref="A2808:A2871" si="50">"202310"</f>
        <v>202310</v>
      </c>
      <c r="B2808" s="5" t="str">
        <f>"23085022715"</f>
        <v>23085022715</v>
      </c>
      <c r="C2808" s="6">
        <v>99</v>
      </c>
      <c r="D2808" s="6">
        <v>104.5</v>
      </c>
      <c r="E2808" s="6">
        <v>203.5</v>
      </c>
      <c r="F2808" s="11"/>
    </row>
    <row r="2809" spans="1:6">
      <c r="A2809" s="5" t="str">
        <f t="shared" si="50"/>
        <v>202310</v>
      </c>
      <c r="B2809" s="5" t="str">
        <f>"23085021827"</f>
        <v>23085021827</v>
      </c>
      <c r="C2809" s="6">
        <v>100.5</v>
      </c>
      <c r="D2809" s="6">
        <v>102.5</v>
      </c>
      <c r="E2809" s="6">
        <v>203</v>
      </c>
      <c r="F2809" s="11"/>
    </row>
    <row r="2810" spans="1:6">
      <c r="A2810" s="5" t="str">
        <f t="shared" si="50"/>
        <v>202310</v>
      </c>
      <c r="B2810" s="5" t="str">
        <f>"23085022320"</f>
        <v>23085022320</v>
      </c>
      <c r="C2810" s="6">
        <v>88.5</v>
      </c>
      <c r="D2810" s="6">
        <v>114.5</v>
      </c>
      <c r="E2810" s="6">
        <v>203</v>
      </c>
      <c r="F2810" s="11"/>
    </row>
    <row r="2811" spans="1:6">
      <c r="A2811" s="5" t="str">
        <f t="shared" si="50"/>
        <v>202310</v>
      </c>
      <c r="B2811" s="5" t="str">
        <f>"23085023626"</f>
        <v>23085023626</v>
      </c>
      <c r="C2811" s="6">
        <v>87</v>
      </c>
      <c r="D2811" s="6">
        <v>116</v>
      </c>
      <c r="E2811" s="6">
        <v>203</v>
      </c>
      <c r="F2811" s="11"/>
    </row>
    <row r="2812" spans="1:6">
      <c r="A2812" s="5" t="str">
        <f t="shared" si="50"/>
        <v>202310</v>
      </c>
      <c r="B2812" s="5" t="str">
        <f>"23085023226"</f>
        <v>23085023226</v>
      </c>
      <c r="C2812" s="6">
        <v>96</v>
      </c>
      <c r="D2812" s="6">
        <v>106.5</v>
      </c>
      <c r="E2812" s="6">
        <v>202.5</v>
      </c>
      <c r="F2812" s="11"/>
    </row>
    <row r="2813" spans="1:6">
      <c r="A2813" s="5" t="str">
        <f t="shared" si="50"/>
        <v>202310</v>
      </c>
      <c r="B2813" s="5" t="str">
        <f>"23085022515"</f>
        <v>23085022515</v>
      </c>
      <c r="C2813" s="6">
        <v>102</v>
      </c>
      <c r="D2813" s="6">
        <v>100.5</v>
      </c>
      <c r="E2813" s="6">
        <v>202.5</v>
      </c>
      <c r="F2813" s="11"/>
    </row>
    <row r="2814" spans="1:6">
      <c r="A2814" s="5" t="str">
        <f t="shared" si="50"/>
        <v>202310</v>
      </c>
      <c r="B2814" s="5" t="str">
        <f>"23085023315"</f>
        <v>23085023315</v>
      </c>
      <c r="C2814" s="6">
        <v>87</v>
      </c>
      <c r="D2814" s="6">
        <v>115.5</v>
      </c>
      <c r="E2814" s="6">
        <v>202.5</v>
      </c>
      <c r="F2814" s="11"/>
    </row>
    <row r="2815" spans="1:6">
      <c r="A2815" s="5" t="str">
        <f t="shared" si="50"/>
        <v>202310</v>
      </c>
      <c r="B2815" s="5" t="str">
        <f>"23085022419"</f>
        <v>23085022419</v>
      </c>
      <c r="C2815" s="6">
        <v>93</v>
      </c>
      <c r="D2815" s="6">
        <v>109.5</v>
      </c>
      <c r="E2815" s="6">
        <v>202.5</v>
      </c>
      <c r="F2815" s="11"/>
    </row>
    <row r="2816" spans="1:6">
      <c r="A2816" s="5" t="str">
        <f t="shared" si="50"/>
        <v>202310</v>
      </c>
      <c r="B2816" s="5" t="str">
        <f>"23085023720"</f>
        <v>23085023720</v>
      </c>
      <c r="C2816" s="6">
        <v>100.5</v>
      </c>
      <c r="D2816" s="6">
        <v>101.5</v>
      </c>
      <c r="E2816" s="6">
        <v>202</v>
      </c>
      <c r="F2816" s="11"/>
    </row>
    <row r="2817" spans="1:6">
      <c r="A2817" s="5" t="str">
        <f t="shared" si="50"/>
        <v>202310</v>
      </c>
      <c r="B2817" s="5" t="str">
        <f>"23085022227"</f>
        <v>23085022227</v>
      </c>
      <c r="C2817" s="6">
        <v>90</v>
      </c>
      <c r="D2817" s="6">
        <v>111.5</v>
      </c>
      <c r="E2817" s="6">
        <v>201.5</v>
      </c>
      <c r="F2817" s="11"/>
    </row>
    <row r="2818" spans="1:6">
      <c r="A2818" s="5" t="str">
        <f t="shared" si="50"/>
        <v>202310</v>
      </c>
      <c r="B2818" s="5" t="str">
        <f>"23085023710"</f>
        <v>23085023710</v>
      </c>
      <c r="C2818" s="6">
        <v>99</v>
      </c>
      <c r="D2818" s="6">
        <v>102.5</v>
      </c>
      <c r="E2818" s="6">
        <v>201.5</v>
      </c>
      <c r="F2818" s="11"/>
    </row>
    <row r="2819" spans="1:6">
      <c r="A2819" s="5" t="str">
        <f t="shared" si="50"/>
        <v>202310</v>
      </c>
      <c r="B2819" s="5" t="str">
        <f>"23085023218"</f>
        <v>23085023218</v>
      </c>
      <c r="C2819" s="6">
        <v>85.5</v>
      </c>
      <c r="D2819" s="6">
        <v>115.5</v>
      </c>
      <c r="E2819" s="6">
        <v>201</v>
      </c>
      <c r="F2819" s="11"/>
    </row>
    <row r="2820" spans="1:6">
      <c r="A2820" s="5" t="str">
        <f t="shared" si="50"/>
        <v>202310</v>
      </c>
      <c r="B2820" s="5" t="str">
        <f>"23085023603"</f>
        <v>23085023603</v>
      </c>
      <c r="C2820" s="6">
        <v>96</v>
      </c>
      <c r="D2820" s="6">
        <v>105</v>
      </c>
      <c r="E2820" s="6">
        <v>201</v>
      </c>
      <c r="F2820" s="11"/>
    </row>
    <row r="2821" spans="1:6">
      <c r="A2821" s="5" t="str">
        <f t="shared" si="50"/>
        <v>202310</v>
      </c>
      <c r="B2821" s="5" t="str">
        <f>"23085023229"</f>
        <v>23085023229</v>
      </c>
      <c r="C2821" s="6">
        <v>85.5</v>
      </c>
      <c r="D2821" s="6">
        <v>115.5</v>
      </c>
      <c r="E2821" s="6">
        <v>201</v>
      </c>
      <c r="F2821" s="11"/>
    </row>
    <row r="2822" spans="1:6">
      <c r="A2822" s="5" t="str">
        <f t="shared" si="50"/>
        <v>202310</v>
      </c>
      <c r="B2822" s="5" t="str">
        <f>"23085022010"</f>
        <v>23085022010</v>
      </c>
      <c r="C2822" s="6">
        <v>88.5</v>
      </c>
      <c r="D2822" s="6">
        <v>112.5</v>
      </c>
      <c r="E2822" s="6">
        <v>201</v>
      </c>
      <c r="F2822" s="11"/>
    </row>
    <row r="2823" spans="1:6">
      <c r="A2823" s="5" t="str">
        <f t="shared" si="50"/>
        <v>202310</v>
      </c>
      <c r="B2823" s="5" t="str">
        <f>"23085022702"</f>
        <v>23085022702</v>
      </c>
      <c r="C2823" s="6">
        <v>88.5</v>
      </c>
      <c r="D2823" s="6">
        <v>112.5</v>
      </c>
      <c r="E2823" s="6">
        <v>201</v>
      </c>
      <c r="F2823" s="11"/>
    </row>
    <row r="2824" spans="1:6">
      <c r="A2824" s="5" t="str">
        <f t="shared" si="50"/>
        <v>202310</v>
      </c>
      <c r="B2824" s="5" t="str">
        <f>"23085023528"</f>
        <v>23085023528</v>
      </c>
      <c r="C2824" s="6">
        <v>94.5</v>
      </c>
      <c r="D2824" s="6">
        <v>106</v>
      </c>
      <c r="E2824" s="6">
        <v>200.5</v>
      </c>
      <c r="F2824" s="11"/>
    </row>
    <row r="2825" spans="1:6">
      <c r="A2825" s="5" t="str">
        <f t="shared" si="50"/>
        <v>202310</v>
      </c>
      <c r="B2825" s="5" t="str">
        <f>"23085022113"</f>
        <v>23085022113</v>
      </c>
      <c r="C2825" s="6">
        <v>91.5</v>
      </c>
      <c r="D2825" s="6">
        <v>109</v>
      </c>
      <c r="E2825" s="6">
        <v>200.5</v>
      </c>
      <c r="F2825" s="11"/>
    </row>
    <row r="2826" spans="1:6">
      <c r="A2826" s="5" t="str">
        <f t="shared" si="50"/>
        <v>202310</v>
      </c>
      <c r="B2826" s="5" t="str">
        <f>"23085022121"</f>
        <v>23085022121</v>
      </c>
      <c r="C2826" s="6">
        <v>100.5</v>
      </c>
      <c r="D2826" s="6">
        <v>100</v>
      </c>
      <c r="E2826" s="6">
        <v>200.5</v>
      </c>
      <c r="F2826" s="11"/>
    </row>
    <row r="2827" spans="1:6">
      <c r="A2827" s="5" t="str">
        <f t="shared" si="50"/>
        <v>202310</v>
      </c>
      <c r="B2827" s="5" t="str">
        <f>"23085022806"</f>
        <v>23085022806</v>
      </c>
      <c r="C2827" s="6">
        <v>87</v>
      </c>
      <c r="D2827" s="6">
        <v>113.5</v>
      </c>
      <c r="E2827" s="6">
        <v>200.5</v>
      </c>
      <c r="F2827" s="11"/>
    </row>
    <row r="2828" spans="1:6">
      <c r="A2828" s="5" t="str">
        <f t="shared" si="50"/>
        <v>202310</v>
      </c>
      <c r="B2828" s="5" t="str">
        <f>"23085023709"</f>
        <v>23085023709</v>
      </c>
      <c r="C2828" s="6">
        <v>91.5</v>
      </c>
      <c r="D2828" s="6">
        <v>108.5</v>
      </c>
      <c r="E2828" s="6">
        <v>200</v>
      </c>
      <c r="F2828" s="11"/>
    </row>
    <row r="2829" spans="1:6">
      <c r="A2829" s="5" t="str">
        <f t="shared" si="50"/>
        <v>202310</v>
      </c>
      <c r="B2829" s="5" t="str">
        <f>"23085023313"</f>
        <v>23085023313</v>
      </c>
      <c r="C2829" s="6">
        <v>90</v>
      </c>
      <c r="D2829" s="6">
        <v>110</v>
      </c>
      <c r="E2829" s="6">
        <v>200</v>
      </c>
      <c r="F2829" s="11"/>
    </row>
    <row r="2830" spans="1:6">
      <c r="A2830" s="5" t="str">
        <f t="shared" si="50"/>
        <v>202310</v>
      </c>
      <c r="B2830" s="5" t="str">
        <f>"23085023508"</f>
        <v>23085023508</v>
      </c>
      <c r="C2830" s="6">
        <v>91.5</v>
      </c>
      <c r="D2830" s="6">
        <v>108.5</v>
      </c>
      <c r="E2830" s="6">
        <v>200</v>
      </c>
      <c r="F2830" s="11"/>
    </row>
    <row r="2831" spans="1:6">
      <c r="A2831" s="5" t="str">
        <f t="shared" si="50"/>
        <v>202310</v>
      </c>
      <c r="B2831" s="5" t="str">
        <f>"23085023523"</f>
        <v>23085023523</v>
      </c>
      <c r="C2831" s="6">
        <v>88.5</v>
      </c>
      <c r="D2831" s="6">
        <v>111.5</v>
      </c>
      <c r="E2831" s="6">
        <v>200</v>
      </c>
      <c r="F2831" s="11"/>
    </row>
    <row r="2832" spans="1:6">
      <c r="A2832" s="5" t="str">
        <f t="shared" si="50"/>
        <v>202310</v>
      </c>
      <c r="B2832" s="5" t="str">
        <f>"23085023430"</f>
        <v>23085023430</v>
      </c>
      <c r="C2832" s="6">
        <v>88.5</v>
      </c>
      <c r="D2832" s="6">
        <v>111</v>
      </c>
      <c r="E2832" s="6">
        <v>199.5</v>
      </c>
      <c r="F2832" s="11"/>
    </row>
    <row r="2833" spans="1:6">
      <c r="A2833" s="5" t="str">
        <f t="shared" si="50"/>
        <v>202310</v>
      </c>
      <c r="B2833" s="5" t="str">
        <f>"23085023516"</f>
        <v>23085023516</v>
      </c>
      <c r="C2833" s="6">
        <v>82.5</v>
      </c>
      <c r="D2833" s="6">
        <v>117</v>
      </c>
      <c r="E2833" s="6">
        <v>199.5</v>
      </c>
      <c r="F2833" s="11"/>
    </row>
    <row r="2834" spans="1:6">
      <c r="A2834" s="5" t="str">
        <f t="shared" si="50"/>
        <v>202310</v>
      </c>
      <c r="B2834" s="5" t="str">
        <f>"23085023703"</f>
        <v>23085023703</v>
      </c>
      <c r="C2834" s="6">
        <v>84</v>
      </c>
      <c r="D2834" s="6">
        <v>115.5</v>
      </c>
      <c r="E2834" s="6">
        <v>199.5</v>
      </c>
      <c r="F2834" s="11"/>
    </row>
    <row r="2835" spans="1:6">
      <c r="A2835" s="5" t="str">
        <f t="shared" si="50"/>
        <v>202310</v>
      </c>
      <c r="B2835" s="5" t="str">
        <f>"23085022403"</f>
        <v>23085022403</v>
      </c>
      <c r="C2835" s="6">
        <v>90</v>
      </c>
      <c r="D2835" s="6">
        <v>109</v>
      </c>
      <c r="E2835" s="6">
        <v>199</v>
      </c>
      <c r="F2835" s="11"/>
    </row>
    <row r="2836" spans="1:6">
      <c r="A2836" s="5" t="str">
        <f t="shared" si="50"/>
        <v>202310</v>
      </c>
      <c r="B2836" s="5" t="str">
        <f>"23085022006"</f>
        <v>23085022006</v>
      </c>
      <c r="C2836" s="6">
        <v>82.5</v>
      </c>
      <c r="D2836" s="6">
        <v>116.5</v>
      </c>
      <c r="E2836" s="6">
        <v>199</v>
      </c>
      <c r="F2836" s="11"/>
    </row>
    <row r="2837" spans="1:6">
      <c r="A2837" s="5" t="str">
        <f t="shared" si="50"/>
        <v>202310</v>
      </c>
      <c r="B2837" s="5" t="str">
        <f>"23085023707"</f>
        <v>23085023707</v>
      </c>
      <c r="C2837" s="6">
        <v>94.5</v>
      </c>
      <c r="D2837" s="6">
        <v>104.5</v>
      </c>
      <c r="E2837" s="6">
        <v>199</v>
      </c>
      <c r="F2837" s="11"/>
    </row>
    <row r="2838" spans="1:6">
      <c r="A2838" s="5" t="str">
        <f t="shared" si="50"/>
        <v>202310</v>
      </c>
      <c r="B2838" s="5" t="str">
        <f>"23085022216"</f>
        <v>23085022216</v>
      </c>
      <c r="C2838" s="6">
        <v>91.5</v>
      </c>
      <c r="D2838" s="6">
        <v>107.5</v>
      </c>
      <c r="E2838" s="6">
        <v>199</v>
      </c>
      <c r="F2838" s="11"/>
    </row>
    <row r="2839" spans="1:6">
      <c r="A2839" s="5" t="str">
        <f t="shared" si="50"/>
        <v>202310</v>
      </c>
      <c r="B2839" s="5" t="str">
        <f>"23085023424"</f>
        <v>23085023424</v>
      </c>
      <c r="C2839" s="6">
        <v>93</v>
      </c>
      <c r="D2839" s="6">
        <v>106</v>
      </c>
      <c r="E2839" s="6">
        <v>199</v>
      </c>
      <c r="F2839" s="11"/>
    </row>
    <row r="2840" spans="1:6">
      <c r="A2840" s="5" t="str">
        <f t="shared" si="50"/>
        <v>202310</v>
      </c>
      <c r="B2840" s="5" t="str">
        <f>"23085023230"</f>
        <v>23085023230</v>
      </c>
      <c r="C2840" s="6">
        <v>105</v>
      </c>
      <c r="D2840" s="6">
        <v>93.5</v>
      </c>
      <c r="E2840" s="6">
        <v>198.5</v>
      </c>
      <c r="F2840" s="11"/>
    </row>
    <row r="2841" spans="1:6">
      <c r="A2841" s="5" t="str">
        <f t="shared" si="50"/>
        <v>202310</v>
      </c>
      <c r="B2841" s="5" t="str">
        <f>"23085022009"</f>
        <v>23085022009</v>
      </c>
      <c r="C2841" s="6">
        <v>84</v>
      </c>
      <c r="D2841" s="6">
        <v>114.5</v>
      </c>
      <c r="E2841" s="6">
        <v>198.5</v>
      </c>
      <c r="F2841" s="11"/>
    </row>
    <row r="2842" spans="1:6">
      <c r="A2842" s="5" t="str">
        <f t="shared" si="50"/>
        <v>202310</v>
      </c>
      <c r="B2842" s="5" t="str">
        <f>"23085022112"</f>
        <v>23085022112</v>
      </c>
      <c r="C2842" s="6">
        <v>84</v>
      </c>
      <c r="D2842" s="6">
        <v>114.5</v>
      </c>
      <c r="E2842" s="6">
        <v>198.5</v>
      </c>
      <c r="F2842" s="11"/>
    </row>
    <row r="2843" spans="1:6">
      <c r="A2843" s="5" t="str">
        <f t="shared" si="50"/>
        <v>202310</v>
      </c>
      <c r="B2843" s="5" t="str">
        <f>"23085021910"</f>
        <v>23085021910</v>
      </c>
      <c r="C2843" s="6">
        <v>84</v>
      </c>
      <c r="D2843" s="6">
        <v>114.5</v>
      </c>
      <c r="E2843" s="6">
        <v>198.5</v>
      </c>
      <c r="F2843" s="11"/>
    </row>
    <row r="2844" spans="1:6">
      <c r="A2844" s="5" t="str">
        <f t="shared" si="50"/>
        <v>202310</v>
      </c>
      <c r="B2844" s="5" t="str">
        <f>"23085023413"</f>
        <v>23085023413</v>
      </c>
      <c r="C2844" s="6">
        <v>93</v>
      </c>
      <c r="D2844" s="6">
        <v>105</v>
      </c>
      <c r="E2844" s="6">
        <v>198</v>
      </c>
      <c r="F2844" s="11"/>
    </row>
    <row r="2845" spans="1:6">
      <c r="A2845" s="5" t="str">
        <f t="shared" si="50"/>
        <v>202310</v>
      </c>
      <c r="B2845" s="5" t="str">
        <f>"23085023426"</f>
        <v>23085023426</v>
      </c>
      <c r="C2845" s="6">
        <v>84</v>
      </c>
      <c r="D2845" s="6">
        <v>114</v>
      </c>
      <c r="E2845" s="6">
        <v>198</v>
      </c>
      <c r="F2845" s="11"/>
    </row>
    <row r="2846" spans="1:6">
      <c r="A2846" s="5" t="str">
        <f t="shared" si="50"/>
        <v>202310</v>
      </c>
      <c r="B2846" s="5" t="str">
        <f>"23085023312"</f>
        <v>23085023312</v>
      </c>
      <c r="C2846" s="6">
        <v>90</v>
      </c>
      <c r="D2846" s="6">
        <v>108</v>
      </c>
      <c r="E2846" s="6">
        <v>198</v>
      </c>
      <c r="F2846" s="11"/>
    </row>
    <row r="2847" spans="1:6">
      <c r="A2847" s="5" t="str">
        <f t="shared" si="50"/>
        <v>202310</v>
      </c>
      <c r="B2847" s="5" t="str">
        <f>"23085022024"</f>
        <v>23085022024</v>
      </c>
      <c r="C2847" s="6">
        <v>87</v>
      </c>
      <c r="D2847" s="6">
        <v>111</v>
      </c>
      <c r="E2847" s="6">
        <v>198</v>
      </c>
      <c r="F2847" s="11"/>
    </row>
    <row r="2848" spans="1:6">
      <c r="A2848" s="5" t="str">
        <f t="shared" si="50"/>
        <v>202310</v>
      </c>
      <c r="B2848" s="5" t="str">
        <f>"23085022919"</f>
        <v>23085022919</v>
      </c>
      <c r="C2848" s="6">
        <v>93</v>
      </c>
      <c r="D2848" s="6">
        <v>104.5</v>
      </c>
      <c r="E2848" s="6">
        <v>197.5</v>
      </c>
      <c r="F2848" s="11"/>
    </row>
    <row r="2849" spans="1:6">
      <c r="A2849" s="5" t="str">
        <f t="shared" si="50"/>
        <v>202310</v>
      </c>
      <c r="B2849" s="5" t="str">
        <f>"23085023011"</f>
        <v>23085023011</v>
      </c>
      <c r="C2849" s="6">
        <v>100.5</v>
      </c>
      <c r="D2849" s="6">
        <v>97</v>
      </c>
      <c r="E2849" s="6">
        <v>197.5</v>
      </c>
      <c r="F2849" s="11"/>
    </row>
    <row r="2850" spans="1:6">
      <c r="A2850" s="5" t="str">
        <f t="shared" si="50"/>
        <v>202310</v>
      </c>
      <c r="B2850" s="5" t="str">
        <f>"23085023615"</f>
        <v>23085023615</v>
      </c>
      <c r="C2850" s="6">
        <v>82.5</v>
      </c>
      <c r="D2850" s="6">
        <v>115</v>
      </c>
      <c r="E2850" s="6">
        <v>197.5</v>
      </c>
      <c r="F2850" s="11"/>
    </row>
    <row r="2851" spans="1:6">
      <c r="A2851" s="5" t="str">
        <f t="shared" si="50"/>
        <v>202310</v>
      </c>
      <c r="B2851" s="5" t="str">
        <f>"23085023004"</f>
        <v>23085023004</v>
      </c>
      <c r="C2851" s="6">
        <v>94.5</v>
      </c>
      <c r="D2851" s="6">
        <v>103</v>
      </c>
      <c r="E2851" s="6">
        <v>197.5</v>
      </c>
      <c r="F2851" s="11"/>
    </row>
    <row r="2852" spans="1:6">
      <c r="A2852" s="5" t="str">
        <f t="shared" si="50"/>
        <v>202310</v>
      </c>
      <c r="B2852" s="5" t="str">
        <f>"23085022427"</f>
        <v>23085022427</v>
      </c>
      <c r="C2852" s="6">
        <v>81</v>
      </c>
      <c r="D2852" s="6">
        <v>116</v>
      </c>
      <c r="E2852" s="6">
        <v>197</v>
      </c>
      <c r="F2852" s="11"/>
    </row>
    <row r="2853" spans="1:6">
      <c r="A2853" s="5" t="str">
        <f t="shared" si="50"/>
        <v>202310</v>
      </c>
      <c r="B2853" s="5" t="str">
        <f>"23085022519"</f>
        <v>23085022519</v>
      </c>
      <c r="C2853" s="6">
        <v>79.5</v>
      </c>
      <c r="D2853" s="6">
        <v>117.5</v>
      </c>
      <c r="E2853" s="6">
        <v>197</v>
      </c>
      <c r="F2853" s="11"/>
    </row>
    <row r="2854" spans="1:6">
      <c r="A2854" s="5" t="str">
        <f t="shared" si="50"/>
        <v>202310</v>
      </c>
      <c r="B2854" s="5" t="str">
        <f>"23085022326"</f>
        <v>23085022326</v>
      </c>
      <c r="C2854" s="6">
        <v>94.5</v>
      </c>
      <c r="D2854" s="6">
        <v>102.5</v>
      </c>
      <c r="E2854" s="6">
        <v>197</v>
      </c>
      <c r="F2854" s="11"/>
    </row>
    <row r="2855" spans="1:6">
      <c r="A2855" s="5" t="str">
        <f t="shared" si="50"/>
        <v>202310</v>
      </c>
      <c r="B2855" s="5" t="str">
        <f>"23085022505"</f>
        <v>23085022505</v>
      </c>
      <c r="C2855" s="6">
        <v>81</v>
      </c>
      <c r="D2855" s="6">
        <v>115.5</v>
      </c>
      <c r="E2855" s="6">
        <v>196.5</v>
      </c>
      <c r="F2855" s="11"/>
    </row>
    <row r="2856" spans="1:6">
      <c r="A2856" s="5" t="str">
        <f t="shared" si="50"/>
        <v>202310</v>
      </c>
      <c r="B2856" s="5" t="str">
        <f>"23085023222"</f>
        <v>23085023222</v>
      </c>
      <c r="C2856" s="6">
        <v>91.5</v>
      </c>
      <c r="D2856" s="6">
        <v>105</v>
      </c>
      <c r="E2856" s="6">
        <v>196.5</v>
      </c>
      <c r="F2856" s="11"/>
    </row>
    <row r="2857" spans="1:6">
      <c r="A2857" s="5" t="str">
        <f t="shared" si="50"/>
        <v>202310</v>
      </c>
      <c r="B2857" s="5" t="str">
        <f>"23085022229"</f>
        <v>23085022229</v>
      </c>
      <c r="C2857" s="6">
        <v>84</v>
      </c>
      <c r="D2857" s="6">
        <v>112.5</v>
      </c>
      <c r="E2857" s="6">
        <v>196.5</v>
      </c>
      <c r="F2857" s="11"/>
    </row>
    <row r="2858" spans="1:6">
      <c r="A2858" s="5" t="str">
        <f t="shared" si="50"/>
        <v>202310</v>
      </c>
      <c r="B2858" s="5" t="str">
        <f>"23085023513"</f>
        <v>23085023513</v>
      </c>
      <c r="C2858" s="6">
        <v>82.5</v>
      </c>
      <c r="D2858" s="6">
        <v>114</v>
      </c>
      <c r="E2858" s="6">
        <v>196.5</v>
      </c>
      <c r="F2858" s="11"/>
    </row>
    <row r="2859" spans="1:6">
      <c r="A2859" s="5" t="str">
        <f t="shared" si="50"/>
        <v>202310</v>
      </c>
      <c r="B2859" s="5" t="str">
        <f>"23085022612"</f>
        <v>23085022612</v>
      </c>
      <c r="C2859" s="6">
        <v>85.5</v>
      </c>
      <c r="D2859" s="6">
        <v>111</v>
      </c>
      <c r="E2859" s="6">
        <v>196.5</v>
      </c>
      <c r="F2859" s="11"/>
    </row>
    <row r="2860" spans="1:6">
      <c r="A2860" s="5" t="str">
        <f t="shared" si="50"/>
        <v>202310</v>
      </c>
      <c r="B2860" s="5" t="str">
        <f>"23085022110"</f>
        <v>23085022110</v>
      </c>
      <c r="C2860" s="6">
        <v>82.5</v>
      </c>
      <c r="D2860" s="6">
        <v>113.5</v>
      </c>
      <c r="E2860" s="6">
        <v>196</v>
      </c>
      <c r="F2860" s="11"/>
    </row>
    <row r="2861" spans="1:6">
      <c r="A2861" s="5" t="str">
        <f t="shared" si="50"/>
        <v>202310</v>
      </c>
      <c r="B2861" s="5" t="str">
        <f>"23085022027"</f>
        <v>23085022027</v>
      </c>
      <c r="C2861" s="6">
        <v>82.5</v>
      </c>
      <c r="D2861" s="6">
        <v>113.5</v>
      </c>
      <c r="E2861" s="6">
        <v>196</v>
      </c>
      <c r="F2861" s="11"/>
    </row>
    <row r="2862" spans="1:6">
      <c r="A2862" s="5" t="str">
        <f t="shared" si="50"/>
        <v>202310</v>
      </c>
      <c r="B2862" s="5" t="str">
        <f>"23085023421"</f>
        <v>23085023421</v>
      </c>
      <c r="C2862" s="6">
        <v>81</v>
      </c>
      <c r="D2862" s="6">
        <v>115</v>
      </c>
      <c r="E2862" s="6">
        <v>196</v>
      </c>
      <c r="F2862" s="11"/>
    </row>
    <row r="2863" spans="1:6">
      <c r="A2863" s="5" t="str">
        <f t="shared" si="50"/>
        <v>202310</v>
      </c>
      <c r="B2863" s="5" t="str">
        <f>"23085023221"</f>
        <v>23085023221</v>
      </c>
      <c r="C2863" s="6">
        <v>96</v>
      </c>
      <c r="D2863" s="6">
        <v>99.5</v>
      </c>
      <c r="E2863" s="6">
        <v>195.5</v>
      </c>
      <c r="F2863" s="11"/>
    </row>
    <row r="2864" spans="1:6">
      <c r="A2864" s="5" t="str">
        <f t="shared" si="50"/>
        <v>202310</v>
      </c>
      <c r="B2864" s="5" t="str">
        <f>"23085022125"</f>
        <v>23085022125</v>
      </c>
      <c r="C2864" s="6">
        <v>84</v>
      </c>
      <c r="D2864" s="6">
        <v>111.5</v>
      </c>
      <c r="E2864" s="6">
        <v>195.5</v>
      </c>
      <c r="F2864" s="11"/>
    </row>
    <row r="2865" spans="1:6">
      <c r="A2865" s="5" t="str">
        <f t="shared" si="50"/>
        <v>202310</v>
      </c>
      <c r="B2865" s="5" t="str">
        <f>"23085023227"</f>
        <v>23085023227</v>
      </c>
      <c r="C2865" s="6">
        <v>91.5</v>
      </c>
      <c r="D2865" s="6">
        <v>104</v>
      </c>
      <c r="E2865" s="6">
        <v>195.5</v>
      </c>
      <c r="F2865" s="11"/>
    </row>
    <row r="2866" spans="1:6">
      <c r="A2866" s="5" t="str">
        <f t="shared" si="50"/>
        <v>202310</v>
      </c>
      <c r="B2866" s="5" t="str">
        <f>"23085022901"</f>
        <v>23085022901</v>
      </c>
      <c r="C2866" s="6">
        <v>90</v>
      </c>
      <c r="D2866" s="6">
        <v>105.5</v>
      </c>
      <c r="E2866" s="6">
        <v>195.5</v>
      </c>
      <c r="F2866" s="11"/>
    </row>
    <row r="2867" spans="1:6">
      <c r="A2867" s="5" t="str">
        <f t="shared" si="50"/>
        <v>202310</v>
      </c>
      <c r="B2867" s="5" t="str">
        <f>"23085022123"</f>
        <v>23085022123</v>
      </c>
      <c r="C2867" s="6">
        <v>85.5</v>
      </c>
      <c r="D2867" s="6">
        <v>110</v>
      </c>
      <c r="E2867" s="6">
        <v>195.5</v>
      </c>
      <c r="F2867" s="11"/>
    </row>
    <row r="2868" spans="1:6">
      <c r="A2868" s="5" t="str">
        <f t="shared" si="50"/>
        <v>202310</v>
      </c>
      <c r="B2868" s="5" t="str">
        <f>"23085022222"</f>
        <v>23085022222</v>
      </c>
      <c r="C2868" s="6">
        <v>84</v>
      </c>
      <c r="D2868" s="6">
        <v>111</v>
      </c>
      <c r="E2868" s="6">
        <v>195</v>
      </c>
      <c r="F2868" s="11"/>
    </row>
    <row r="2869" spans="1:6">
      <c r="A2869" s="5" t="str">
        <f t="shared" si="50"/>
        <v>202310</v>
      </c>
      <c r="B2869" s="5" t="str">
        <f>"23085022306"</f>
        <v>23085022306</v>
      </c>
      <c r="C2869" s="6">
        <v>79.5</v>
      </c>
      <c r="D2869" s="6">
        <v>115.5</v>
      </c>
      <c r="E2869" s="6">
        <v>195</v>
      </c>
      <c r="F2869" s="11"/>
    </row>
    <row r="2870" spans="1:6">
      <c r="A2870" s="5" t="str">
        <f t="shared" si="50"/>
        <v>202310</v>
      </c>
      <c r="B2870" s="5" t="str">
        <f>"23085023308"</f>
        <v>23085023308</v>
      </c>
      <c r="C2870" s="6">
        <v>93</v>
      </c>
      <c r="D2870" s="6">
        <v>102</v>
      </c>
      <c r="E2870" s="6">
        <v>195</v>
      </c>
      <c r="F2870" s="11"/>
    </row>
    <row r="2871" spans="1:6">
      <c r="A2871" s="5" t="str">
        <f t="shared" si="50"/>
        <v>202310</v>
      </c>
      <c r="B2871" s="5" t="str">
        <f>"23085023518"</f>
        <v>23085023518</v>
      </c>
      <c r="C2871" s="6">
        <v>79.5</v>
      </c>
      <c r="D2871" s="6">
        <v>115.5</v>
      </c>
      <c r="E2871" s="6">
        <v>195</v>
      </c>
      <c r="F2871" s="11"/>
    </row>
    <row r="2872" spans="1:6">
      <c r="A2872" s="5" t="str">
        <f t="shared" ref="A2872:A2935" si="51">"202310"</f>
        <v>202310</v>
      </c>
      <c r="B2872" s="5" t="str">
        <f>"23085023409"</f>
        <v>23085023409</v>
      </c>
      <c r="C2872" s="6">
        <v>94.5</v>
      </c>
      <c r="D2872" s="6">
        <v>100</v>
      </c>
      <c r="E2872" s="6">
        <v>194.5</v>
      </c>
      <c r="F2872" s="11"/>
    </row>
    <row r="2873" spans="1:6">
      <c r="A2873" s="5" t="str">
        <f t="shared" si="51"/>
        <v>202310</v>
      </c>
      <c r="B2873" s="5" t="str">
        <f>"23085023717"</f>
        <v>23085023717</v>
      </c>
      <c r="C2873" s="6">
        <v>81</v>
      </c>
      <c r="D2873" s="6">
        <v>113.5</v>
      </c>
      <c r="E2873" s="6">
        <v>194.5</v>
      </c>
      <c r="F2873" s="11"/>
    </row>
    <row r="2874" spans="1:6">
      <c r="A2874" s="5" t="str">
        <f t="shared" si="51"/>
        <v>202310</v>
      </c>
      <c r="B2874" s="5" t="str">
        <f>"23085023423"</f>
        <v>23085023423</v>
      </c>
      <c r="C2874" s="6">
        <v>109.5</v>
      </c>
      <c r="D2874" s="6">
        <v>85</v>
      </c>
      <c r="E2874" s="6">
        <v>194.5</v>
      </c>
      <c r="F2874" s="11"/>
    </row>
    <row r="2875" spans="1:6">
      <c r="A2875" s="5" t="str">
        <f t="shared" si="51"/>
        <v>202310</v>
      </c>
      <c r="B2875" s="5" t="str">
        <f>"23085022930"</f>
        <v>23085022930</v>
      </c>
      <c r="C2875" s="6">
        <v>81</v>
      </c>
      <c r="D2875" s="6">
        <v>112.5</v>
      </c>
      <c r="E2875" s="6">
        <v>193.5</v>
      </c>
      <c r="F2875" s="11"/>
    </row>
    <row r="2876" spans="1:6">
      <c r="A2876" s="5" t="str">
        <f t="shared" si="51"/>
        <v>202310</v>
      </c>
      <c r="B2876" s="5" t="str">
        <f>"23085023521"</f>
        <v>23085023521</v>
      </c>
      <c r="C2876" s="6">
        <v>82.5</v>
      </c>
      <c r="D2876" s="6">
        <v>111</v>
      </c>
      <c r="E2876" s="6">
        <v>193.5</v>
      </c>
      <c r="F2876" s="11"/>
    </row>
    <row r="2877" spans="1:6">
      <c r="A2877" s="5" t="str">
        <f t="shared" si="51"/>
        <v>202310</v>
      </c>
      <c r="B2877" s="5" t="str">
        <f>"23085023111"</f>
        <v>23085023111</v>
      </c>
      <c r="C2877" s="6">
        <v>82.5</v>
      </c>
      <c r="D2877" s="6">
        <v>110.5</v>
      </c>
      <c r="E2877" s="6">
        <v>193</v>
      </c>
      <c r="F2877" s="11"/>
    </row>
    <row r="2878" spans="1:6">
      <c r="A2878" s="5" t="str">
        <f t="shared" si="51"/>
        <v>202310</v>
      </c>
      <c r="B2878" s="5" t="str">
        <f>"23085022408"</f>
        <v>23085022408</v>
      </c>
      <c r="C2878" s="6">
        <v>99</v>
      </c>
      <c r="D2878" s="6">
        <v>93.5</v>
      </c>
      <c r="E2878" s="6">
        <v>192.5</v>
      </c>
      <c r="F2878" s="11"/>
    </row>
    <row r="2879" spans="1:6">
      <c r="A2879" s="5" t="str">
        <f t="shared" si="51"/>
        <v>202310</v>
      </c>
      <c r="B2879" s="5" t="str">
        <f>"23085021905"</f>
        <v>23085021905</v>
      </c>
      <c r="C2879" s="6">
        <v>99</v>
      </c>
      <c r="D2879" s="6">
        <v>93.5</v>
      </c>
      <c r="E2879" s="6">
        <v>192.5</v>
      </c>
      <c r="F2879" s="11"/>
    </row>
    <row r="2880" spans="1:6">
      <c r="A2880" s="5" t="str">
        <f t="shared" si="51"/>
        <v>202310</v>
      </c>
      <c r="B2880" s="5" t="str">
        <f>"23085023708"</f>
        <v>23085023708</v>
      </c>
      <c r="C2880" s="6">
        <v>88.5</v>
      </c>
      <c r="D2880" s="6">
        <v>104</v>
      </c>
      <c r="E2880" s="6">
        <v>192.5</v>
      </c>
      <c r="F2880" s="11"/>
    </row>
    <row r="2881" spans="1:6">
      <c r="A2881" s="5" t="str">
        <f t="shared" si="51"/>
        <v>202310</v>
      </c>
      <c r="B2881" s="5" t="str">
        <f>"23085022921"</f>
        <v>23085022921</v>
      </c>
      <c r="C2881" s="6">
        <v>79.5</v>
      </c>
      <c r="D2881" s="6">
        <v>111</v>
      </c>
      <c r="E2881" s="6">
        <v>190.5</v>
      </c>
      <c r="F2881" s="11"/>
    </row>
    <row r="2882" spans="1:6">
      <c r="A2882" s="5" t="str">
        <f t="shared" si="51"/>
        <v>202310</v>
      </c>
      <c r="B2882" s="5" t="str">
        <f>"23085023028"</f>
        <v>23085023028</v>
      </c>
      <c r="C2882" s="6">
        <v>79.5</v>
      </c>
      <c r="D2882" s="6">
        <v>110</v>
      </c>
      <c r="E2882" s="6">
        <v>189.5</v>
      </c>
      <c r="F2882" s="11"/>
    </row>
    <row r="2883" spans="1:6">
      <c r="A2883" s="5" t="str">
        <f t="shared" si="51"/>
        <v>202310</v>
      </c>
      <c r="B2883" s="5" t="str">
        <f>"23085021925"</f>
        <v>23085021925</v>
      </c>
      <c r="C2883" s="6">
        <v>87</v>
      </c>
      <c r="D2883" s="6">
        <v>102</v>
      </c>
      <c r="E2883" s="6">
        <v>189</v>
      </c>
      <c r="F2883" s="11"/>
    </row>
    <row r="2884" spans="1:6">
      <c r="A2884" s="5" t="str">
        <f t="shared" si="51"/>
        <v>202310</v>
      </c>
      <c r="B2884" s="5" t="str">
        <f>"23085022428"</f>
        <v>23085022428</v>
      </c>
      <c r="C2884" s="6">
        <v>81</v>
      </c>
      <c r="D2884" s="6">
        <v>107.5</v>
      </c>
      <c r="E2884" s="6">
        <v>188.5</v>
      </c>
      <c r="F2884" s="11"/>
    </row>
    <row r="2885" spans="1:6">
      <c r="A2885" s="5" t="str">
        <f t="shared" si="51"/>
        <v>202310</v>
      </c>
      <c r="B2885" s="5" t="str">
        <f>"23085022724"</f>
        <v>23085022724</v>
      </c>
      <c r="C2885" s="6">
        <v>79.5</v>
      </c>
      <c r="D2885" s="6">
        <v>108.5</v>
      </c>
      <c r="E2885" s="6">
        <v>188</v>
      </c>
      <c r="F2885" s="11"/>
    </row>
    <row r="2886" spans="1:6">
      <c r="A2886" s="5" t="str">
        <f t="shared" si="51"/>
        <v>202310</v>
      </c>
      <c r="B2886" s="5" t="str">
        <f>"23085022213"</f>
        <v>23085022213</v>
      </c>
      <c r="C2886" s="6">
        <v>93</v>
      </c>
      <c r="D2886" s="6">
        <v>95</v>
      </c>
      <c r="E2886" s="6">
        <v>188</v>
      </c>
      <c r="F2886" s="11"/>
    </row>
    <row r="2887" spans="1:6">
      <c r="A2887" s="5" t="str">
        <f t="shared" si="51"/>
        <v>202310</v>
      </c>
      <c r="B2887" s="5" t="str">
        <f>"23085022203"</f>
        <v>23085022203</v>
      </c>
      <c r="C2887" s="6">
        <v>70.5</v>
      </c>
      <c r="D2887" s="6">
        <v>117.5</v>
      </c>
      <c r="E2887" s="6">
        <v>188</v>
      </c>
      <c r="F2887" s="11"/>
    </row>
    <row r="2888" spans="1:6">
      <c r="A2888" s="5" t="str">
        <f t="shared" si="51"/>
        <v>202310</v>
      </c>
      <c r="B2888" s="5" t="str">
        <f>"23085022526"</f>
        <v>23085022526</v>
      </c>
      <c r="C2888" s="6">
        <v>75</v>
      </c>
      <c r="D2888" s="6">
        <v>112.5</v>
      </c>
      <c r="E2888" s="6">
        <v>187.5</v>
      </c>
      <c r="F2888" s="11"/>
    </row>
    <row r="2889" spans="1:6">
      <c r="A2889" s="5" t="str">
        <f t="shared" si="51"/>
        <v>202310</v>
      </c>
      <c r="B2889" s="5" t="str">
        <f>"23085023016"</f>
        <v>23085023016</v>
      </c>
      <c r="C2889" s="6">
        <v>79.5</v>
      </c>
      <c r="D2889" s="6">
        <v>108</v>
      </c>
      <c r="E2889" s="6">
        <v>187.5</v>
      </c>
      <c r="F2889" s="11"/>
    </row>
    <row r="2890" spans="1:6">
      <c r="A2890" s="5" t="str">
        <f t="shared" si="51"/>
        <v>202310</v>
      </c>
      <c r="B2890" s="5" t="str">
        <f>"23085022316"</f>
        <v>23085022316</v>
      </c>
      <c r="C2890" s="6">
        <v>78</v>
      </c>
      <c r="D2890" s="6">
        <v>109</v>
      </c>
      <c r="E2890" s="6">
        <v>187</v>
      </c>
      <c r="F2890" s="11"/>
    </row>
    <row r="2891" spans="1:6">
      <c r="A2891" s="5" t="str">
        <f t="shared" si="51"/>
        <v>202310</v>
      </c>
      <c r="B2891" s="5" t="str">
        <f>"23085023009"</f>
        <v>23085023009</v>
      </c>
      <c r="C2891" s="6">
        <v>87</v>
      </c>
      <c r="D2891" s="6">
        <v>100</v>
      </c>
      <c r="E2891" s="6">
        <v>187</v>
      </c>
      <c r="F2891" s="11"/>
    </row>
    <row r="2892" spans="1:6">
      <c r="A2892" s="5" t="str">
        <f t="shared" si="51"/>
        <v>202310</v>
      </c>
      <c r="B2892" s="5" t="str">
        <f>"23085023022"</f>
        <v>23085023022</v>
      </c>
      <c r="C2892" s="6">
        <v>72</v>
      </c>
      <c r="D2892" s="6">
        <v>115</v>
      </c>
      <c r="E2892" s="6">
        <v>187</v>
      </c>
      <c r="F2892" s="11"/>
    </row>
    <row r="2893" spans="1:6">
      <c r="A2893" s="5" t="str">
        <f t="shared" si="51"/>
        <v>202310</v>
      </c>
      <c r="B2893" s="5" t="str">
        <f>"23085021926"</f>
        <v>23085021926</v>
      </c>
      <c r="C2893" s="6">
        <v>66</v>
      </c>
      <c r="D2893" s="6">
        <v>120</v>
      </c>
      <c r="E2893" s="6">
        <v>186</v>
      </c>
      <c r="F2893" s="11"/>
    </row>
    <row r="2894" spans="1:6">
      <c r="A2894" s="5" t="str">
        <f t="shared" si="51"/>
        <v>202310</v>
      </c>
      <c r="B2894" s="5" t="str">
        <f>"23085023216"</f>
        <v>23085023216</v>
      </c>
      <c r="C2894" s="6">
        <v>70.5</v>
      </c>
      <c r="D2894" s="6">
        <v>115</v>
      </c>
      <c r="E2894" s="6">
        <v>185.5</v>
      </c>
      <c r="F2894" s="11"/>
    </row>
    <row r="2895" spans="1:6">
      <c r="A2895" s="5" t="str">
        <f t="shared" si="51"/>
        <v>202310</v>
      </c>
      <c r="B2895" s="5" t="str">
        <f>"23085021901"</f>
        <v>23085021901</v>
      </c>
      <c r="C2895" s="6">
        <v>72</v>
      </c>
      <c r="D2895" s="6">
        <v>113</v>
      </c>
      <c r="E2895" s="6">
        <v>185</v>
      </c>
      <c r="F2895" s="11"/>
    </row>
    <row r="2896" spans="1:6">
      <c r="A2896" s="5" t="str">
        <f t="shared" si="51"/>
        <v>202310</v>
      </c>
      <c r="B2896" s="5" t="str">
        <f>"23085022005"</f>
        <v>23085022005</v>
      </c>
      <c r="C2896" s="6">
        <v>82.5</v>
      </c>
      <c r="D2896" s="6">
        <v>102.5</v>
      </c>
      <c r="E2896" s="6">
        <v>185</v>
      </c>
      <c r="F2896" s="11"/>
    </row>
    <row r="2897" spans="1:6">
      <c r="A2897" s="5" t="str">
        <f t="shared" si="51"/>
        <v>202310</v>
      </c>
      <c r="B2897" s="5" t="str">
        <f>"23085022629"</f>
        <v>23085022629</v>
      </c>
      <c r="C2897" s="6">
        <v>76.5</v>
      </c>
      <c r="D2897" s="6">
        <v>108.5</v>
      </c>
      <c r="E2897" s="6">
        <v>185</v>
      </c>
      <c r="F2897" s="11"/>
    </row>
    <row r="2898" spans="1:6">
      <c r="A2898" s="5" t="str">
        <f t="shared" si="51"/>
        <v>202310</v>
      </c>
      <c r="B2898" s="5" t="str">
        <f>"23085022413"</f>
        <v>23085022413</v>
      </c>
      <c r="C2898" s="6">
        <v>72</v>
      </c>
      <c r="D2898" s="6">
        <v>113</v>
      </c>
      <c r="E2898" s="6">
        <v>185</v>
      </c>
      <c r="F2898" s="11"/>
    </row>
    <row r="2899" spans="1:6">
      <c r="A2899" s="5" t="str">
        <f t="shared" si="51"/>
        <v>202310</v>
      </c>
      <c r="B2899" s="5" t="str">
        <f>"23085022019"</f>
        <v>23085022019</v>
      </c>
      <c r="C2899" s="6">
        <v>93</v>
      </c>
      <c r="D2899" s="6">
        <v>91.5</v>
      </c>
      <c r="E2899" s="6">
        <v>184.5</v>
      </c>
      <c r="F2899" s="11"/>
    </row>
    <row r="2900" spans="1:6">
      <c r="A2900" s="5" t="str">
        <f t="shared" si="51"/>
        <v>202310</v>
      </c>
      <c r="B2900" s="5" t="str">
        <f>"23085022422"</f>
        <v>23085022422</v>
      </c>
      <c r="C2900" s="6">
        <v>90</v>
      </c>
      <c r="D2900" s="6">
        <v>94</v>
      </c>
      <c r="E2900" s="6">
        <v>184</v>
      </c>
      <c r="F2900" s="11"/>
    </row>
    <row r="2901" spans="1:6">
      <c r="A2901" s="5" t="str">
        <f t="shared" si="51"/>
        <v>202310</v>
      </c>
      <c r="B2901" s="5" t="str">
        <f>"23085023324"</f>
        <v>23085023324</v>
      </c>
      <c r="C2901" s="6">
        <v>75</v>
      </c>
      <c r="D2901" s="6">
        <v>108.5</v>
      </c>
      <c r="E2901" s="6">
        <v>183.5</v>
      </c>
      <c r="F2901" s="11"/>
    </row>
    <row r="2902" spans="1:6">
      <c r="A2902" s="5" t="str">
        <f t="shared" si="51"/>
        <v>202310</v>
      </c>
      <c r="B2902" s="5" t="str">
        <f>"23085022426"</f>
        <v>23085022426</v>
      </c>
      <c r="C2902" s="6">
        <v>78</v>
      </c>
      <c r="D2902" s="6">
        <v>105</v>
      </c>
      <c r="E2902" s="6">
        <v>183</v>
      </c>
      <c r="F2902" s="11"/>
    </row>
    <row r="2903" spans="1:6">
      <c r="A2903" s="5" t="str">
        <f t="shared" si="51"/>
        <v>202310</v>
      </c>
      <c r="B2903" s="5" t="str">
        <f>"23085022117"</f>
        <v>23085022117</v>
      </c>
      <c r="C2903" s="6">
        <v>78</v>
      </c>
      <c r="D2903" s="6">
        <v>105</v>
      </c>
      <c r="E2903" s="6">
        <v>183</v>
      </c>
      <c r="F2903" s="11"/>
    </row>
    <row r="2904" spans="1:6">
      <c r="A2904" s="5" t="str">
        <f t="shared" si="51"/>
        <v>202310</v>
      </c>
      <c r="B2904" s="5" t="str">
        <f>"23085022412"</f>
        <v>23085022412</v>
      </c>
      <c r="C2904" s="6">
        <v>84</v>
      </c>
      <c r="D2904" s="6">
        <v>98.5</v>
      </c>
      <c r="E2904" s="6">
        <v>182.5</v>
      </c>
      <c r="F2904" s="11"/>
    </row>
    <row r="2905" spans="1:6">
      <c r="A2905" s="5" t="str">
        <f t="shared" si="51"/>
        <v>202310</v>
      </c>
      <c r="B2905" s="5" t="str">
        <f>"23085022927"</f>
        <v>23085022927</v>
      </c>
      <c r="C2905" s="6">
        <v>81</v>
      </c>
      <c r="D2905" s="6">
        <v>101.5</v>
      </c>
      <c r="E2905" s="6">
        <v>182.5</v>
      </c>
      <c r="F2905" s="11"/>
    </row>
    <row r="2906" spans="1:6">
      <c r="A2906" s="5" t="str">
        <f t="shared" si="51"/>
        <v>202310</v>
      </c>
      <c r="B2906" s="5" t="str">
        <f>"23085023128"</f>
        <v>23085023128</v>
      </c>
      <c r="C2906" s="6">
        <v>72</v>
      </c>
      <c r="D2906" s="6">
        <v>109</v>
      </c>
      <c r="E2906" s="6">
        <v>181</v>
      </c>
      <c r="F2906" s="11"/>
    </row>
    <row r="2907" spans="1:6">
      <c r="A2907" s="5" t="str">
        <f t="shared" si="51"/>
        <v>202310</v>
      </c>
      <c r="B2907" s="5" t="str">
        <f>"23085022022"</f>
        <v>23085022022</v>
      </c>
      <c r="C2907" s="6">
        <v>87</v>
      </c>
      <c r="D2907" s="6">
        <v>94</v>
      </c>
      <c r="E2907" s="6">
        <v>181</v>
      </c>
      <c r="F2907" s="11"/>
    </row>
    <row r="2908" spans="1:6">
      <c r="A2908" s="5" t="str">
        <f t="shared" si="51"/>
        <v>202310</v>
      </c>
      <c r="B2908" s="5" t="str">
        <f>"23085022017"</f>
        <v>23085022017</v>
      </c>
      <c r="C2908" s="6">
        <v>66</v>
      </c>
      <c r="D2908" s="6">
        <v>113.5</v>
      </c>
      <c r="E2908" s="6">
        <v>179.5</v>
      </c>
      <c r="F2908" s="11"/>
    </row>
    <row r="2909" spans="1:6">
      <c r="A2909" s="5" t="str">
        <f t="shared" si="51"/>
        <v>202310</v>
      </c>
      <c r="B2909" s="5" t="str">
        <f>"23085022705"</f>
        <v>23085022705</v>
      </c>
      <c r="C2909" s="6">
        <v>87</v>
      </c>
      <c r="D2909" s="6">
        <v>92</v>
      </c>
      <c r="E2909" s="6">
        <v>179</v>
      </c>
      <c r="F2909" s="11"/>
    </row>
    <row r="2910" spans="1:6">
      <c r="A2910" s="5" t="str">
        <f t="shared" si="51"/>
        <v>202310</v>
      </c>
      <c r="B2910" s="5" t="str">
        <f>"23085023618"</f>
        <v>23085023618</v>
      </c>
      <c r="C2910" s="6">
        <v>70.5</v>
      </c>
      <c r="D2910" s="6">
        <v>108</v>
      </c>
      <c r="E2910" s="6">
        <v>178.5</v>
      </c>
      <c r="F2910" s="11"/>
    </row>
    <row r="2911" spans="1:6">
      <c r="A2911" s="5" t="str">
        <f t="shared" si="51"/>
        <v>202310</v>
      </c>
      <c r="B2911" s="5" t="str">
        <f>"23085022802"</f>
        <v>23085022802</v>
      </c>
      <c r="C2911" s="6">
        <v>66</v>
      </c>
      <c r="D2911" s="6">
        <v>112</v>
      </c>
      <c r="E2911" s="6">
        <v>178</v>
      </c>
      <c r="F2911" s="11"/>
    </row>
    <row r="2912" spans="1:6">
      <c r="A2912" s="5" t="str">
        <f t="shared" si="51"/>
        <v>202310</v>
      </c>
      <c r="B2912" s="5" t="str">
        <f>"23085022516"</f>
        <v>23085022516</v>
      </c>
      <c r="C2912" s="6">
        <v>73.5</v>
      </c>
      <c r="D2912" s="6">
        <v>103.5</v>
      </c>
      <c r="E2912" s="6">
        <v>177</v>
      </c>
      <c r="F2912" s="11"/>
    </row>
    <row r="2913" spans="1:6">
      <c r="A2913" s="5" t="str">
        <f t="shared" si="51"/>
        <v>202310</v>
      </c>
      <c r="B2913" s="5" t="str">
        <f>"23085021906"</f>
        <v>23085021906</v>
      </c>
      <c r="C2913" s="6">
        <v>84</v>
      </c>
      <c r="D2913" s="6">
        <v>91.5</v>
      </c>
      <c r="E2913" s="6">
        <v>175.5</v>
      </c>
      <c r="F2913" s="11"/>
    </row>
    <row r="2914" spans="1:6">
      <c r="A2914" s="5" t="str">
        <f t="shared" si="51"/>
        <v>202310</v>
      </c>
      <c r="B2914" s="5" t="str">
        <f>"23085022206"</f>
        <v>23085022206</v>
      </c>
      <c r="C2914" s="6">
        <v>72</v>
      </c>
      <c r="D2914" s="6">
        <v>102</v>
      </c>
      <c r="E2914" s="6">
        <v>174</v>
      </c>
      <c r="F2914" s="11"/>
    </row>
    <row r="2915" spans="1:6">
      <c r="A2915" s="5" t="str">
        <f t="shared" si="51"/>
        <v>202310</v>
      </c>
      <c r="B2915" s="5" t="str">
        <f>"23085022928"</f>
        <v>23085022928</v>
      </c>
      <c r="C2915" s="6">
        <v>75</v>
      </c>
      <c r="D2915" s="6">
        <v>96</v>
      </c>
      <c r="E2915" s="6">
        <v>171</v>
      </c>
      <c r="F2915" s="11"/>
    </row>
    <row r="2916" spans="1:6">
      <c r="A2916" s="5" t="str">
        <f t="shared" si="51"/>
        <v>202310</v>
      </c>
      <c r="B2916" s="5" t="str">
        <f>"23085022725"</f>
        <v>23085022725</v>
      </c>
      <c r="C2916" s="6">
        <v>79.5</v>
      </c>
      <c r="D2916" s="6">
        <v>91.5</v>
      </c>
      <c r="E2916" s="6">
        <v>171</v>
      </c>
      <c r="F2916" s="11"/>
    </row>
    <row r="2917" spans="1:6">
      <c r="A2917" s="5" t="str">
        <f t="shared" si="51"/>
        <v>202310</v>
      </c>
      <c r="B2917" s="5" t="str">
        <f>"23085022107"</f>
        <v>23085022107</v>
      </c>
      <c r="C2917" s="6">
        <v>58.5</v>
      </c>
      <c r="D2917" s="6">
        <v>112</v>
      </c>
      <c r="E2917" s="6">
        <v>170.5</v>
      </c>
      <c r="F2917" s="11"/>
    </row>
    <row r="2918" spans="1:6">
      <c r="A2918" s="5" t="str">
        <f t="shared" si="51"/>
        <v>202310</v>
      </c>
      <c r="B2918" s="5" t="str">
        <f>"23085022205"</f>
        <v>23085022205</v>
      </c>
      <c r="C2918" s="6">
        <v>81</v>
      </c>
      <c r="D2918" s="6">
        <v>89.5</v>
      </c>
      <c r="E2918" s="6">
        <v>170.5</v>
      </c>
      <c r="F2918" s="11"/>
    </row>
    <row r="2919" spans="1:6">
      <c r="A2919" s="5" t="str">
        <f t="shared" si="51"/>
        <v>202310</v>
      </c>
      <c r="B2919" s="5" t="str">
        <f>"23085022605"</f>
        <v>23085022605</v>
      </c>
      <c r="C2919" s="6">
        <v>70.5</v>
      </c>
      <c r="D2919" s="6">
        <v>95</v>
      </c>
      <c r="E2919" s="6">
        <v>165.5</v>
      </c>
      <c r="F2919" s="11"/>
    </row>
    <row r="2920" spans="1:6">
      <c r="A2920" s="5" t="str">
        <f t="shared" si="51"/>
        <v>202310</v>
      </c>
      <c r="B2920" s="5" t="str">
        <f>"23085022212"</f>
        <v>23085022212</v>
      </c>
      <c r="C2920" s="6">
        <v>67.5</v>
      </c>
      <c r="D2920" s="6">
        <v>97</v>
      </c>
      <c r="E2920" s="6">
        <v>164.5</v>
      </c>
      <c r="F2920" s="11"/>
    </row>
    <row r="2921" spans="1:6">
      <c r="A2921" s="5" t="str">
        <f t="shared" si="51"/>
        <v>202310</v>
      </c>
      <c r="B2921" s="5" t="str">
        <f>"23085023304"</f>
        <v>23085023304</v>
      </c>
      <c r="C2921" s="6">
        <v>49.5</v>
      </c>
      <c r="D2921" s="6">
        <v>115</v>
      </c>
      <c r="E2921" s="6">
        <v>164.5</v>
      </c>
      <c r="F2921" s="11"/>
    </row>
    <row r="2922" spans="1:6">
      <c r="A2922" s="5" t="str">
        <f t="shared" si="51"/>
        <v>202310</v>
      </c>
      <c r="B2922" s="5" t="str">
        <f>"23085022313"</f>
        <v>23085022313</v>
      </c>
      <c r="C2922" s="6">
        <v>70.5</v>
      </c>
      <c r="D2922" s="6">
        <v>90</v>
      </c>
      <c r="E2922" s="6">
        <v>160.5</v>
      </c>
      <c r="F2922" s="11"/>
    </row>
    <row r="2923" spans="1:6">
      <c r="A2923" s="5" t="str">
        <f t="shared" si="51"/>
        <v>202310</v>
      </c>
      <c r="B2923" s="5" t="str">
        <f>"23085022613"</f>
        <v>23085022613</v>
      </c>
      <c r="C2923" s="6">
        <v>79.5</v>
      </c>
      <c r="D2923" s="6">
        <v>71.5</v>
      </c>
      <c r="E2923" s="6">
        <v>151</v>
      </c>
      <c r="F2923" s="11"/>
    </row>
    <row r="2924" spans="1:6">
      <c r="A2924" s="5" t="str">
        <f t="shared" si="51"/>
        <v>202310</v>
      </c>
      <c r="B2924" s="5" t="str">
        <f>"23085023429"</f>
        <v>23085023429</v>
      </c>
      <c r="C2924" s="6">
        <v>82.5</v>
      </c>
      <c r="D2924" s="6">
        <v>52</v>
      </c>
      <c r="E2924" s="6">
        <v>134.5</v>
      </c>
      <c r="F2924" s="11"/>
    </row>
    <row r="2925" spans="1:6">
      <c r="A2925" s="5" t="str">
        <f t="shared" si="51"/>
        <v>202310</v>
      </c>
      <c r="B2925" s="5" t="str">
        <f>"23085021916"</f>
        <v>23085021916</v>
      </c>
      <c r="C2925" s="6">
        <v>55.5</v>
      </c>
      <c r="D2925" s="6">
        <v>0</v>
      </c>
      <c r="E2925" s="6">
        <v>55.5</v>
      </c>
      <c r="F2925" s="11"/>
    </row>
    <row r="2926" spans="1:6">
      <c r="A2926" s="5" t="str">
        <f t="shared" si="51"/>
        <v>202310</v>
      </c>
      <c r="B2926" s="5" t="str">
        <f>"23085022719"</f>
        <v>23085022719</v>
      </c>
      <c r="C2926" s="6">
        <v>0</v>
      </c>
      <c r="D2926" s="6">
        <v>0</v>
      </c>
      <c r="E2926" s="6">
        <v>0</v>
      </c>
      <c r="F2926" s="11" t="s">
        <v>7</v>
      </c>
    </row>
    <row r="2927" spans="1:6">
      <c r="A2927" s="5" t="str">
        <f t="shared" si="51"/>
        <v>202310</v>
      </c>
      <c r="B2927" s="5" t="str">
        <f>"23085021914"</f>
        <v>23085021914</v>
      </c>
      <c r="C2927" s="6">
        <v>0</v>
      </c>
      <c r="D2927" s="6">
        <v>0</v>
      </c>
      <c r="E2927" s="6">
        <v>0</v>
      </c>
      <c r="F2927" s="11" t="s">
        <v>7</v>
      </c>
    </row>
    <row r="2928" spans="1:6">
      <c r="A2928" s="5" t="str">
        <f t="shared" si="51"/>
        <v>202310</v>
      </c>
      <c r="B2928" s="5" t="str">
        <f>"23085023609"</f>
        <v>23085023609</v>
      </c>
      <c r="C2928" s="6">
        <v>0</v>
      </c>
      <c r="D2928" s="6">
        <v>0</v>
      </c>
      <c r="E2928" s="6">
        <v>0</v>
      </c>
      <c r="F2928" s="11" t="s">
        <v>7</v>
      </c>
    </row>
    <row r="2929" spans="1:6">
      <c r="A2929" s="5" t="str">
        <f t="shared" si="51"/>
        <v>202310</v>
      </c>
      <c r="B2929" s="5" t="str">
        <f>"23085022617"</f>
        <v>23085022617</v>
      </c>
      <c r="C2929" s="6">
        <v>0</v>
      </c>
      <c r="D2929" s="6">
        <v>0</v>
      </c>
      <c r="E2929" s="6">
        <v>0</v>
      </c>
      <c r="F2929" s="11" t="s">
        <v>7</v>
      </c>
    </row>
    <row r="2930" spans="1:6">
      <c r="A2930" s="5" t="str">
        <f t="shared" si="51"/>
        <v>202310</v>
      </c>
      <c r="B2930" s="5" t="str">
        <f>"23085022824"</f>
        <v>23085022824</v>
      </c>
      <c r="C2930" s="6">
        <v>0</v>
      </c>
      <c r="D2930" s="6">
        <v>0</v>
      </c>
      <c r="E2930" s="6">
        <v>0</v>
      </c>
      <c r="F2930" s="11" t="s">
        <v>7</v>
      </c>
    </row>
    <row r="2931" spans="1:6">
      <c r="A2931" s="5" t="str">
        <f t="shared" si="51"/>
        <v>202310</v>
      </c>
      <c r="B2931" s="5" t="str">
        <f>"23085022003"</f>
        <v>23085022003</v>
      </c>
      <c r="C2931" s="6">
        <v>0</v>
      </c>
      <c r="D2931" s="6">
        <v>0</v>
      </c>
      <c r="E2931" s="6">
        <v>0</v>
      </c>
      <c r="F2931" s="11" t="s">
        <v>7</v>
      </c>
    </row>
    <row r="2932" spans="1:6">
      <c r="A2932" s="5" t="str">
        <f t="shared" si="51"/>
        <v>202310</v>
      </c>
      <c r="B2932" s="5" t="str">
        <f>"23085022114"</f>
        <v>23085022114</v>
      </c>
      <c r="C2932" s="6">
        <v>0</v>
      </c>
      <c r="D2932" s="6">
        <v>0</v>
      </c>
      <c r="E2932" s="6">
        <v>0</v>
      </c>
      <c r="F2932" s="11" t="s">
        <v>7</v>
      </c>
    </row>
    <row r="2933" spans="1:6">
      <c r="A2933" s="5" t="str">
        <f t="shared" si="51"/>
        <v>202310</v>
      </c>
      <c r="B2933" s="5" t="str">
        <f>"23085022011"</f>
        <v>23085022011</v>
      </c>
      <c r="C2933" s="6">
        <v>0</v>
      </c>
      <c r="D2933" s="6">
        <v>0</v>
      </c>
      <c r="E2933" s="6">
        <v>0</v>
      </c>
      <c r="F2933" s="11" t="s">
        <v>7</v>
      </c>
    </row>
    <row r="2934" spans="1:6">
      <c r="A2934" s="5" t="str">
        <f t="shared" si="51"/>
        <v>202310</v>
      </c>
      <c r="B2934" s="5" t="str">
        <f>"23085022525"</f>
        <v>23085022525</v>
      </c>
      <c r="C2934" s="6">
        <v>0</v>
      </c>
      <c r="D2934" s="6">
        <v>0</v>
      </c>
      <c r="E2934" s="6">
        <v>0</v>
      </c>
      <c r="F2934" s="11" t="s">
        <v>7</v>
      </c>
    </row>
    <row r="2935" spans="1:6">
      <c r="A2935" s="5" t="str">
        <f t="shared" si="51"/>
        <v>202310</v>
      </c>
      <c r="B2935" s="5" t="str">
        <f>"23085022308"</f>
        <v>23085022308</v>
      </c>
      <c r="C2935" s="6">
        <v>0</v>
      </c>
      <c r="D2935" s="6">
        <v>0</v>
      </c>
      <c r="E2935" s="6">
        <v>0</v>
      </c>
      <c r="F2935" s="11" t="s">
        <v>7</v>
      </c>
    </row>
    <row r="2936" spans="1:6">
      <c r="A2936" s="5" t="str">
        <f t="shared" ref="A2936:A2999" si="52">"202310"</f>
        <v>202310</v>
      </c>
      <c r="B2936" s="5" t="str">
        <f>"23085022314"</f>
        <v>23085022314</v>
      </c>
      <c r="C2936" s="6">
        <v>0</v>
      </c>
      <c r="D2936" s="6">
        <v>0</v>
      </c>
      <c r="E2936" s="6">
        <v>0</v>
      </c>
      <c r="F2936" s="11" t="s">
        <v>7</v>
      </c>
    </row>
    <row r="2937" spans="1:6">
      <c r="A2937" s="5" t="str">
        <f t="shared" si="52"/>
        <v>202310</v>
      </c>
      <c r="B2937" s="5" t="str">
        <f>"23085022310"</f>
        <v>23085022310</v>
      </c>
      <c r="C2937" s="6">
        <v>0</v>
      </c>
      <c r="D2937" s="6">
        <v>0</v>
      </c>
      <c r="E2937" s="6">
        <v>0</v>
      </c>
      <c r="F2937" s="11" t="s">
        <v>7</v>
      </c>
    </row>
    <row r="2938" spans="1:6">
      <c r="A2938" s="5" t="str">
        <f t="shared" si="52"/>
        <v>202310</v>
      </c>
      <c r="B2938" s="5" t="str">
        <f>"23085022527"</f>
        <v>23085022527</v>
      </c>
      <c r="C2938" s="6">
        <v>0</v>
      </c>
      <c r="D2938" s="6">
        <v>0</v>
      </c>
      <c r="E2938" s="6">
        <v>0</v>
      </c>
      <c r="F2938" s="11" t="s">
        <v>7</v>
      </c>
    </row>
    <row r="2939" spans="1:6">
      <c r="A2939" s="5" t="str">
        <f t="shared" si="52"/>
        <v>202310</v>
      </c>
      <c r="B2939" s="5" t="str">
        <f>"23085022815"</f>
        <v>23085022815</v>
      </c>
      <c r="C2939" s="6">
        <v>0</v>
      </c>
      <c r="D2939" s="6">
        <v>0</v>
      </c>
      <c r="E2939" s="6">
        <v>0</v>
      </c>
      <c r="F2939" s="11" t="s">
        <v>7</v>
      </c>
    </row>
    <row r="2940" spans="1:6">
      <c r="A2940" s="5" t="str">
        <f t="shared" si="52"/>
        <v>202310</v>
      </c>
      <c r="B2940" s="5" t="str">
        <f>"23085022130"</f>
        <v>23085022130</v>
      </c>
      <c r="C2940" s="6">
        <v>0</v>
      </c>
      <c r="D2940" s="6">
        <v>0</v>
      </c>
      <c r="E2940" s="6">
        <v>0</v>
      </c>
      <c r="F2940" s="11" t="s">
        <v>7</v>
      </c>
    </row>
    <row r="2941" spans="1:6">
      <c r="A2941" s="5" t="str">
        <f t="shared" si="52"/>
        <v>202310</v>
      </c>
      <c r="B2941" s="5" t="str">
        <f>"23085023620"</f>
        <v>23085023620</v>
      </c>
      <c r="C2941" s="6">
        <v>0</v>
      </c>
      <c r="D2941" s="6">
        <v>0</v>
      </c>
      <c r="E2941" s="6">
        <v>0</v>
      </c>
      <c r="F2941" s="11" t="s">
        <v>7</v>
      </c>
    </row>
    <row r="2942" spans="1:6">
      <c r="A2942" s="5" t="str">
        <f t="shared" si="52"/>
        <v>202310</v>
      </c>
      <c r="B2942" s="5" t="str">
        <f>"23085023614"</f>
        <v>23085023614</v>
      </c>
      <c r="C2942" s="6">
        <v>0</v>
      </c>
      <c r="D2942" s="6">
        <v>0</v>
      </c>
      <c r="E2942" s="6">
        <v>0</v>
      </c>
      <c r="F2942" s="11" t="s">
        <v>7</v>
      </c>
    </row>
    <row r="2943" spans="1:6">
      <c r="A2943" s="5" t="str">
        <f t="shared" si="52"/>
        <v>202310</v>
      </c>
      <c r="B2943" s="5" t="str">
        <f>"23085022523"</f>
        <v>23085022523</v>
      </c>
      <c r="C2943" s="6">
        <v>0</v>
      </c>
      <c r="D2943" s="6">
        <v>0</v>
      </c>
      <c r="E2943" s="6">
        <v>0</v>
      </c>
      <c r="F2943" s="11" t="s">
        <v>7</v>
      </c>
    </row>
    <row r="2944" spans="1:6">
      <c r="A2944" s="5" t="str">
        <f t="shared" si="52"/>
        <v>202310</v>
      </c>
      <c r="B2944" s="5" t="str">
        <f>"23085022714"</f>
        <v>23085022714</v>
      </c>
      <c r="C2944" s="6">
        <v>0</v>
      </c>
      <c r="D2944" s="6">
        <v>0</v>
      </c>
      <c r="E2944" s="6">
        <v>0</v>
      </c>
      <c r="F2944" s="11" t="s">
        <v>7</v>
      </c>
    </row>
    <row r="2945" spans="1:6">
      <c r="A2945" s="5" t="str">
        <f t="shared" si="52"/>
        <v>202310</v>
      </c>
      <c r="B2945" s="5" t="str">
        <f>"23085023627"</f>
        <v>23085023627</v>
      </c>
      <c r="C2945" s="6">
        <v>0</v>
      </c>
      <c r="D2945" s="6">
        <v>0</v>
      </c>
      <c r="E2945" s="6">
        <v>0</v>
      </c>
      <c r="F2945" s="11" t="s">
        <v>7</v>
      </c>
    </row>
    <row r="2946" spans="1:6">
      <c r="A2946" s="5" t="str">
        <f t="shared" si="52"/>
        <v>202310</v>
      </c>
      <c r="B2946" s="5" t="str">
        <f>"23085021907"</f>
        <v>23085021907</v>
      </c>
      <c r="C2946" s="6">
        <v>0</v>
      </c>
      <c r="D2946" s="6">
        <v>0</v>
      </c>
      <c r="E2946" s="6">
        <v>0</v>
      </c>
      <c r="F2946" s="11" t="s">
        <v>7</v>
      </c>
    </row>
    <row r="2947" spans="1:6">
      <c r="A2947" s="5" t="str">
        <f t="shared" si="52"/>
        <v>202310</v>
      </c>
      <c r="B2947" s="5" t="str">
        <f>"23085023120"</f>
        <v>23085023120</v>
      </c>
      <c r="C2947" s="6">
        <v>0</v>
      </c>
      <c r="D2947" s="6">
        <v>0</v>
      </c>
      <c r="E2947" s="6">
        <v>0</v>
      </c>
      <c r="F2947" s="11" t="s">
        <v>7</v>
      </c>
    </row>
    <row r="2948" spans="1:6">
      <c r="A2948" s="5" t="str">
        <f t="shared" si="52"/>
        <v>202310</v>
      </c>
      <c r="B2948" s="5" t="str">
        <f>"23085023526"</f>
        <v>23085023526</v>
      </c>
      <c r="C2948" s="6">
        <v>0</v>
      </c>
      <c r="D2948" s="6">
        <v>0</v>
      </c>
      <c r="E2948" s="6">
        <v>0</v>
      </c>
      <c r="F2948" s="11" t="s">
        <v>7</v>
      </c>
    </row>
    <row r="2949" spans="1:6">
      <c r="A2949" s="5" t="str">
        <f t="shared" si="52"/>
        <v>202310</v>
      </c>
      <c r="B2949" s="5" t="str">
        <f>"23085022230"</f>
        <v>23085022230</v>
      </c>
      <c r="C2949" s="6">
        <v>0</v>
      </c>
      <c r="D2949" s="6">
        <v>0</v>
      </c>
      <c r="E2949" s="6">
        <v>0</v>
      </c>
      <c r="F2949" s="11" t="s">
        <v>7</v>
      </c>
    </row>
    <row r="2950" spans="1:6">
      <c r="A2950" s="5" t="str">
        <f t="shared" si="52"/>
        <v>202310</v>
      </c>
      <c r="B2950" s="5" t="str">
        <f>"23085022421"</f>
        <v>23085022421</v>
      </c>
      <c r="C2950" s="6">
        <v>0</v>
      </c>
      <c r="D2950" s="6">
        <v>0</v>
      </c>
      <c r="E2950" s="6">
        <v>0</v>
      </c>
      <c r="F2950" s="11" t="s">
        <v>7</v>
      </c>
    </row>
    <row r="2951" spans="1:6">
      <c r="A2951" s="5" t="str">
        <f t="shared" si="52"/>
        <v>202310</v>
      </c>
      <c r="B2951" s="5" t="str">
        <f>"23085023714"</f>
        <v>23085023714</v>
      </c>
      <c r="C2951" s="6">
        <v>0</v>
      </c>
      <c r="D2951" s="6">
        <v>0</v>
      </c>
      <c r="E2951" s="6">
        <v>0</v>
      </c>
      <c r="F2951" s="11" t="s">
        <v>7</v>
      </c>
    </row>
    <row r="2952" spans="1:6">
      <c r="A2952" s="5" t="str">
        <f t="shared" si="52"/>
        <v>202310</v>
      </c>
      <c r="B2952" s="5" t="str">
        <f>"23085022903"</f>
        <v>23085022903</v>
      </c>
      <c r="C2952" s="6">
        <v>0</v>
      </c>
      <c r="D2952" s="6">
        <v>0</v>
      </c>
      <c r="E2952" s="6">
        <v>0</v>
      </c>
      <c r="F2952" s="11" t="s">
        <v>7</v>
      </c>
    </row>
    <row r="2953" spans="1:6">
      <c r="A2953" s="5" t="str">
        <f t="shared" si="52"/>
        <v>202310</v>
      </c>
      <c r="B2953" s="5" t="str">
        <f>"23085022807"</f>
        <v>23085022807</v>
      </c>
      <c r="C2953" s="6">
        <v>0</v>
      </c>
      <c r="D2953" s="6">
        <v>0</v>
      </c>
      <c r="E2953" s="6">
        <v>0</v>
      </c>
      <c r="F2953" s="11" t="s">
        <v>7</v>
      </c>
    </row>
    <row r="2954" spans="1:6">
      <c r="A2954" s="5" t="str">
        <f t="shared" si="52"/>
        <v>202310</v>
      </c>
      <c r="B2954" s="5" t="str">
        <f>"23085022415"</f>
        <v>23085022415</v>
      </c>
      <c r="C2954" s="6">
        <v>0</v>
      </c>
      <c r="D2954" s="6">
        <v>0</v>
      </c>
      <c r="E2954" s="6">
        <v>0</v>
      </c>
      <c r="F2954" s="11" t="s">
        <v>7</v>
      </c>
    </row>
    <row r="2955" spans="1:6">
      <c r="A2955" s="5" t="str">
        <f t="shared" si="52"/>
        <v>202310</v>
      </c>
      <c r="B2955" s="5" t="str">
        <f>"23085023617"</f>
        <v>23085023617</v>
      </c>
      <c r="C2955" s="6">
        <v>0</v>
      </c>
      <c r="D2955" s="6">
        <v>0</v>
      </c>
      <c r="E2955" s="6">
        <v>0</v>
      </c>
      <c r="F2955" s="11" t="s">
        <v>7</v>
      </c>
    </row>
    <row r="2956" spans="1:6">
      <c r="A2956" s="5" t="str">
        <f t="shared" si="52"/>
        <v>202310</v>
      </c>
      <c r="B2956" s="5" t="str">
        <f>"23085022124"</f>
        <v>23085022124</v>
      </c>
      <c r="C2956" s="6">
        <v>0</v>
      </c>
      <c r="D2956" s="6">
        <v>0</v>
      </c>
      <c r="E2956" s="6">
        <v>0</v>
      </c>
      <c r="F2956" s="11" t="s">
        <v>7</v>
      </c>
    </row>
    <row r="2957" spans="1:6">
      <c r="A2957" s="5" t="str">
        <f t="shared" si="52"/>
        <v>202310</v>
      </c>
      <c r="B2957" s="5" t="str">
        <f>"23085022409"</f>
        <v>23085022409</v>
      </c>
      <c r="C2957" s="6">
        <v>0</v>
      </c>
      <c r="D2957" s="6">
        <v>0</v>
      </c>
      <c r="E2957" s="6">
        <v>0</v>
      </c>
      <c r="F2957" s="11" t="s">
        <v>7</v>
      </c>
    </row>
    <row r="2958" spans="1:6">
      <c r="A2958" s="5" t="str">
        <f t="shared" si="52"/>
        <v>202310</v>
      </c>
      <c r="B2958" s="5" t="str">
        <f>"23085022805"</f>
        <v>23085022805</v>
      </c>
      <c r="C2958" s="6">
        <v>0</v>
      </c>
      <c r="D2958" s="6">
        <v>0</v>
      </c>
      <c r="E2958" s="6">
        <v>0</v>
      </c>
      <c r="F2958" s="11" t="s">
        <v>7</v>
      </c>
    </row>
    <row r="2959" spans="1:6">
      <c r="A2959" s="5" t="str">
        <f t="shared" si="52"/>
        <v>202310</v>
      </c>
      <c r="B2959" s="5" t="str">
        <f>"23085022329"</f>
        <v>23085022329</v>
      </c>
      <c r="C2959" s="6">
        <v>0</v>
      </c>
      <c r="D2959" s="6">
        <v>0</v>
      </c>
      <c r="E2959" s="6">
        <v>0</v>
      </c>
      <c r="F2959" s="11" t="s">
        <v>7</v>
      </c>
    </row>
    <row r="2960" spans="1:6">
      <c r="A2960" s="5" t="str">
        <f t="shared" si="52"/>
        <v>202310</v>
      </c>
      <c r="B2960" s="5" t="str">
        <f>"23085023622"</f>
        <v>23085023622</v>
      </c>
      <c r="C2960" s="6">
        <v>0</v>
      </c>
      <c r="D2960" s="6">
        <v>0</v>
      </c>
      <c r="E2960" s="6">
        <v>0</v>
      </c>
      <c r="F2960" s="11" t="s">
        <v>7</v>
      </c>
    </row>
    <row r="2961" spans="1:6">
      <c r="A2961" s="5" t="str">
        <f t="shared" si="52"/>
        <v>202310</v>
      </c>
      <c r="B2961" s="5" t="str">
        <f>"23085022913"</f>
        <v>23085022913</v>
      </c>
      <c r="C2961" s="6">
        <v>0</v>
      </c>
      <c r="D2961" s="6">
        <v>0</v>
      </c>
      <c r="E2961" s="6">
        <v>0</v>
      </c>
      <c r="F2961" s="11" t="s">
        <v>7</v>
      </c>
    </row>
    <row r="2962" spans="1:6">
      <c r="A2962" s="5" t="str">
        <f t="shared" si="52"/>
        <v>202310</v>
      </c>
      <c r="B2962" s="5" t="str">
        <f>"23085023122"</f>
        <v>23085023122</v>
      </c>
      <c r="C2962" s="6">
        <v>0</v>
      </c>
      <c r="D2962" s="6">
        <v>0</v>
      </c>
      <c r="E2962" s="6">
        <v>0</v>
      </c>
      <c r="F2962" s="11" t="s">
        <v>7</v>
      </c>
    </row>
    <row r="2963" spans="1:6">
      <c r="A2963" s="5" t="str">
        <f t="shared" si="52"/>
        <v>202310</v>
      </c>
      <c r="B2963" s="5" t="str">
        <f>"23085022814"</f>
        <v>23085022814</v>
      </c>
      <c r="C2963" s="6">
        <v>0</v>
      </c>
      <c r="D2963" s="6">
        <v>0</v>
      </c>
      <c r="E2963" s="6">
        <v>0</v>
      </c>
      <c r="F2963" s="11" t="s">
        <v>7</v>
      </c>
    </row>
    <row r="2964" spans="1:6">
      <c r="A2964" s="5" t="str">
        <f t="shared" si="52"/>
        <v>202310</v>
      </c>
      <c r="B2964" s="5" t="str">
        <f>"23085022430"</f>
        <v>23085022430</v>
      </c>
      <c r="C2964" s="6">
        <v>0</v>
      </c>
      <c r="D2964" s="6">
        <v>0</v>
      </c>
      <c r="E2964" s="6">
        <v>0</v>
      </c>
      <c r="F2964" s="11" t="s">
        <v>7</v>
      </c>
    </row>
    <row r="2965" spans="1:6">
      <c r="A2965" s="5" t="str">
        <f t="shared" si="52"/>
        <v>202310</v>
      </c>
      <c r="B2965" s="5" t="str">
        <f>"23085022812"</f>
        <v>23085022812</v>
      </c>
      <c r="C2965" s="6">
        <v>0</v>
      </c>
      <c r="D2965" s="6">
        <v>0</v>
      </c>
      <c r="E2965" s="6">
        <v>0</v>
      </c>
      <c r="F2965" s="11" t="s">
        <v>7</v>
      </c>
    </row>
    <row r="2966" spans="1:6">
      <c r="A2966" s="5" t="str">
        <f t="shared" si="52"/>
        <v>202310</v>
      </c>
      <c r="B2966" s="5" t="str">
        <f>"23085023316"</f>
        <v>23085023316</v>
      </c>
      <c r="C2966" s="6">
        <v>0</v>
      </c>
      <c r="D2966" s="6">
        <v>0</v>
      </c>
      <c r="E2966" s="6">
        <v>0</v>
      </c>
      <c r="F2966" s="11" t="s">
        <v>7</v>
      </c>
    </row>
    <row r="2967" spans="1:6">
      <c r="A2967" s="5" t="str">
        <f t="shared" si="52"/>
        <v>202310</v>
      </c>
      <c r="B2967" s="5" t="str">
        <f>"23085023529"</f>
        <v>23085023529</v>
      </c>
      <c r="C2967" s="6">
        <v>0</v>
      </c>
      <c r="D2967" s="6">
        <v>0</v>
      </c>
      <c r="E2967" s="6">
        <v>0</v>
      </c>
      <c r="F2967" s="11" t="s">
        <v>7</v>
      </c>
    </row>
    <row r="2968" spans="1:6">
      <c r="A2968" s="5" t="str">
        <f t="shared" si="52"/>
        <v>202310</v>
      </c>
      <c r="B2968" s="5" t="str">
        <f>"23085022217"</f>
        <v>23085022217</v>
      </c>
      <c r="C2968" s="6">
        <v>0</v>
      </c>
      <c r="D2968" s="6">
        <v>0</v>
      </c>
      <c r="E2968" s="6">
        <v>0</v>
      </c>
      <c r="F2968" s="11" t="s">
        <v>7</v>
      </c>
    </row>
    <row r="2969" spans="1:6">
      <c r="A2969" s="5" t="str">
        <f t="shared" si="52"/>
        <v>202310</v>
      </c>
      <c r="B2969" s="5" t="str">
        <f>"23085021918"</f>
        <v>23085021918</v>
      </c>
      <c r="C2969" s="6">
        <v>0</v>
      </c>
      <c r="D2969" s="6">
        <v>0</v>
      </c>
      <c r="E2969" s="6">
        <v>0</v>
      </c>
      <c r="F2969" s="11" t="s">
        <v>7</v>
      </c>
    </row>
    <row r="2970" spans="1:6">
      <c r="A2970" s="5" t="str">
        <f t="shared" si="52"/>
        <v>202310</v>
      </c>
      <c r="B2970" s="5" t="str">
        <f>"23085022324"</f>
        <v>23085022324</v>
      </c>
      <c r="C2970" s="6">
        <v>0</v>
      </c>
      <c r="D2970" s="6">
        <v>0</v>
      </c>
      <c r="E2970" s="6">
        <v>0</v>
      </c>
      <c r="F2970" s="11" t="s">
        <v>7</v>
      </c>
    </row>
    <row r="2971" spans="1:6">
      <c r="A2971" s="5" t="str">
        <f t="shared" si="52"/>
        <v>202310</v>
      </c>
      <c r="B2971" s="5" t="str">
        <f>"23085022909"</f>
        <v>23085022909</v>
      </c>
      <c r="C2971" s="6">
        <v>0</v>
      </c>
      <c r="D2971" s="6">
        <v>0</v>
      </c>
      <c r="E2971" s="6">
        <v>0</v>
      </c>
      <c r="F2971" s="11" t="s">
        <v>7</v>
      </c>
    </row>
    <row r="2972" spans="1:6">
      <c r="A2972" s="5" t="str">
        <f t="shared" si="52"/>
        <v>202310</v>
      </c>
      <c r="B2972" s="5" t="str">
        <f>"23085023205"</f>
        <v>23085023205</v>
      </c>
      <c r="C2972" s="6">
        <v>0</v>
      </c>
      <c r="D2972" s="6">
        <v>0</v>
      </c>
      <c r="E2972" s="6">
        <v>0</v>
      </c>
      <c r="F2972" s="11" t="s">
        <v>7</v>
      </c>
    </row>
    <row r="2973" spans="1:6">
      <c r="A2973" s="5" t="str">
        <f t="shared" si="52"/>
        <v>202310</v>
      </c>
      <c r="B2973" s="5" t="str">
        <f>"23085023212"</f>
        <v>23085023212</v>
      </c>
      <c r="C2973" s="6">
        <v>0</v>
      </c>
      <c r="D2973" s="6">
        <v>0</v>
      </c>
      <c r="E2973" s="6">
        <v>0</v>
      </c>
      <c r="F2973" s="11" t="s">
        <v>7</v>
      </c>
    </row>
    <row r="2974" spans="1:6">
      <c r="A2974" s="5" t="str">
        <f t="shared" si="52"/>
        <v>202310</v>
      </c>
      <c r="B2974" s="5" t="str">
        <f>"23085023715"</f>
        <v>23085023715</v>
      </c>
      <c r="C2974" s="6">
        <v>0</v>
      </c>
      <c r="D2974" s="6">
        <v>0</v>
      </c>
      <c r="E2974" s="6">
        <v>0</v>
      </c>
      <c r="F2974" s="11" t="s">
        <v>7</v>
      </c>
    </row>
    <row r="2975" spans="1:6">
      <c r="A2975" s="5" t="str">
        <f t="shared" si="52"/>
        <v>202310</v>
      </c>
      <c r="B2975" s="5" t="str">
        <f>"23085023302"</f>
        <v>23085023302</v>
      </c>
      <c r="C2975" s="6">
        <v>0</v>
      </c>
      <c r="D2975" s="6">
        <v>0</v>
      </c>
      <c r="E2975" s="6">
        <v>0</v>
      </c>
      <c r="F2975" s="11" t="s">
        <v>7</v>
      </c>
    </row>
    <row r="2976" spans="1:6">
      <c r="A2976" s="5" t="str">
        <f t="shared" si="52"/>
        <v>202310</v>
      </c>
      <c r="B2976" s="5" t="str">
        <f>"23085022012"</f>
        <v>23085022012</v>
      </c>
      <c r="C2976" s="6">
        <v>0</v>
      </c>
      <c r="D2976" s="6">
        <v>0</v>
      </c>
      <c r="E2976" s="6">
        <v>0</v>
      </c>
      <c r="F2976" s="11" t="s">
        <v>7</v>
      </c>
    </row>
    <row r="2977" spans="1:6">
      <c r="A2977" s="5" t="str">
        <f t="shared" si="52"/>
        <v>202310</v>
      </c>
      <c r="B2977" s="5" t="str">
        <f>"23085022716"</f>
        <v>23085022716</v>
      </c>
      <c r="C2977" s="6">
        <v>0</v>
      </c>
      <c r="D2977" s="6">
        <v>0</v>
      </c>
      <c r="E2977" s="6">
        <v>0</v>
      </c>
      <c r="F2977" s="11" t="s">
        <v>7</v>
      </c>
    </row>
    <row r="2978" spans="1:6">
      <c r="A2978" s="5" t="str">
        <f t="shared" si="52"/>
        <v>202310</v>
      </c>
      <c r="B2978" s="5" t="str">
        <f>"23085022621"</f>
        <v>23085022621</v>
      </c>
      <c r="C2978" s="6">
        <v>0</v>
      </c>
      <c r="D2978" s="6">
        <v>0</v>
      </c>
      <c r="E2978" s="6">
        <v>0</v>
      </c>
      <c r="F2978" s="11" t="s">
        <v>7</v>
      </c>
    </row>
    <row r="2979" spans="1:6">
      <c r="A2979" s="5" t="str">
        <f t="shared" si="52"/>
        <v>202310</v>
      </c>
      <c r="B2979" s="5" t="str">
        <f>"23085023303"</f>
        <v>23085023303</v>
      </c>
      <c r="C2979" s="6">
        <v>0</v>
      </c>
      <c r="D2979" s="6">
        <v>0</v>
      </c>
      <c r="E2979" s="6">
        <v>0</v>
      </c>
      <c r="F2979" s="11" t="s">
        <v>7</v>
      </c>
    </row>
    <row r="2980" spans="1:6">
      <c r="A2980" s="5" t="str">
        <f t="shared" si="52"/>
        <v>202310</v>
      </c>
      <c r="B2980" s="5" t="str">
        <f>"23085022520"</f>
        <v>23085022520</v>
      </c>
      <c r="C2980" s="6">
        <v>0</v>
      </c>
      <c r="D2980" s="6">
        <v>0</v>
      </c>
      <c r="E2980" s="6">
        <v>0</v>
      </c>
      <c r="F2980" s="11" t="s">
        <v>7</v>
      </c>
    </row>
    <row r="2981" spans="1:6">
      <c r="A2981" s="5" t="str">
        <f t="shared" si="52"/>
        <v>202310</v>
      </c>
      <c r="B2981" s="5" t="str">
        <f>"23085023014"</f>
        <v>23085023014</v>
      </c>
      <c r="C2981" s="6">
        <v>0</v>
      </c>
      <c r="D2981" s="6">
        <v>0</v>
      </c>
      <c r="E2981" s="6">
        <v>0</v>
      </c>
      <c r="F2981" s="11" t="s">
        <v>7</v>
      </c>
    </row>
    <row r="2982" spans="1:6">
      <c r="A2982" s="5" t="str">
        <f t="shared" si="52"/>
        <v>202310</v>
      </c>
      <c r="B2982" s="5" t="str">
        <f>"23085022406"</f>
        <v>23085022406</v>
      </c>
      <c r="C2982" s="6">
        <v>0</v>
      </c>
      <c r="D2982" s="6">
        <v>0</v>
      </c>
      <c r="E2982" s="6">
        <v>0</v>
      </c>
      <c r="F2982" s="11" t="s">
        <v>7</v>
      </c>
    </row>
    <row r="2983" spans="1:6">
      <c r="A2983" s="5" t="str">
        <f t="shared" si="52"/>
        <v>202310</v>
      </c>
      <c r="B2983" s="5" t="str">
        <f>"23085022830"</f>
        <v>23085022830</v>
      </c>
      <c r="C2983" s="6">
        <v>0</v>
      </c>
      <c r="D2983" s="6">
        <v>0</v>
      </c>
      <c r="E2983" s="6">
        <v>0</v>
      </c>
      <c r="F2983" s="11" t="s">
        <v>7</v>
      </c>
    </row>
    <row r="2984" spans="1:6">
      <c r="A2984" s="5" t="str">
        <f t="shared" si="52"/>
        <v>202310</v>
      </c>
      <c r="B2984" s="5" t="str">
        <f>"23085023417"</f>
        <v>23085023417</v>
      </c>
      <c r="C2984" s="6">
        <v>0</v>
      </c>
      <c r="D2984" s="6">
        <v>0</v>
      </c>
      <c r="E2984" s="6">
        <v>0</v>
      </c>
      <c r="F2984" s="11" t="s">
        <v>7</v>
      </c>
    </row>
    <row r="2985" spans="1:6">
      <c r="A2985" s="5" t="str">
        <f t="shared" si="52"/>
        <v>202310</v>
      </c>
      <c r="B2985" s="5" t="str">
        <f>"23085023607"</f>
        <v>23085023607</v>
      </c>
      <c r="C2985" s="6">
        <v>0</v>
      </c>
      <c r="D2985" s="6">
        <v>0</v>
      </c>
      <c r="E2985" s="6">
        <v>0</v>
      </c>
      <c r="F2985" s="11" t="s">
        <v>7</v>
      </c>
    </row>
    <row r="2986" spans="1:6">
      <c r="A2986" s="5" t="str">
        <f t="shared" si="52"/>
        <v>202310</v>
      </c>
      <c r="B2986" s="5" t="str">
        <f>"23085022305"</f>
        <v>23085022305</v>
      </c>
      <c r="C2986" s="6">
        <v>0</v>
      </c>
      <c r="D2986" s="6">
        <v>0</v>
      </c>
      <c r="E2986" s="6">
        <v>0</v>
      </c>
      <c r="F2986" s="11" t="s">
        <v>7</v>
      </c>
    </row>
    <row r="2987" spans="1:6">
      <c r="A2987" s="5" t="str">
        <f t="shared" si="52"/>
        <v>202310</v>
      </c>
      <c r="B2987" s="5" t="str">
        <f>"23085023517"</f>
        <v>23085023517</v>
      </c>
      <c r="C2987" s="6">
        <v>0</v>
      </c>
      <c r="D2987" s="6">
        <v>0</v>
      </c>
      <c r="E2987" s="6">
        <v>0</v>
      </c>
      <c r="F2987" s="11" t="s">
        <v>7</v>
      </c>
    </row>
    <row r="2988" spans="1:6">
      <c r="A2988" s="5" t="str">
        <f t="shared" si="52"/>
        <v>202310</v>
      </c>
      <c r="B2988" s="5" t="str">
        <f>"23085023401"</f>
        <v>23085023401</v>
      </c>
      <c r="C2988" s="6">
        <v>0</v>
      </c>
      <c r="D2988" s="6">
        <v>0</v>
      </c>
      <c r="E2988" s="6">
        <v>0</v>
      </c>
      <c r="F2988" s="11" t="s">
        <v>7</v>
      </c>
    </row>
    <row r="2989" spans="1:6">
      <c r="A2989" s="5" t="str">
        <f t="shared" si="52"/>
        <v>202310</v>
      </c>
      <c r="B2989" s="5" t="str">
        <f>"23085023330"</f>
        <v>23085023330</v>
      </c>
      <c r="C2989" s="6">
        <v>0</v>
      </c>
      <c r="D2989" s="6">
        <v>0</v>
      </c>
      <c r="E2989" s="6">
        <v>0</v>
      </c>
      <c r="F2989" s="11" t="s">
        <v>7</v>
      </c>
    </row>
    <row r="2990" spans="1:6">
      <c r="A2990" s="5" t="str">
        <f t="shared" si="52"/>
        <v>202310</v>
      </c>
      <c r="B2990" s="5" t="str">
        <f>"23085022922"</f>
        <v>23085022922</v>
      </c>
      <c r="C2990" s="6">
        <v>0</v>
      </c>
      <c r="D2990" s="6">
        <v>0</v>
      </c>
      <c r="E2990" s="6">
        <v>0</v>
      </c>
      <c r="F2990" s="11" t="s">
        <v>7</v>
      </c>
    </row>
    <row r="2991" spans="1:6">
      <c r="A2991" s="5" t="str">
        <f t="shared" si="52"/>
        <v>202310</v>
      </c>
      <c r="B2991" s="5" t="str">
        <f>"23085022810"</f>
        <v>23085022810</v>
      </c>
      <c r="C2991" s="6">
        <v>0</v>
      </c>
      <c r="D2991" s="6">
        <v>0</v>
      </c>
      <c r="E2991" s="6">
        <v>0</v>
      </c>
      <c r="F2991" s="11" t="s">
        <v>7</v>
      </c>
    </row>
    <row r="2992" spans="1:6">
      <c r="A2992" s="5" t="str">
        <f t="shared" si="52"/>
        <v>202310</v>
      </c>
      <c r="B2992" s="5" t="str">
        <f>"23085023024"</f>
        <v>23085023024</v>
      </c>
      <c r="C2992" s="6">
        <v>0</v>
      </c>
      <c r="D2992" s="6">
        <v>0</v>
      </c>
      <c r="E2992" s="6">
        <v>0</v>
      </c>
      <c r="F2992" s="11" t="s">
        <v>7</v>
      </c>
    </row>
    <row r="2993" spans="1:6">
      <c r="A2993" s="5" t="str">
        <f t="shared" si="52"/>
        <v>202310</v>
      </c>
      <c r="B2993" s="5" t="str">
        <f>"23085023204"</f>
        <v>23085023204</v>
      </c>
      <c r="C2993" s="6">
        <v>0</v>
      </c>
      <c r="D2993" s="6">
        <v>0</v>
      </c>
      <c r="E2993" s="6">
        <v>0</v>
      </c>
      <c r="F2993" s="11" t="s">
        <v>7</v>
      </c>
    </row>
    <row r="2994" spans="1:6">
      <c r="A2994" s="5" t="str">
        <f t="shared" si="52"/>
        <v>202310</v>
      </c>
      <c r="B2994" s="5" t="str">
        <f>"23085023322"</f>
        <v>23085023322</v>
      </c>
      <c r="C2994" s="6">
        <v>0</v>
      </c>
      <c r="D2994" s="6">
        <v>0</v>
      </c>
      <c r="E2994" s="6">
        <v>0</v>
      </c>
      <c r="F2994" s="11" t="s">
        <v>7</v>
      </c>
    </row>
    <row r="2995" spans="1:6">
      <c r="A2995" s="5" t="str">
        <f t="shared" si="52"/>
        <v>202310</v>
      </c>
      <c r="B2995" s="5" t="str">
        <f>"23085021929"</f>
        <v>23085021929</v>
      </c>
      <c r="C2995" s="6">
        <v>0</v>
      </c>
      <c r="D2995" s="6">
        <v>0</v>
      </c>
      <c r="E2995" s="6">
        <v>0</v>
      </c>
      <c r="F2995" s="11" t="s">
        <v>7</v>
      </c>
    </row>
    <row r="2996" spans="1:6">
      <c r="A2996" s="5" t="str">
        <f t="shared" si="52"/>
        <v>202310</v>
      </c>
      <c r="B2996" s="5" t="str">
        <f>"23085022602"</f>
        <v>23085022602</v>
      </c>
      <c r="C2996" s="6">
        <v>0</v>
      </c>
      <c r="D2996" s="6">
        <v>0</v>
      </c>
      <c r="E2996" s="6">
        <v>0</v>
      </c>
      <c r="F2996" s="11" t="s">
        <v>7</v>
      </c>
    </row>
    <row r="2997" spans="1:6">
      <c r="A2997" s="5" t="str">
        <f t="shared" si="52"/>
        <v>202310</v>
      </c>
      <c r="B2997" s="5" t="str">
        <f>"23085023010"</f>
        <v>23085023010</v>
      </c>
      <c r="C2997" s="6">
        <v>0</v>
      </c>
      <c r="D2997" s="6">
        <v>0</v>
      </c>
      <c r="E2997" s="6">
        <v>0</v>
      </c>
      <c r="F2997" s="11" t="s">
        <v>7</v>
      </c>
    </row>
    <row r="2998" spans="1:6">
      <c r="A2998" s="5" t="str">
        <f t="shared" si="52"/>
        <v>202310</v>
      </c>
      <c r="B2998" s="5" t="str">
        <f>"23085023114"</f>
        <v>23085023114</v>
      </c>
      <c r="C2998" s="6">
        <v>0</v>
      </c>
      <c r="D2998" s="6">
        <v>0</v>
      </c>
      <c r="E2998" s="6">
        <v>0</v>
      </c>
      <c r="F2998" s="11" t="s">
        <v>7</v>
      </c>
    </row>
    <row r="2999" spans="1:6">
      <c r="A2999" s="5" t="str">
        <f t="shared" si="52"/>
        <v>202310</v>
      </c>
      <c r="B2999" s="5" t="str">
        <f>"23085023624"</f>
        <v>23085023624</v>
      </c>
      <c r="C2999" s="6">
        <v>0</v>
      </c>
      <c r="D2999" s="6">
        <v>0</v>
      </c>
      <c r="E2999" s="6">
        <v>0</v>
      </c>
      <c r="F2999" s="11" t="s">
        <v>7</v>
      </c>
    </row>
    <row r="3000" spans="1:6">
      <c r="A3000" s="5" t="str">
        <f t="shared" ref="A3000:A3056" si="53">"202310"</f>
        <v>202310</v>
      </c>
      <c r="B3000" s="5" t="str">
        <f>"23085022918"</f>
        <v>23085022918</v>
      </c>
      <c r="C3000" s="6">
        <v>0</v>
      </c>
      <c r="D3000" s="6">
        <v>0</v>
      </c>
      <c r="E3000" s="6">
        <v>0</v>
      </c>
      <c r="F3000" s="11" t="s">
        <v>7</v>
      </c>
    </row>
    <row r="3001" spans="1:6">
      <c r="A3001" s="5" t="str">
        <f t="shared" si="53"/>
        <v>202310</v>
      </c>
      <c r="B3001" s="5" t="str">
        <f>"23085022221"</f>
        <v>23085022221</v>
      </c>
      <c r="C3001" s="6">
        <v>0</v>
      </c>
      <c r="D3001" s="6">
        <v>0</v>
      </c>
      <c r="E3001" s="6">
        <v>0</v>
      </c>
      <c r="F3001" s="11" t="s">
        <v>7</v>
      </c>
    </row>
    <row r="3002" spans="1:6">
      <c r="A3002" s="5" t="str">
        <f t="shared" si="53"/>
        <v>202310</v>
      </c>
      <c r="B3002" s="5" t="str">
        <f>"23085022524"</f>
        <v>23085022524</v>
      </c>
      <c r="C3002" s="6">
        <v>0</v>
      </c>
      <c r="D3002" s="6">
        <v>0</v>
      </c>
      <c r="E3002" s="6">
        <v>0</v>
      </c>
      <c r="F3002" s="11" t="s">
        <v>7</v>
      </c>
    </row>
    <row r="3003" spans="1:6">
      <c r="A3003" s="5" t="str">
        <f t="shared" si="53"/>
        <v>202310</v>
      </c>
      <c r="B3003" s="5" t="str">
        <f>"23085022620"</f>
        <v>23085022620</v>
      </c>
      <c r="C3003" s="6">
        <v>0</v>
      </c>
      <c r="D3003" s="6">
        <v>0</v>
      </c>
      <c r="E3003" s="6">
        <v>0</v>
      </c>
      <c r="F3003" s="11" t="s">
        <v>7</v>
      </c>
    </row>
    <row r="3004" spans="1:6">
      <c r="A3004" s="5" t="str">
        <f t="shared" si="53"/>
        <v>202310</v>
      </c>
      <c r="B3004" s="5" t="str">
        <f>"23085022829"</f>
        <v>23085022829</v>
      </c>
      <c r="C3004" s="6">
        <v>0</v>
      </c>
      <c r="D3004" s="6">
        <v>0</v>
      </c>
      <c r="E3004" s="6">
        <v>0</v>
      </c>
      <c r="F3004" s="11" t="s">
        <v>7</v>
      </c>
    </row>
    <row r="3005" spans="1:6">
      <c r="A3005" s="5" t="str">
        <f t="shared" si="53"/>
        <v>202310</v>
      </c>
      <c r="B3005" s="5" t="str">
        <f>"23085023319"</f>
        <v>23085023319</v>
      </c>
      <c r="C3005" s="6">
        <v>0</v>
      </c>
      <c r="D3005" s="6">
        <v>0</v>
      </c>
      <c r="E3005" s="6">
        <v>0</v>
      </c>
      <c r="F3005" s="11" t="s">
        <v>7</v>
      </c>
    </row>
    <row r="3006" spans="1:6">
      <c r="A3006" s="5" t="str">
        <f t="shared" si="53"/>
        <v>202310</v>
      </c>
      <c r="B3006" s="5" t="str">
        <f>"23085023006"</f>
        <v>23085023006</v>
      </c>
      <c r="C3006" s="6">
        <v>0</v>
      </c>
      <c r="D3006" s="6">
        <v>0</v>
      </c>
      <c r="E3006" s="6">
        <v>0</v>
      </c>
      <c r="F3006" s="11" t="s">
        <v>7</v>
      </c>
    </row>
    <row r="3007" spans="1:6">
      <c r="A3007" s="5" t="str">
        <f t="shared" si="53"/>
        <v>202310</v>
      </c>
      <c r="B3007" s="5" t="str">
        <f>"23085022401"</f>
        <v>23085022401</v>
      </c>
      <c r="C3007" s="6">
        <v>0</v>
      </c>
      <c r="D3007" s="6">
        <v>0</v>
      </c>
      <c r="E3007" s="6">
        <v>0</v>
      </c>
      <c r="F3007" s="11" t="s">
        <v>7</v>
      </c>
    </row>
    <row r="3008" spans="1:6">
      <c r="A3008" s="5" t="str">
        <f t="shared" si="53"/>
        <v>202310</v>
      </c>
      <c r="B3008" s="5" t="str">
        <f>"23085023101"</f>
        <v>23085023101</v>
      </c>
      <c r="C3008" s="6">
        <v>0</v>
      </c>
      <c r="D3008" s="6">
        <v>0</v>
      </c>
      <c r="E3008" s="6">
        <v>0</v>
      </c>
      <c r="F3008" s="11" t="s">
        <v>7</v>
      </c>
    </row>
    <row r="3009" spans="1:6">
      <c r="A3009" s="5" t="str">
        <f t="shared" si="53"/>
        <v>202310</v>
      </c>
      <c r="B3009" s="5" t="str">
        <f>"23085023202"</f>
        <v>23085023202</v>
      </c>
      <c r="C3009" s="6">
        <v>0</v>
      </c>
      <c r="D3009" s="6">
        <v>0</v>
      </c>
      <c r="E3009" s="6">
        <v>0</v>
      </c>
      <c r="F3009" s="11" t="s">
        <v>7</v>
      </c>
    </row>
    <row r="3010" spans="1:6">
      <c r="A3010" s="5" t="str">
        <f t="shared" si="53"/>
        <v>202310</v>
      </c>
      <c r="B3010" s="5" t="str">
        <f>"23085022510"</f>
        <v>23085022510</v>
      </c>
      <c r="C3010" s="6">
        <v>0</v>
      </c>
      <c r="D3010" s="6">
        <v>0</v>
      </c>
      <c r="E3010" s="6">
        <v>0</v>
      </c>
      <c r="F3010" s="11" t="s">
        <v>7</v>
      </c>
    </row>
    <row r="3011" spans="1:6">
      <c r="A3011" s="5" t="str">
        <f t="shared" si="53"/>
        <v>202310</v>
      </c>
      <c r="B3011" s="5" t="str">
        <f>"23085022813"</f>
        <v>23085022813</v>
      </c>
      <c r="C3011" s="6">
        <v>0</v>
      </c>
      <c r="D3011" s="6">
        <v>0</v>
      </c>
      <c r="E3011" s="6">
        <v>0</v>
      </c>
      <c r="F3011" s="11" t="s">
        <v>7</v>
      </c>
    </row>
    <row r="3012" spans="1:6">
      <c r="A3012" s="5" t="str">
        <f t="shared" si="53"/>
        <v>202310</v>
      </c>
      <c r="B3012" s="5" t="str">
        <f>"23085022102"</f>
        <v>23085022102</v>
      </c>
      <c r="C3012" s="6">
        <v>0</v>
      </c>
      <c r="D3012" s="6">
        <v>0</v>
      </c>
      <c r="E3012" s="6">
        <v>0</v>
      </c>
      <c r="F3012" s="11" t="s">
        <v>7</v>
      </c>
    </row>
    <row r="3013" spans="1:6">
      <c r="A3013" s="5" t="str">
        <f t="shared" si="53"/>
        <v>202310</v>
      </c>
      <c r="B3013" s="5" t="str">
        <f>"23085022530"</f>
        <v>23085022530</v>
      </c>
      <c r="C3013" s="6">
        <v>0</v>
      </c>
      <c r="D3013" s="6">
        <v>0</v>
      </c>
      <c r="E3013" s="6">
        <v>0</v>
      </c>
      <c r="F3013" s="11" t="s">
        <v>7</v>
      </c>
    </row>
    <row r="3014" spans="1:6">
      <c r="A3014" s="5" t="str">
        <f t="shared" si="53"/>
        <v>202310</v>
      </c>
      <c r="B3014" s="5" t="str">
        <f>"23085022626"</f>
        <v>23085022626</v>
      </c>
      <c r="C3014" s="6">
        <v>0</v>
      </c>
      <c r="D3014" s="6">
        <v>0</v>
      </c>
      <c r="E3014" s="6">
        <v>0</v>
      </c>
      <c r="F3014" s="11" t="s">
        <v>7</v>
      </c>
    </row>
    <row r="3015" spans="1:6">
      <c r="A3015" s="5" t="str">
        <f t="shared" si="53"/>
        <v>202310</v>
      </c>
      <c r="B3015" s="5" t="str">
        <f>"23085022907"</f>
        <v>23085022907</v>
      </c>
      <c r="C3015" s="6">
        <v>0</v>
      </c>
      <c r="D3015" s="6">
        <v>0</v>
      </c>
      <c r="E3015" s="6">
        <v>0</v>
      </c>
      <c r="F3015" s="11" t="s">
        <v>7</v>
      </c>
    </row>
    <row r="3016" spans="1:6">
      <c r="A3016" s="5" t="str">
        <f t="shared" si="53"/>
        <v>202310</v>
      </c>
      <c r="B3016" s="5" t="str">
        <f>"23085022828"</f>
        <v>23085022828</v>
      </c>
      <c r="C3016" s="6">
        <v>0</v>
      </c>
      <c r="D3016" s="6">
        <v>0</v>
      </c>
      <c r="E3016" s="6">
        <v>0</v>
      </c>
      <c r="F3016" s="11" t="s">
        <v>7</v>
      </c>
    </row>
    <row r="3017" spans="1:6">
      <c r="A3017" s="5" t="str">
        <f t="shared" si="53"/>
        <v>202310</v>
      </c>
      <c r="B3017" s="5" t="str">
        <f>"23085023223"</f>
        <v>23085023223</v>
      </c>
      <c r="C3017" s="6">
        <v>0</v>
      </c>
      <c r="D3017" s="6">
        <v>0</v>
      </c>
      <c r="E3017" s="6">
        <v>0</v>
      </c>
      <c r="F3017" s="11" t="s">
        <v>7</v>
      </c>
    </row>
    <row r="3018" spans="1:6">
      <c r="A3018" s="5" t="str">
        <f t="shared" si="53"/>
        <v>202310</v>
      </c>
      <c r="B3018" s="5" t="str">
        <f>"23085022108"</f>
        <v>23085022108</v>
      </c>
      <c r="C3018" s="6">
        <v>0</v>
      </c>
      <c r="D3018" s="6">
        <v>0</v>
      </c>
      <c r="E3018" s="6">
        <v>0</v>
      </c>
      <c r="F3018" s="11" t="s">
        <v>7</v>
      </c>
    </row>
    <row r="3019" spans="1:6">
      <c r="A3019" s="5" t="str">
        <f t="shared" si="53"/>
        <v>202310</v>
      </c>
      <c r="B3019" s="5" t="str">
        <f>"23085023310"</f>
        <v>23085023310</v>
      </c>
      <c r="C3019" s="6">
        <v>0</v>
      </c>
      <c r="D3019" s="6">
        <v>0</v>
      </c>
      <c r="E3019" s="6">
        <v>0</v>
      </c>
      <c r="F3019" s="11" t="s">
        <v>7</v>
      </c>
    </row>
    <row r="3020" spans="1:6">
      <c r="A3020" s="5" t="str">
        <f t="shared" si="53"/>
        <v>202310</v>
      </c>
      <c r="B3020" s="5" t="str">
        <f>"23085023109"</f>
        <v>23085023109</v>
      </c>
      <c r="C3020" s="6">
        <v>0</v>
      </c>
      <c r="D3020" s="6">
        <v>0</v>
      </c>
      <c r="E3020" s="6">
        <v>0</v>
      </c>
      <c r="F3020" s="11" t="s">
        <v>7</v>
      </c>
    </row>
    <row r="3021" spans="1:6">
      <c r="A3021" s="5" t="str">
        <f t="shared" si="53"/>
        <v>202310</v>
      </c>
      <c r="B3021" s="5" t="str">
        <f>"23085022215"</f>
        <v>23085022215</v>
      </c>
      <c r="C3021" s="6">
        <v>0</v>
      </c>
      <c r="D3021" s="6">
        <v>0</v>
      </c>
      <c r="E3021" s="6">
        <v>0</v>
      </c>
      <c r="F3021" s="11" t="s">
        <v>7</v>
      </c>
    </row>
    <row r="3022" spans="1:6">
      <c r="A3022" s="5" t="str">
        <f t="shared" si="53"/>
        <v>202310</v>
      </c>
      <c r="B3022" s="5" t="str">
        <f>"23085021912"</f>
        <v>23085021912</v>
      </c>
      <c r="C3022" s="6">
        <v>0</v>
      </c>
      <c r="D3022" s="6">
        <v>0</v>
      </c>
      <c r="E3022" s="6">
        <v>0</v>
      </c>
      <c r="F3022" s="11" t="s">
        <v>7</v>
      </c>
    </row>
    <row r="3023" spans="1:6">
      <c r="A3023" s="5" t="str">
        <f t="shared" si="53"/>
        <v>202310</v>
      </c>
      <c r="B3023" s="5" t="str">
        <f>"23085023514"</f>
        <v>23085023514</v>
      </c>
      <c r="C3023" s="6">
        <v>0</v>
      </c>
      <c r="D3023" s="6">
        <v>0</v>
      </c>
      <c r="E3023" s="6">
        <v>0</v>
      </c>
      <c r="F3023" s="11" t="s">
        <v>7</v>
      </c>
    </row>
    <row r="3024" spans="1:6">
      <c r="A3024" s="5" t="str">
        <f t="shared" si="53"/>
        <v>202310</v>
      </c>
      <c r="B3024" s="5" t="str">
        <f>"23085022323"</f>
        <v>23085022323</v>
      </c>
      <c r="C3024" s="6">
        <v>0</v>
      </c>
      <c r="D3024" s="6">
        <v>0</v>
      </c>
      <c r="E3024" s="6">
        <v>0</v>
      </c>
      <c r="F3024" s="11" t="s">
        <v>7</v>
      </c>
    </row>
    <row r="3025" spans="1:6">
      <c r="A3025" s="5" t="str">
        <f t="shared" si="53"/>
        <v>202310</v>
      </c>
      <c r="B3025" s="5" t="str">
        <f>"23085023427"</f>
        <v>23085023427</v>
      </c>
      <c r="C3025" s="6">
        <v>0</v>
      </c>
      <c r="D3025" s="6">
        <v>0</v>
      </c>
      <c r="E3025" s="6">
        <v>0</v>
      </c>
      <c r="F3025" s="11" t="s">
        <v>7</v>
      </c>
    </row>
    <row r="3026" spans="1:6">
      <c r="A3026" s="5" t="str">
        <f t="shared" si="53"/>
        <v>202310</v>
      </c>
      <c r="B3026" s="5" t="str">
        <f>"23085023102"</f>
        <v>23085023102</v>
      </c>
      <c r="C3026" s="6">
        <v>0</v>
      </c>
      <c r="D3026" s="6">
        <v>0</v>
      </c>
      <c r="E3026" s="6">
        <v>0</v>
      </c>
      <c r="F3026" s="11" t="s">
        <v>7</v>
      </c>
    </row>
    <row r="3027" spans="1:6">
      <c r="A3027" s="5" t="str">
        <f t="shared" si="53"/>
        <v>202310</v>
      </c>
      <c r="B3027" s="5" t="str">
        <f>"23085022302"</f>
        <v>23085022302</v>
      </c>
      <c r="C3027" s="6">
        <v>0</v>
      </c>
      <c r="D3027" s="6">
        <v>0</v>
      </c>
      <c r="E3027" s="6">
        <v>0</v>
      </c>
      <c r="F3027" s="11" t="s">
        <v>7</v>
      </c>
    </row>
    <row r="3028" spans="1:6">
      <c r="A3028" s="5" t="str">
        <f t="shared" si="53"/>
        <v>202310</v>
      </c>
      <c r="B3028" s="5" t="str">
        <f>"23085022925"</f>
        <v>23085022925</v>
      </c>
      <c r="C3028" s="6">
        <v>0</v>
      </c>
      <c r="D3028" s="6">
        <v>0</v>
      </c>
      <c r="E3028" s="6">
        <v>0</v>
      </c>
      <c r="F3028" s="11" t="s">
        <v>7</v>
      </c>
    </row>
    <row r="3029" spans="1:6">
      <c r="A3029" s="5" t="str">
        <f t="shared" si="53"/>
        <v>202310</v>
      </c>
      <c r="B3029" s="5" t="str">
        <f>"23085022720"</f>
        <v>23085022720</v>
      </c>
      <c r="C3029" s="6">
        <v>0</v>
      </c>
      <c r="D3029" s="6">
        <v>0</v>
      </c>
      <c r="E3029" s="6">
        <v>0</v>
      </c>
      <c r="F3029" s="11" t="s">
        <v>7</v>
      </c>
    </row>
    <row r="3030" spans="1:6">
      <c r="A3030" s="5" t="str">
        <f t="shared" si="53"/>
        <v>202310</v>
      </c>
      <c r="B3030" s="5" t="str">
        <f>"23085023129"</f>
        <v>23085023129</v>
      </c>
      <c r="C3030" s="6">
        <v>0</v>
      </c>
      <c r="D3030" s="6">
        <v>0</v>
      </c>
      <c r="E3030" s="6">
        <v>0</v>
      </c>
      <c r="F3030" s="11" t="s">
        <v>7</v>
      </c>
    </row>
    <row r="3031" spans="1:6">
      <c r="A3031" s="5" t="str">
        <f t="shared" si="53"/>
        <v>202310</v>
      </c>
      <c r="B3031" s="5" t="str">
        <f>"23085022804"</f>
        <v>23085022804</v>
      </c>
      <c r="C3031" s="6">
        <v>0</v>
      </c>
      <c r="D3031" s="6">
        <v>0</v>
      </c>
      <c r="E3031" s="6">
        <v>0</v>
      </c>
      <c r="F3031" s="11" t="s">
        <v>7</v>
      </c>
    </row>
    <row r="3032" spans="1:6">
      <c r="A3032" s="5" t="str">
        <f t="shared" si="53"/>
        <v>202310</v>
      </c>
      <c r="B3032" s="5" t="str">
        <f>"23085022501"</f>
        <v>23085022501</v>
      </c>
      <c r="C3032" s="6">
        <v>0</v>
      </c>
      <c r="D3032" s="6">
        <v>0</v>
      </c>
      <c r="E3032" s="6">
        <v>0</v>
      </c>
      <c r="F3032" s="11" t="s">
        <v>7</v>
      </c>
    </row>
    <row r="3033" spans="1:6">
      <c r="A3033" s="5" t="str">
        <f t="shared" si="53"/>
        <v>202310</v>
      </c>
      <c r="B3033" s="5" t="str">
        <f>"23085022129"</f>
        <v>23085022129</v>
      </c>
      <c r="C3033" s="6">
        <v>0</v>
      </c>
      <c r="D3033" s="6">
        <v>0</v>
      </c>
      <c r="E3033" s="6">
        <v>0</v>
      </c>
      <c r="F3033" s="11" t="s">
        <v>7</v>
      </c>
    </row>
    <row r="3034" spans="1:6">
      <c r="A3034" s="5" t="str">
        <f t="shared" si="53"/>
        <v>202310</v>
      </c>
      <c r="B3034" s="5" t="str">
        <f>"23085023702"</f>
        <v>23085023702</v>
      </c>
      <c r="C3034" s="6">
        <v>0</v>
      </c>
      <c r="D3034" s="6">
        <v>0</v>
      </c>
      <c r="E3034" s="6">
        <v>0</v>
      </c>
      <c r="F3034" s="11" t="s">
        <v>7</v>
      </c>
    </row>
    <row r="3035" spans="1:6">
      <c r="A3035" s="5" t="str">
        <f t="shared" si="53"/>
        <v>202310</v>
      </c>
      <c r="B3035" s="5" t="str">
        <f>"23085022718"</f>
        <v>23085022718</v>
      </c>
      <c r="C3035" s="6">
        <v>0</v>
      </c>
      <c r="D3035" s="6">
        <v>0</v>
      </c>
      <c r="E3035" s="6">
        <v>0</v>
      </c>
      <c r="F3035" s="11" t="s">
        <v>7</v>
      </c>
    </row>
    <row r="3036" spans="1:6">
      <c r="A3036" s="5" t="str">
        <f t="shared" si="53"/>
        <v>202310</v>
      </c>
      <c r="B3036" s="5" t="str">
        <f>"23085023023"</f>
        <v>23085023023</v>
      </c>
      <c r="C3036" s="6">
        <v>0</v>
      </c>
      <c r="D3036" s="6">
        <v>0</v>
      </c>
      <c r="E3036" s="6">
        <v>0</v>
      </c>
      <c r="F3036" s="11" t="s">
        <v>7</v>
      </c>
    </row>
    <row r="3037" spans="1:6">
      <c r="A3037" s="5" t="str">
        <f t="shared" si="53"/>
        <v>202310</v>
      </c>
      <c r="B3037" s="5" t="str">
        <f>"23085022307"</f>
        <v>23085022307</v>
      </c>
      <c r="C3037" s="6">
        <v>0</v>
      </c>
      <c r="D3037" s="6">
        <v>0</v>
      </c>
      <c r="E3037" s="6">
        <v>0</v>
      </c>
      <c r="F3037" s="11" t="s">
        <v>7</v>
      </c>
    </row>
    <row r="3038" spans="1:6">
      <c r="A3038" s="5" t="str">
        <f t="shared" si="53"/>
        <v>202310</v>
      </c>
      <c r="B3038" s="5" t="str">
        <f>"23085022502"</f>
        <v>23085022502</v>
      </c>
      <c r="C3038" s="6">
        <v>0</v>
      </c>
      <c r="D3038" s="6">
        <v>0</v>
      </c>
      <c r="E3038" s="6">
        <v>0</v>
      </c>
      <c r="F3038" s="11" t="s">
        <v>7</v>
      </c>
    </row>
    <row r="3039" spans="1:6">
      <c r="A3039" s="5" t="str">
        <f t="shared" si="53"/>
        <v>202310</v>
      </c>
      <c r="B3039" s="5" t="str">
        <f>"23085022118"</f>
        <v>23085022118</v>
      </c>
      <c r="C3039" s="6">
        <v>0</v>
      </c>
      <c r="D3039" s="6">
        <v>0</v>
      </c>
      <c r="E3039" s="6">
        <v>0</v>
      </c>
      <c r="F3039" s="11" t="s">
        <v>7</v>
      </c>
    </row>
    <row r="3040" spans="1:6">
      <c r="A3040" s="5" t="str">
        <f t="shared" si="53"/>
        <v>202310</v>
      </c>
      <c r="B3040" s="5" t="str">
        <f>"23085023414"</f>
        <v>23085023414</v>
      </c>
      <c r="C3040" s="6">
        <v>0</v>
      </c>
      <c r="D3040" s="6">
        <v>0</v>
      </c>
      <c r="E3040" s="6">
        <v>0</v>
      </c>
      <c r="F3040" s="11" t="s">
        <v>7</v>
      </c>
    </row>
    <row r="3041" spans="1:6">
      <c r="A3041" s="5" t="str">
        <f t="shared" si="53"/>
        <v>202310</v>
      </c>
      <c r="B3041" s="5" t="str">
        <f>"23085022122"</f>
        <v>23085022122</v>
      </c>
      <c r="C3041" s="6">
        <v>0</v>
      </c>
      <c r="D3041" s="6">
        <v>0</v>
      </c>
      <c r="E3041" s="6">
        <v>0</v>
      </c>
      <c r="F3041" s="11" t="s">
        <v>7</v>
      </c>
    </row>
    <row r="3042" spans="1:6">
      <c r="A3042" s="5" t="str">
        <f t="shared" si="53"/>
        <v>202310</v>
      </c>
      <c r="B3042" s="5" t="str">
        <f>"23085022509"</f>
        <v>23085022509</v>
      </c>
      <c r="C3042" s="6">
        <v>0</v>
      </c>
      <c r="D3042" s="6">
        <v>0</v>
      </c>
      <c r="E3042" s="6">
        <v>0</v>
      </c>
      <c r="F3042" s="11" t="s">
        <v>7</v>
      </c>
    </row>
    <row r="3043" spans="1:6">
      <c r="A3043" s="5" t="str">
        <f t="shared" si="53"/>
        <v>202310</v>
      </c>
      <c r="B3043" s="5" t="str">
        <f>"23085023412"</f>
        <v>23085023412</v>
      </c>
      <c r="C3043" s="6">
        <v>0</v>
      </c>
      <c r="D3043" s="6">
        <v>0</v>
      </c>
      <c r="E3043" s="6">
        <v>0</v>
      </c>
      <c r="F3043" s="11" t="s">
        <v>7</v>
      </c>
    </row>
    <row r="3044" spans="1:6">
      <c r="A3044" s="5" t="str">
        <f t="shared" si="53"/>
        <v>202310</v>
      </c>
      <c r="B3044" s="5" t="str">
        <f>"23085023604"</f>
        <v>23085023604</v>
      </c>
      <c r="C3044" s="6">
        <v>0</v>
      </c>
      <c r="D3044" s="6">
        <v>0</v>
      </c>
      <c r="E3044" s="6">
        <v>0</v>
      </c>
      <c r="F3044" s="11" t="s">
        <v>7</v>
      </c>
    </row>
    <row r="3045" spans="1:6">
      <c r="A3045" s="5" t="str">
        <f t="shared" si="53"/>
        <v>202310</v>
      </c>
      <c r="B3045" s="5" t="str">
        <f>"23085023108"</f>
        <v>23085023108</v>
      </c>
      <c r="C3045" s="6">
        <v>0</v>
      </c>
      <c r="D3045" s="6">
        <v>0</v>
      </c>
      <c r="E3045" s="6">
        <v>0</v>
      </c>
      <c r="F3045" s="11" t="s">
        <v>7</v>
      </c>
    </row>
    <row r="3046" spans="1:6">
      <c r="A3046" s="5" t="str">
        <f t="shared" si="53"/>
        <v>202310</v>
      </c>
      <c r="B3046" s="5" t="str">
        <f>"23085023418"</f>
        <v>23085023418</v>
      </c>
      <c r="C3046" s="6">
        <v>0</v>
      </c>
      <c r="D3046" s="6">
        <v>0</v>
      </c>
      <c r="E3046" s="6">
        <v>0</v>
      </c>
      <c r="F3046" s="11" t="s">
        <v>7</v>
      </c>
    </row>
    <row r="3047" spans="1:6">
      <c r="A3047" s="5" t="str">
        <f t="shared" si="53"/>
        <v>202310</v>
      </c>
      <c r="B3047" s="5" t="str">
        <f>"23085022920"</f>
        <v>23085022920</v>
      </c>
      <c r="C3047" s="6">
        <v>0</v>
      </c>
      <c r="D3047" s="6">
        <v>0</v>
      </c>
      <c r="E3047" s="6">
        <v>0</v>
      </c>
      <c r="F3047" s="11" t="s">
        <v>7</v>
      </c>
    </row>
    <row r="3048" spans="1:6">
      <c r="A3048" s="5" t="str">
        <f t="shared" si="53"/>
        <v>202310</v>
      </c>
      <c r="B3048" s="5" t="str">
        <f>"23085023110"</f>
        <v>23085023110</v>
      </c>
      <c r="C3048" s="6">
        <v>0</v>
      </c>
      <c r="D3048" s="6">
        <v>0</v>
      </c>
      <c r="E3048" s="6">
        <v>0</v>
      </c>
      <c r="F3048" s="11" t="s">
        <v>7</v>
      </c>
    </row>
    <row r="3049" spans="1:6">
      <c r="A3049" s="5" t="str">
        <f t="shared" si="53"/>
        <v>202310</v>
      </c>
      <c r="B3049" s="5" t="str">
        <f>"23085021922"</f>
        <v>23085021922</v>
      </c>
      <c r="C3049" s="6">
        <v>0</v>
      </c>
      <c r="D3049" s="6">
        <v>0</v>
      </c>
      <c r="E3049" s="6">
        <v>0</v>
      </c>
      <c r="F3049" s="11" t="s">
        <v>7</v>
      </c>
    </row>
    <row r="3050" spans="1:6">
      <c r="A3050" s="5" t="str">
        <f t="shared" si="53"/>
        <v>202310</v>
      </c>
      <c r="B3050" s="5" t="str">
        <f>"23085023502"</f>
        <v>23085023502</v>
      </c>
      <c r="C3050" s="6">
        <v>0</v>
      </c>
      <c r="D3050" s="6">
        <v>0</v>
      </c>
      <c r="E3050" s="6">
        <v>0</v>
      </c>
      <c r="F3050" s="11" t="s">
        <v>7</v>
      </c>
    </row>
    <row r="3051" spans="1:6">
      <c r="A3051" s="5" t="str">
        <f t="shared" si="53"/>
        <v>202310</v>
      </c>
      <c r="B3051" s="5" t="str">
        <f>"23085022512"</f>
        <v>23085022512</v>
      </c>
      <c r="C3051" s="6">
        <v>0</v>
      </c>
      <c r="D3051" s="6">
        <v>0</v>
      </c>
      <c r="E3051" s="6">
        <v>0</v>
      </c>
      <c r="F3051" s="11" t="s">
        <v>7</v>
      </c>
    </row>
    <row r="3052" spans="1:6">
      <c r="A3052" s="5" t="str">
        <f t="shared" si="53"/>
        <v>202310</v>
      </c>
      <c r="B3052" s="5" t="str">
        <f>"23085022317"</f>
        <v>23085022317</v>
      </c>
      <c r="C3052" s="6">
        <v>0</v>
      </c>
      <c r="D3052" s="6">
        <v>0</v>
      </c>
      <c r="E3052" s="6">
        <v>0</v>
      </c>
      <c r="F3052" s="11" t="s">
        <v>7</v>
      </c>
    </row>
    <row r="3053" spans="1:6">
      <c r="A3053" s="5" t="str">
        <f t="shared" si="53"/>
        <v>202310</v>
      </c>
      <c r="B3053" s="5" t="str">
        <f>"23085023321"</f>
        <v>23085023321</v>
      </c>
      <c r="C3053" s="6">
        <v>0</v>
      </c>
      <c r="D3053" s="6">
        <v>0</v>
      </c>
      <c r="E3053" s="6">
        <v>0</v>
      </c>
      <c r="F3053" s="11" t="s">
        <v>7</v>
      </c>
    </row>
    <row r="3054" spans="1:6">
      <c r="A3054" s="5" t="str">
        <f t="shared" si="53"/>
        <v>202310</v>
      </c>
      <c r="B3054" s="5" t="str">
        <f>"23085022106"</f>
        <v>23085022106</v>
      </c>
      <c r="C3054" s="6">
        <v>0</v>
      </c>
      <c r="D3054" s="6">
        <v>0</v>
      </c>
      <c r="E3054" s="6">
        <v>0</v>
      </c>
      <c r="F3054" s="11" t="s">
        <v>7</v>
      </c>
    </row>
    <row r="3055" spans="1:6">
      <c r="A3055" s="5" t="str">
        <f t="shared" si="53"/>
        <v>202310</v>
      </c>
      <c r="B3055" s="5" t="str">
        <f>"23085023718"</f>
        <v>23085023718</v>
      </c>
      <c r="C3055" s="6">
        <v>0</v>
      </c>
      <c r="D3055" s="6">
        <v>0</v>
      </c>
      <c r="E3055" s="6">
        <v>0</v>
      </c>
      <c r="F3055" s="11" t="s">
        <v>7</v>
      </c>
    </row>
    <row r="3056" spans="1:6">
      <c r="A3056" s="5" t="str">
        <f t="shared" si="53"/>
        <v>202310</v>
      </c>
      <c r="B3056" s="5" t="str">
        <f>"23085022513"</f>
        <v>23085022513</v>
      </c>
      <c r="C3056" s="6">
        <v>0</v>
      </c>
      <c r="D3056" s="6">
        <v>0</v>
      </c>
      <c r="E3056" s="6">
        <v>0</v>
      </c>
      <c r="F3056" s="11" t="s">
        <v>7</v>
      </c>
    </row>
    <row r="3057" spans="1:6">
      <c r="A3057" s="5" t="str">
        <f t="shared" ref="A3057:A3120" si="54">"202311"</f>
        <v>202311</v>
      </c>
      <c r="B3057" s="5" t="str">
        <f>"23085023925"</f>
        <v>23085023925</v>
      </c>
      <c r="C3057" s="6">
        <v>120</v>
      </c>
      <c r="D3057" s="6">
        <v>117</v>
      </c>
      <c r="E3057" s="6">
        <v>237</v>
      </c>
      <c r="F3057" s="11"/>
    </row>
    <row r="3058" spans="1:6">
      <c r="A3058" s="5" t="str">
        <f t="shared" si="54"/>
        <v>202311</v>
      </c>
      <c r="B3058" s="5" t="str">
        <f>"23085023809"</f>
        <v>23085023809</v>
      </c>
      <c r="C3058" s="6">
        <v>111</v>
      </c>
      <c r="D3058" s="6">
        <v>120.5</v>
      </c>
      <c r="E3058" s="6">
        <v>231.5</v>
      </c>
      <c r="F3058" s="11"/>
    </row>
    <row r="3059" spans="1:6">
      <c r="A3059" s="5" t="str">
        <f t="shared" si="54"/>
        <v>202311</v>
      </c>
      <c r="B3059" s="5" t="str">
        <f>"23085024105"</f>
        <v>23085024105</v>
      </c>
      <c r="C3059" s="6">
        <v>111</v>
      </c>
      <c r="D3059" s="6">
        <v>117</v>
      </c>
      <c r="E3059" s="6">
        <v>228</v>
      </c>
      <c r="F3059" s="11"/>
    </row>
    <row r="3060" spans="1:6">
      <c r="A3060" s="5" t="str">
        <f t="shared" si="54"/>
        <v>202311</v>
      </c>
      <c r="B3060" s="5" t="str">
        <f>"23085024019"</f>
        <v>23085024019</v>
      </c>
      <c r="C3060" s="6">
        <v>109.5</v>
      </c>
      <c r="D3060" s="6">
        <v>118.5</v>
      </c>
      <c r="E3060" s="6">
        <v>228</v>
      </c>
      <c r="F3060" s="11"/>
    </row>
    <row r="3061" spans="1:6">
      <c r="A3061" s="5" t="str">
        <f t="shared" si="54"/>
        <v>202311</v>
      </c>
      <c r="B3061" s="5" t="str">
        <f>"23085023828"</f>
        <v>23085023828</v>
      </c>
      <c r="C3061" s="6">
        <v>106.5</v>
      </c>
      <c r="D3061" s="6">
        <v>120.5</v>
      </c>
      <c r="E3061" s="6">
        <v>227</v>
      </c>
      <c r="F3061" s="11"/>
    </row>
    <row r="3062" spans="1:6">
      <c r="A3062" s="5" t="str">
        <f t="shared" si="54"/>
        <v>202311</v>
      </c>
      <c r="B3062" s="5" t="str">
        <f>"23085023822"</f>
        <v>23085023822</v>
      </c>
      <c r="C3062" s="6">
        <v>112.5</v>
      </c>
      <c r="D3062" s="6">
        <v>113</v>
      </c>
      <c r="E3062" s="6">
        <v>225.5</v>
      </c>
      <c r="F3062" s="11"/>
    </row>
    <row r="3063" spans="1:6">
      <c r="A3063" s="5" t="str">
        <f t="shared" si="54"/>
        <v>202311</v>
      </c>
      <c r="B3063" s="5" t="str">
        <f>"23085023801"</f>
        <v>23085023801</v>
      </c>
      <c r="C3063" s="6">
        <v>111</v>
      </c>
      <c r="D3063" s="6">
        <v>114.5</v>
      </c>
      <c r="E3063" s="6">
        <v>225.5</v>
      </c>
      <c r="F3063" s="11"/>
    </row>
    <row r="3064" spans="1:6">
      <c r="A3064" s="5" t="str">
        <f t="shared" si="54"/>
        <v>202311</v>
      </c>
      <c r="B3064" s="5" t="str">
        <f>"23085023913"</f>
        <v>23085023913</v>
      </c>
      <c r="C3064" s="6">
        <v>111</v>
      </c>
      <c r="D3064" s="6">
        <v>114</v>
      </c>
      <c r="E3064" s="6">
        <v>225</v>
      </c>
      <c r="F3064" s="11"/>
    </row>
    <row r="3065" spans="1:6">
      <c r="A3065" s="5" t="str">
        <f t="shared" si="54"/>
        <v>202311</v>
      </c>
      <c r="B3065" s="5" t="str">
        <f>"23085023821"</f>
        <v>23085023821</v>
      </c>
      <c r="C3065" s="6">
        <v>105</v>
      </c>
      <c r="D3065" s="6">
        <v>119</v>
      </c>
      <c r="E3065" s="6">
        <v>224</v>
      </c>
      <c r="F3065" s="11"/>
    </row>
    <row r="3066" spans="1:6">
      <c r="A3066" s="5" t="str">
        <f t="shared" si="54"/>
        <v>202311</v>
      </c>
      <c r="B3066" s="5" t="str">
        <f>"23085023911"</f>
        <v>23085023911</v>
      </c>
      <c r="C3066" s="6">
        <v>108</v>
      </c>
      <c r="D3066" s="6">
        <v>115.5</v>
      </c>
      <c r="E3066" s="6">
        <v>223.5</v>
      </c>
      <c r="F3066" s="11"/>
    </row>
    <row r="3067" spans="1:6">
      <c r="A3067" s="5" t="str">
        <f t="shared" si="54"/>
        <v>202311</v>
      </c>
      <c r="B3067" s="5" t="str">
        <f>"23085023907"</f>
        <v>23085023907</v>
      </c>
      <c r="C3067" s="6">
        <v>105</v>
      </c>
      <c r="D3067" s="6">
        <v>117</v>
      </c>
      <c r="E3067" s="6">
        <v>222</v>
      </c>
      <c r="F3067" s="11"/>
    </row>
    <row r="3068" spans="1:6">
      <c r="A3068" s="5" t="str">
        <f t="shared" si="54"/>
        <v>202311</v>
      </c>
      <c r="B3068" s="5" t="str">
        <f>"23085023811"</f>
        <v>23085023811</v>
      </c>
      <c r="C3068" s="6">
        <v>100.5</v>
      </c>
      <c r="D3068" s="6">
        <v>121</v>
      </c>
      <c r="E3068" s="6">
        <v>221.5</v>
      </c>
      <c r="F3068" s="11"/>
    </row>
    <row r="3069" spans="1:6">
      <c r="A3069" s="5" t="str">
        <f t="shared" si="54"/>
        <v>202311</v>
      </c>
      <c r="B3069" s="5" t="str">
        <f>"23085024024"</f>
        <v>23085024024</v>
      </c>
      <c r="C3069" s="6">
        <v>96</v>
      </c>
      <c r="D3069" s="6">
        <v>121</v>
      </c>
      <c r="E3069" s="6">
        <v>217</v>
      </c>
      <c r="F3069" s="11"/>
    </row>
    <row r="3070" spans="1:6">
      <c r="A3070" s="5" t="str">
        <f t="shared" si="54"/>
        <v>202311</v>
      </c>
      <c r="B3070" s="5" t="str">
        <f>"23085024107"</f>
        <v>23085024107</v>
      </c>
      <c r="C3070" s="6">
        <v>106.5</v>
      </c>
      <c r="D3070" s="6">
        <v>110.5</v>
      </c>
      <c r="E3070" s="6">
        <v>217</v>
      </c>
      <c r="F3070" s="11"/>
    </row>
    <row r="3071" spans="1:6">
      <c r="A3071" s="5" t="str">
        <f t="shared" si="54"/>
        <v>202311</v>
      </c>
      <c r="B3071" s="5" t="str">
        <f>"23085023810"</f>
        <v>23085023810</v>
      </c>
      <c r="C3071" s="6">
        <v>97.5</v>
      </c>
      <c r="D3071" s="6">
        <v>119</v>
      </c>
      <c r="E3071" s="6">
        <v>216.5</v>
      </c>
      <c r="F3071" s="11"/>
    </row>
    <row r="3072" spans="1:6">
      <c r="A3072" s="5" t="str">
        <f t="shared" si="54"/>
        <v>202311</v>
      </c>
      <c r="B3072" s="5" t="str">
        <f>"23085023808"</f>
        <v>23085023808</v>
      </c>
      <c r="C3072" s="6">
        <v>99</v>
      </c>
      <c r="D3072" s="6">
        <v>117.5</v>
      </c>
      <c r="E3072" s="6">
        <v>216.5</v>
      </c>
      <c r="F3072" s="11"/>
    </row>
    <row r="3073" spans="1:6">
      <c r="A3073" s="5" t="str">
        <f t="shared" si="54"/>
        <v>202311</v>
      </c>
      <c r="B3073" s="5" t="str">
        <f>"23085024025"</f>
        <v>23085024025</v>
      </c>
      <c r="C3073" s="6">
        <v>103.5</v>
      </c>
      <c r="D3073" s="6">
        <v>112</v>
      </c>
      <c r="E3073" s="6">
        <v>215.5</v>
      </c>
      <c r="F3073" s="11"/>
    </row>
    <row r="3074" spans="1:6">
      <c r="A3074" s="5" t="str">
        <f t="shared" si="54"/>
        <v>202311</v>
      </c>
      <c r="B3074" s="5" t="str">
        <f>"23085024112"</f>
        <v>23085024112</v>
      </c>
      <c r="C3074" s="6">
        <v>102</v>
      </c>
      <c r="D3074" s="6">
        <v>113</v>
      </c>
      <c r="E3074" s="6">
        <v>215</v>
      </c>
      <c r="F3074" s="11"/>
    </row>
    <row r="3075" spans="1:6">
      <c r="A3075" s="5" t="str">
        <f t="shared" si="54"/>
        <v>202311</v>
      </c>
      <c r="B3075" s="5" t="str">
        <f>"23085024016"</f>
        <v>23085024016</v>
      </c>
      <c r="C3075" s="6">
        <v>102</v>
      </c>
      <c r="D3075" s="6">
        <v>113</v>
      </c>
      <c r="E3075" s="6">
        <v>215</v>
      </c>
      <c r="F3075" s="11"/>
    </row>
    <row r="3076" spans="1:6">
      <c r="A3076" s="5" t="str">
        <f t="shared" si="54"/>
        <v>202311</v>
      </c>
      <c r="B3076" s="5" t="str">
        <f>"23085024018"</f>
        <v>23085024018</v>
      </c>
      <c r="C3076" s="6">
        <v>94.5</v>
      </c>
      <c r="D3076" s="6">
        <v>119</v>
      </c>
      <c r="E3076" s="6">
        <v>213.5</v>
      </c>
      <c r="F3076" s="11"/>
    </row>
    <row r="3077" spans="1:6">
      <c r="A3077" s="5" t="str">
        <f t="shared" si="54"/>
        <v>202311</v>
      </c>
      <c r="B3077" s="5" t="str">
        <f>"23085024106"</f>
        <v>23085024106</v>
      </c>
      <c r="C3077" s="6">
        <v>99</v>
      </c>
      <c r="D3077" s="6">
        <v>114.5</v>
      </c>
      <c r="E3077" s="6">
        <v>213.5</v>
      </c>
      <c r="F3077" s="11"/>
    </row>
    <row r="3078" spans="1:6">
      <c r="A3078" s="5" t="str">
        <f t="shared" si="54"/>
        <v>202311</v>
      </c>
      <c r="B3078" s="5" t="str">
        <f>"23085024110"</f>
        <v>23085024110</v>
      </c>
      <c r="C3078" s="6">
        <v>97.5</v>
      </c>
      <c r="D3078" s="6">
        <v>116</v>
      </c>
      <c r="E3078" s="6">
        <v>213.5</v>
      </c>
      <c r="F3078" s="11"/>
    </row>
    <row r="3079" spans="1:6">
      <c r="A3079" s="5" t="str">
        <f t="shared" si="54"/>
        <v>202311</v>
      </c>
      <c r="B3079" s="5" t="str">
        <f>"23085023916"</f>
        <v>23085023916</v>
      </c>
      <c r="C3079" s="6">
        <v>99</v>
      </c>
      <c r="D3079" s="6">
        <v>114.5</v>
      </c>
      <c r="E3079" s="6">
        <v>213.5</v>
      </c>
      <c r="F3079" s="11"/>
    </row>
    <row r="3080" spans="1:6">
      <c r="A3080" s="5" t="str">
        <f t="shared" si="54"/>
        <v>202311</v>
      </c>
      <c r="B3080" s="5" t="str">
        <f>"23085024102"</f>
        <v>23085024102</v>
      </c>
      <c r="C3080" s="6">
        <v>96</v>
      </c>
      <c r="D3080" s="6">
        <v>116.5</v>
      </c>
      <c r="E3080" s="6">
        <v>212.5</v>
      </c>
      <c r="F3080" s="11"/>
    </row>
    <row r="3081" spans="1:6">
      <c r="A3081" s="5" t="str">
        <f t="shared" si="54"/>
        <v>202311</v>
      </c>
      <c r="B3081" s="5" t="str">
        <f>"23085024021"</f>
        <v>23085024021</v>
      </c>
      <c r="C3081" s="6">
        <v>91.5</v>
      </c>
      <c r="D3081" s="6">
        <v>120.5</v>
      </c>
      <c r="E3081" s="6">
        <v>212</v>
      </c>
      <c r="F3081" s="11"/>
    </row>
    <row r="3082" spans="1:6">
      <c r="A3082" s="5" t="str">
        <f t="shared" si="54"/>
        <v>202311</v>
      </c>
      <c r="B3082" s="5" t="str">
        <f>"23085023802"</f>
        <v>23085023802</v>
      </c>
      <c r="C3082" s="6">
        <v>96</v>
      </c>
      <c r="D3082" s="6">
        <v>116</v>
      </c>
      <c r="E3082" s="6">
        <v>212</v>
      </c>
      <c r="F3082" s="11"/>
    </row>
    <row r="3083" spans="1:6">
      <c r="A3083" s="5" t="str">
        <f t="shared" si="54"/>
        <v>202311</v>
      </c>
      <c r="B3083" s="5" t="str">
        <f>"23085024029"</f>
        <v>23085024029</v>
      </c>
      <c r="C3083" s="6">
        <v>99</v>
      </c>
      <c r="D3083" s="6">
        <v>112.5</v>
      </c>
      <c r="E3083" s="6">
        <v>211.5</v>
      </c>
      <c r="F3083" s="11"/>
    </row>
    <row r="3084" spans="1:6">
      <c r="A3084" s="5" t="str">
        <f t="shared" si="54"/>
        <v>202311</v>
      </c>
      <c r="B3084" s="5" t="str">
        <f>"23085023725"</f>
        <v>23085023725</v>
      </c>
      <c r="C3084" s="6">
        <v>100.5</v>
      </c>
      <c r="D3084" s="6">
        <v>110.5</v>
      </c>
      <c r="E3084" s="6">
        <v>211</v>
      </c>
      <c r="F3084" s="11"/>
    </row>
    <row r="3085" spans="1:6">
      <c r="A3085" s="5" t="str">
        <f t="shared" si="54"/>
        <v>202311</v>
      </c>
      <c r="B3085" s="5" t="str">
        <f>"23085024117"</f>
        <v>23085024117</v>
      </c>
      <c r="C3085" s="6">
        <v>99</v>
      </c>
      <c r="D3085" s="6">
        <v>112</v>
      </c>
      <c r="E3085" s="6">
        <v>211</v>
      </c>
      <c r="F3085" s="11"/>
    </row>
    <row r="3086" spans="1:6">
      <c r="A3086" s="5" t="str">
        <f t="shared" si="54"/>
        <v>202311</v>
      </c>
      <c r="B3086" s="5" t="str">
        <f>"23085023901"</f>
        <v>23085023901</v>
      </c>
      <c r="C3086" s="6">
        <v>96</v>
      </c>
      <c r="D3086" s="6">
        <v>115</v>
      </c>
      <c r="E3086" s="6">
        <v>211</v>
      </c>
      <c r="F3086" s="11"/>
    </row>
    <row r="3087" spans="1:6">
      <c r="A3087" s="5" t="str">
        <f t="shared" si="54"/>
        <v>202311</v>
      </c>
      <c r="B3087" s="5" t="str">
        <f>"23085024114"</f>
        <v>23085024114</v>
      </c>
      <c r="C3087" s="6">
        <v>96</v>
      </c>
      <c r="D3087" s="6">
        <v>114.5</v>
      </c>
      <c r="E3087" s="6">
        <v>210.5</v>
      </c>
      <c r="F3087" s="11"/>
    </row>
    <row r="3088" spans="1:6">
      <c r="A3088" s="5" t="str">
        <f t="shared" si="54"/>
        <v>202311</v>
      </c>
      <c r="B3088" s="5" t="str">
        <f>"23085023730"</f>
        <v>23085023730</v>
      </c>
      <c r="C3088" s="6">
        <v>100.5</v>
      </c>
      <c r="D3088" s="6">
        <v>110</v>
      </c>
      <c r="E3088" s="6">
        <v>210.5</v>
      </c>
      <c r="F3088" s="11"/>
    </row>
    <row r="3089" spans="1:6">
      <c r="A3089" s="5" t="str">
        <f t="shared" si="54"/>
        <v>202311</v>
      </c>
      <c r="B3089" s="5" t="str">
        <f>"23085023803"</f>
        <v>23085023803</v>
      </c>
      <c r="C3089" s="6">
        <v>91.5</v>
      </c>
      <c r="D3089" s="6">
        <v>119</v>
      </c>
      <c r="E3089" s="6">
        <v>210.5</v>
      </c>
      <c r="F3089" s="11"/>
    </row>
    <row r="3090" spans="1:6">
      <c r="A3090" s="5" t="str">
        <f t="shared" si="54"/>
        <v>202311</v>
      </c>
      <c r="B3090" s="5" t="str">
        <f>"23085023812"</f>
        <v>23085023812</v>
      </c>
      <c r="C3090" s="6">
        <v>106.5</v>
      </c>
      <c r="D3090" s="6">
        <v>103.5</v>
      </c>
      <c r="E3090" s="6">
        <v>210</v>
      </c>
      <c r="F3090" s="11"/>
    </row>
    <row r="3091" spans="1:6">
      <c r="A3091" s="5" t="str">
        <f t="shared" si="54"/>
        <v>202311</v>
      </c>
      <c r="B3091" s="5" t="str">
        <f>"23085024014"</f>
        <v>23085024014</v>
      </c>
      <c r="C3091" s="6">
        <v>97.5</v>
      </c>
      <c r="D3091" s="6">
        <v>112</v>
      </c>
      <c r="E3091" s="6">
        <v>209.5</v>
      </c>
      <c r="F3091" s="11"/>
    </row>
    <row r="3092" spans="1:6">
      <c r="A3092" s="5" t="str">
        <f t="shared" si="54"/>
        <v>202311</v>
      </c>
      <c r="B3092" s="5" t="str">
        <f>"23085023924"</f>
        <v>23085023924</v>
      </c>
      <c r="C3092" s="6">
        <v>94.5</v>
      </c>
      <c r="D3092" s="6">
        <v>115</v>
      </c>
      <c r="E3092" s="6">
        <v>209.5</v>
      </c>
      <c r="F3092" s="11"/>
    </row>
    <row r="3093" spans="1:6">
      <c r="A3093" s="5" t="str">
        <f t="shared" si="54"/>
        <v>202311</v>
      </c>
      <c r="B3093" s="5" t="str">
        <f>"23085023910"</f>
        <v>23085023910</v>
      </c>
      <c r="C3093" s="6">
        <v>102</v>
      </c>
      <c r="D3093" s="6">
        <v>106.5</v>
      </c>
      <c r="E3093" s="6">
        <v>208.5</v>
      </c>
      <c r="F3093" s="11"/>
    </row>
    <row r="3094" spans="1:6">
      <c r="A3094" s="5" t="str">
        <f t="shared" si="54"/>
        <v>202311</v>
      </c>
      <c r="B3094" s="5" t="str">
        <f>"23085023815"</f>
        <v>23085023815</v>
      </c>
      <c r="C3094" s="6">
        <v>96</v>
      </c>
      <c r="D3094" s="6">
        <v>112</v>
      </c>
      <c r="E3094" s="6">
        <v>208</v>
      </c>
      <c r="F3094" s="11"/>
    </row>
    <row r="3095" spans="1:6">
      <c r="A3095" s="5" t="str">
        <f t="shared" si="54"/>
        <v>202311</v>
      </c>
      <c r="B3095" s="5" t="str">
        <f>"23085023826"</f>
        <v>23085023826</v>
      </c>
      <c r="C3095" s="6">
        <v>84</v>
      </c>
      <c r="D3095" s="6">
        <v>122.5</v>
      </c>
      <c r="E3095" s="6">
        <v>206.5</v>
      </c>
      <c r="F3095" s="11"/>
    </row>
    <row r="3096" spans="1:6">
      <c r="A3096" s="5" t="str">
        <f t="shared" si="54"/>
        <v>202311</v>
      </c>
      <c r="B3096" s="5" t="str">
        <f>"23085023727"</f>
        <v>23085023727</v>
      </c>
      <c r="C3096" s="6">
        <v>91.5</v>
      </c>
      <c r="D3096" s="6">
        <v>114.5</v>
      </c>
      <c r="E3096" s="6">
        <v>206</v>
      </c>
      <c r="F3096" s="11"/>
    </row>
    <row r="3097" spans="1:6">
      <c r="A3097" s="5" t="str">
        <f t="shared" si="54"/>
        <v>202311</v>
      </c>
      <c r="B3097" s="5" t="str">
        <f>"23085023922"</f>
        <v>23085023922</v>
      </c>
      <c r="C3097" s="6">
        <v>99</v>
      </c>
      <c r="D3097" s="6">
        <v>106.5</v>
      </c>
      <c r="E3097" s="6">
        <v>205.5</v>
      </c>
      <c r="F3097" s="11"/>
    </row>
    <row r="3098" spans="1:6">
      <c r="A3098" s="5" t="str">
        <f t="shared" si="54"/>
        <v>202311</v>
      </c>
      <c r="B3098" s="5" t="str">
        <f>"23085023914"</f>
        <v>23085023914</v>
      </c>
      <c r="C3098" s="6">
        <v>84</v>
      </c>
      <c r="D3098" s="6">
        <v>121</v>
      </c>
      <c r="E3098" s="6">
        <v>205</v>
      </c>
      <c r="F3098" s="11"/>
    </row>
    <row r="3099" spans="1:6">
      <c r="A3099" s="5" t="str">
        <f t="shared" si="54"/>
        <v>202311</v>
      </c>
      <c r="B3099" s="5" t="str">
        <f>"23085024001"</f>
        <v>23085024001</v>
      </c>
      <c r="C3099" s="6">
        <v>90</v>
      </c>
      <c r="D3099" s="6">
        <v>114.5</v>
      </c>
      <c r="E3099" s="6">
        <v>204.5</v>
      </c>
      <c r="F3099" s="11"/>
    </row>
    <row r="3100" spans="1:6">
      <c r="A3100" s="5" t="str">
        <f t="shared" si="54"/>
        <v>202311</v>
      </c>
      <c r="B3100" s="5" t="str">
        <f>"23085024113"</f>
        <v>23085024113</v>
      </c>
      <c r="C3100" s="6">
        <v>84</v>
      </c>
      <c r="D3100" s="6">
        <v>120</v>
      </c>
      <c r="E3100" s="6">
        <v>204</v>
      </c>
      <c r="F3100" s="11"/>
    </row>
    <row r="3101" spans="1:6">
      <c r="A3101" s="5" t="str">
        <f t="shared" si="54"/>
        <v>202311</v>
      </c>
      <c r="B3101" s="5" t="str">
        <f>"23085023805"</f>
        <v>23085023805</v>
      </c>
      <c r="C3101" s="6">
        <v>91.5</v>
      </c>
      <c r="D3101" s="6">
        <v>111.5</v>
      </c>
      <c r="E3101" s="6">
        <v>203</v>
      </c>
      <c r="F3101" s="11"/>
    </row>
    <row r="3102" spans="1:6">
      <c r="A3102" s="5" t="str">
        <f t="shared" si="54"/>
        <v>202311</v>
      </c>
      <c r="B3102" s="5" t="str">
        <f>"23085023903"</f>
        <v>23085023903</v>
      </c>
      <c r="C3102" s="6">
        <v>96</v>
      </c>
      <c r="D3102" s="6">
        <v>107</v>
      </c>
      <c r="E3102" s="6">
        <v>203</v>
      </c>
      <c r="F3102" s="11"/>
    </row>
    <row r="3103" spans="1:6">
      <c r="A3103" s="5" t="str">
        <f t="shared" si="54"/>
        <v>202311</v>
      </c>
      <c r="B3103" s="5" t="str">
        <f>"23085023817"</f>
        <v>23085023817</v>
      </c>
      <c r="C3103" s="6">
        <v>87</v>
      </c>
      <c r="D3103" s="6">
        <v>115.5</v>
      </c>
      <c r="E3103" s="6">
        <v>202.5</v>
      </c>
      <c r="F3103" s="11"/>
    </row>
    <row r="3104" spans="1:6">
      <c r="A3104" s="5" t="str">
        <f t="shared" si="54"/>
        <v>202311</v>
      </c>
      <c r="B3104" s="5" t="str">
        <f>"23085024015"</f>
        <v>23085024015</v>
      </c>
      <c r="C3104" s="6">
        <v>87</v>
      </c>
      <c r="D3104" s="6">
        <v>115.5</v>
      </c>
      <c r="E3104" s="6">
        <v>202.5</v>
      </c>
      <c r="F3104" s="11"/>
    </row>
    <row r="3105" spans="1:6">
      <c r="A3105" s="5" t="str">
        <f t="shared" si="54"/>
        <v>202311</v>
      </c>
      <c r="B3105" s="5" t="str">
        <f>"23085023921"</f>
        <v>23085023921</v>
      </c>
      <c r="C3105" s="6">
        <v>93</v>
      </c>
      <c r="D3105" s="6">
        <v>109.5</v>
      </c>
      <c r="E3105" s="6">
        <v>202.5</v>
      </c>
      <c r="F3105" s="11"/>
    </row>
    <row r="3106" spans="1:6">
      <c r="A3106" s="5" t="str">
        <f t="shared" si="54"/>
        <v>202311</v>
      </c>
      <c r="B3106" s="5" t="str">
        <f>"23085024108"</f>
        <v>23085024108</v>
      </c>
      <c r="C3106" s="6">
        <v>91.5</v>
      </c>
      <c r="D3106" s="6">
        <v>110.5</v>
      </c>
      <c r="E3106" s="6">
        <v>202</v>
      </c>
      <c r="F3106" s="11"/>
    </row>
    <row r="3107" spans="1:6">
      <c r="A3107" s="5" t="str">
        <f t="shared" si="54"/>
        <v>202311</v>
      </c>
      <c r="B3107" s="5" t="str">
        <f>"23085023823"</f>
        <v>23085023823</v>
      </c>
      <c r="C3107" s="6">
        <v>109.5</v>
      </c>
      <c r="D3107" s="6">
        <v>92</v>
      </c>
      <c r="E3107" s="6">
        <v>201.5</v>
      </c>
      <c r="F3107" s="11"/>
    </row>
    <row r="3108" spans="1:6">
      <c r="A3108" s="5" t="str">
        <f t="shared" si="54"/>
        <v>202311</v>
      </c>
      <c r="B3108" s="5" t="str">
        <f>"23085023818"</f>
        <v>23085023818</v>
      </c>
      <c r="C3108" s="6">
        <v>88.5</v>
      </c>
      <c r="D3108" s="6">
        <v>112</v>
      </c>
      <c r="E3108" s="6">
        <v>200.5</v>
      </c>
      <c r="F3108" s="11"/>
    </row>
    <row r="3109" spans="1:6">
      <c r="A3109" s="5" t="str">
        <f t="shared" si="54"/>
        <v>202311</v>
      </c>
      <c r="B3109" s="5" t="str">
        <f>"23085023824"</f>
        <v>23085023824</v>
      </c>
      <c r="C3109" s="6">
        <v>90</v>
      </c>
      <c r="D3109" s="6">
        <v>110.5</v>
      </c>
      <c r="E3109" s="6">
        <v>200.5</v>
      </c>
      <c r="F3109" s="11"/>
    </row>
    <row r="3110" spans="1:6">
      <c r="A3110" s="5" t="str">
        <f t="shared" si="54"/>
        <v>202311</v>
      </c>
      <c r="B3110" s="5" t="str">
        <f>"23085024011"</f>
        <v>23085024011</v>
      </c>
      <c r="C3110" s="6">
        <v>91.5</v>
      </c>
      <c r="D3110" s="6">
        <v>108.5</v>
      </c>
      <c r="E3110" s="6">
        <v>200</v>
      </c>
      <c r="F3110" s="11"/>
    </row>
    <row r="3111" spans="1:6">
      <c r="A3111" s="5" t="str">
        <f t="shared" si="54"/>
        <v>202311</v>
      </c>
      <c r="B3111" s="5" t="str">
        <f>"23085023923"</f>
        <v>23085023923</v>
      </c>
      <c r="C3111" s="6">
        <v>91.5</v>
      </c>
      <c r="D3111" s="6">
        <v>107.5</v>
      </c>
      <c r="E3111" s="6">
        <v>199</v>
      </c>
      <c r="F3111" s="11"/>
    </row>
    <row r="3112" spans="1:6">
      <c r="A3112" s="5" t="str">
        <f t="shared" si="54"/>
        <v>202311</v>
      </c>
      <c r="B3112" s="5" t="str">
        <f>"23085024111"</f>
        <v>23085024111</v>
      </c>
      <c r="C3112" s="6">
        <v>88.5</v>
      </c>
      <c r="D3112" s="6">
        <v>110</v>
      </c>
      <c r="E3112" s="6">
        <v>198.5</v>
      </c>
      <c r="F3112" s="11"/>
    </row>
    <row r="3113" spans="1:6">
      <c r="A3113" s="5" t="str">
        <f t="shared" si="54"/>
        <v>202311</v>
      </c>
      <c r="B3113" s="5" t="str">
        <f>"23085023906"</f>
        <v>23085023906</v>
      </c>
      <c r="C3113" s="6">
        <v>87</v>
      </c>
      <c r="D3113" s="6">
        <v>111</v>
      </c>
      <c r="E3113" s="6">
        <v>198</v>
      </c>
      <c r="F3113" s="11"/>
    </row>
    <row r="3114" spans="1:6">
      <c r="A3114" s="5" t="str">
        <f t="shared" si="54"/>
        <v>202311</v>
      </c>
      <c r="B3114" s="5" t="str">
        <f>"23085023827"</f>
        <v>23085023827</v>
      </c>
      <c r="C3114" s="6">
        <v>81</v>
      </c>
      <c r="D3114" s="6">
        <v>116</v>
      </c>
      <c r="E3114" s="6">
        <v>197</v>
      </c>
      <c r="F3114" s="11"/>
    </row>
    <row r="3115" spans="1:6">
      <c r="A3115" s="5" t="str">
        <f t="shared" si="54"/>
        <v>202311</v>
      </c>
      <c r="B3115" s="5" t="str">
        <f>"23085023729"</f>
        <v>23085023729</v>
      </c>
      <c r="C3115" s="6">
        <v>88.5</v>
      </c>
      <c r="D3115" s="6">
        <v>108.5</v>
      </c>
      <c r="E3115" s="6">
        <v>197</v>
      </c>
      <c r="F3115" s="11"/>
    </row>
    <row r="3116" spans="1:6">
      <c r="A3116" s="5" t="str">
        <f t="shared" si="54"/>
        <v>202311</v>
      </c>
      <c r="B3116" s="5" t="str">
        <f>"23085023806"</f>
        <v>23085023806</v>
      </c>
      <c r="C3116" s="6">
        <v>85.5</v>
      </c>
      <c r="D3116" s="6">
        <v>107</v>
      </c>
      <c r="E3116" s="6">
        <v>192.5</v>
      </c>
      <c r="F3116" s="11"/>
    </row>
    <row r="3117" spans="1:6">
      <c r="A3117" s="5" t="str">
        <f t="shared" si="54"/>
        <v>202311</v>
      </c>
      <c r="B3117" s="5" t="str">
        <f>"23085024104"</f>
        <v>23085024104</v>
      </c>
      <c r="C3117" s="6">
        <v>76.5</v>
      </c>
      <c r="D3117" s="6">
        <v>115</v>
      </c>
      <c r="E3117" s="6">
        <v>191.5</v>
      </c>
      <c r="F3117" s="11"/>
    </row>
    <row r="3118" spans="1:6">
      <c r="A3118" s="5" t="str">
        <f t="shared" si="54"/>
        <v>202311</v>
      </c>
      <c r="B3118" s="5" t="str">
        <f>"23085023908"</f>
        <v>23085023908</v>
      </c>
      <c r="C3118" s="6">
        <v>79.5</v>
      </c>
      <c r="D3118" s="6">
        <v>112</v>
      </c>
      <c r="E3118" s="6">
        <v>191.5</v>
      </c>
      <c r="F3118" s="11"/>
    </row>
    <row r="3119" spans="1:6">
      <c r="A3119" s="5" t="str">
        <f t="shared" si="54"/>
        <v>202311</v>
      </c>
      <c r="B3119" s="5" t="str">
        <f>"23085023927"</f>
        <v>23085023927</v>
      </c>
      <c r="C3119" s="6">
        <v>91.5</v>
      </c>
      <c r="D3119" s="6">
        <v>99.5</v>
      </c>
      <c r="E3119" s="6">
        <v>191</v>
      </c>
      <c r="F3119" s="11"/>
    </row>
    <row r="3120" spans="1:6">
      <c r="A3120" s="5" t="str">
        <f t="shared" si="54"/>
        <v>202311</v>
      </c>
      <c r="B3120" s="5" t="str">
        <f>"23085024027"</f>
        <v>23085024027</v>
      </c>
      <c r="C3120" s="6">
        <v>75</v>
      </c>
      <c r="D3120" s="6">
        <v>113.5</v>
      </c>
      <c r="E3120" s="6">
        <v>188.5</v>
      </c>
      <c r="F3120" s="11"/>
    </row>
    <row r="3121" spans="1:6">
      <c r="A3121" s="5" t="str">
        <f t="shared" ref="A3121:A3170" si="55">"202311"</f>
        <v>202311</v>
      </c>
      <c r="B3121" s="5" t="str">
        <f>"23085023912"</f>
        <v>23085023912</v>
      </c>
      <c r="C3121" s="6">
        <v>73.5</v>
      </c>
      <c r="D3121" s="6">
        <v>112.5</v>
      </c>
      <c r="E3121" s="6">
        <v>186</v>
      </c>
      <c r="F3121" s="11"/>
    </row>
    <row r="3122" spans="1:6">
      <c r="A3122" s="5" t="str">
        <f t="shared" si="55"/>
        <v>202311</v>
      </c>
      <c r="B3122" s="5" t="str">
        <f>"23085024115"</f>
        <v>23085024115</v>
      </c>
      <c r="C3122" s="6">
        <v>73.5</v>
      </c>
      <c r="D3122" s="6">
        <v>111</v>
      </c>
      <c r="E3122" s="6">
        <v>184.5</v>
      </c>
      <c r="F3122" s="11"/>
    </row>
    <row r="3123" spans="1:6">
      <c r="A3123" s="5" t="str">
        <f t="shared" si="55"/>
        <v>202311</v>
      </c>
      <c r="B3123" s="5" t="str">
        <f>"23085024022"</f>
        <v>23085024022</v>
      </c>
      <c r="C3123" s="6">
        <v>70.5</v>
      </c>
      <c r="D3123" s="6">
        <v>113.5</v>
      </c>
      <c r="E3123" s="6">
        <v>184</v>
      </c>
      <c r="F3123" s="11"/>
    </row>
    <row r="3124" spans="1:6">
      <c r="A3124" s="5" t="str">
        <f t="shared" si="55"/>
        <v>202311</v>
      </c>
      <c r="B3124" s="5" t="str">
        <f>"23085023814"</f>
        <v>23085023814</v>
      </c>
      <c r="C3124" s="6">
        <v>75</v>
      </c>
      <c r="D3124" s="6">
        <v>105.5</v>
      </c>
      <c r="E3124" s="6">
        <v>180.5</v>
      </c>
      <c r="F3124" s="11"/>
    </row>
    <row r="3125" spans="1:6">
      <c r="A3125" s="5" t="str">
        <f t="shared" si="55"/>
        <v>202311</v>
      </c>
      <c r="B3125" s="5" t="str">
        <f>"23085024026"</f>
        <v>23085024026</v>
      </c>
      <c r="C3125" s="6">
        <v>73.5</v>
      </c>
      <c r="D3125" s="6">
        <v>107</v>
      </c>
      <c r="E3125" s="6">
        <v>180.5</v>
      </c>
      <c r="F3125" s="11"/>
    </row>
    <row r="3126" spans="1:6">
      <c r="A3126" s="5" t="str">
        <f t="shared" si="55"/>
        <v>202311</v>
      </c>
      <c r="B3126" s="5" t="str">
        <f>"23085023807"</f>
        <v>23085023807</v>
      </c>
      <c r="C3126" s="6">
        <v>67.5</v>
      </c>
      <c r="D3126" s="6">
        <v>112.5</v>
      </c>
      <c r="E3126" s="6">
        <v>180</v>
      </c>
      <c r="F3126" s="11"/>
    </row>
    <row r="3127" spans="1:6">
      <c r="A3127" s="5" t="str">
        <f t="shared" si="55"/>
        <v>202311</v>
      </c>
      <c r="B3127" s="5" t="str">
        <f>"23085024006"</f>
        <v>23085024006</v>
      </c>
      <c r="C3127" s="6">
        <v>72</v>
      </c>
      <c r="D3127" s="6">
        <v>108</v>
      </c>
      <c r="E3127" s="6">
        <v>180</v>
      </c>
      <c r="F3127" s="11"/>
    </row>
    <row r="3128" spans="1:6">
      <c r="A3128" s="5" t="str">
        <f t="shared" si="55"/>
        <v>202311</v>
      </c>
      <c r="B3128" s="5" t="str">
        <f>"23085023830"</f>
        <v>23085023830</v>
      </c>
      <c r="C3128" s="6">
        <v>67.5</v>
      </c>
      <c r="D3128" s="6">
        <v>112.5</v>
      </c>
      <c r="E3128" s="6">
        <v>180</v>
      </c>
      <c r="F3128" s="11"/>
    </row>
    <row r="3129" spans="1:6">
      <c r="A3129" s="5" t="str">
        <f t="shared" si="55"/>
        <v>202311</v>
      </c>
      <c r="B3129" s="5" t="str">
        <f>"23085023928"</f>
        <v>23085023928</v>
      </c>
      <c r="C3129" s="6">
        <v>75</v>
      </c>
      <c r="D3129" s="6">
        <v>104.5</v>
      </c>
      <c r="E3129" s="6">
        <v>179.5</v>
      </c>
      <c r="F3129" s="11"/>
    </row>
    <row r="3130" spans="1:6">
      <c r="A3130" s="5" t="str">
        <f t="shared" si="55"/>
        <v>202311</v>
      </c>
      <c r="B3130" s="5" t="str">
        <f>"23085023804"</f>
        <v>23085023804</v>
      </c>
      <c r="C3130" s="6">
        <v>93</v>
      </c>
      <c r="D3130" s="6">
        <v>86</v>
      </c>
      <c r="E3130" s="6">
        <v>179</v>
      </c>
      <c r="F3130" s="11"/>
    </row>
    <row r="3131" spans="1:6">
      <c r="A3131" s="5" t="str">
        <f t="shared" si="55"/>
        <v>202311</v>
      </c>
      <c r="B3131" s="5" t="str">
        <f>"23085024002"</f>
        <v>23085024002</v>
      </c>
      <c r="C3131" s="6">
        <v>76.5</v>
      </c>
      <c r="D3131" s="6">
        <v>102</v>
      </c>
      <c r="E3131" s="6">
        <v>178.5</v>
      </c>
      <c r="F3131" s="11"/>
    </row>
    <row r="3132" spans="1:6">
      <c r="A3132" s="5" t="str">
        <f t="shared" si="55"/>
        <v>202311</v>
      </c>
      <c r="B3132" s="5" t="str">
        <f>"23085024118"</f>
        <v>23085024118</v>
      </c>
      <c r="C3132" s="6">
        <v>66</v>
      </c>
      <c r="D3132" s="6">
        <v>112</v>
      </c>
      <c r="E3132" s="6">
        <v>178</v>
      </c>
      <c r="F3132" s="11"/>
    </row>
    <row r="3133" spans="1:6">
      <c r="A3133" s="5" t="str">
        <f t="shared" si="55"/>
        <v>202311</v>
      </c>
      <c r="B3133" s="5" t="str">
        <f>"23085024007"</f>
        <v>23085024007</v>
      </c>
      <c r="C3133" s="6">
        <v>66</v>
      </c>
      <c r="D3133" s="6">
        <v>109</v>
      </c>
      <c r="E3133" s="6">
        <v>175</v>
      </c>
      <c r="F3133" s="11"/>
    </row>
    <row r="3134" spans="1:6">
      <c r="A3134" s="5" t="str">
        <f t="shared" si="55"/>
        <v>202311</v>
      </c>
      <c r="B3134" s="5" t="str">
        <f>"23085024116"</f>
        <v>23085024116</v>
      </c>
      <c r="C3134" s="6">
        <v>73.5</v>
      </c>
      <c r="D3134" s="6">
        <v>101</v>
      </c>
      <c r="E3134" s="6">
        <v>174.5</v>
      </c>
      <c r="F3134" s="11"/>
    </row>
    <row r="3135" spans="1:6">
      <c r="A3135" s="5" t="str">
        <f t="shared" si="55"/>
        <v>202311</v>
      </c>
      <c r="B3135" s="5" t="str">
        <f>"23085023820"</f>
        <v>23085023820</v>
      </c>
      <c r="C3135" s="6">
        <v>63</v>
      </c>
      <c r="D3135" s="6">
        <v>111</v>
      </c>
      <c r="E3135" s="6">
        <v>174</v>
      </c>
      <c r="F3135" s="11"/>
    </row>
    <row r="3136" spans="1:6">
      <c r="A3136" s="5" t="str">
        <f t="shared" si="55"/>
        <v>202311</v>
      </c>
      <c r="B3136" s="5" t="str">
        <f>"23085024008"</f>
        <v>23085024008</v>
      </c>
      <c r="C3136" s="6">
        <v>63</v>
      </c>
      <c r="D3136" s="6">
        <v>111</v>
      </c>
      <c r="E3136" s="6">
        <v>174</v>
      </c>
      <c r="F3136" s="11"/>
    </row>
    <row r="3137" spans="1:6">
      <c r="A3137" s="5" t="str">
        <f t="shared" si="55"/>
        <v>202311</v>
      </c>
      <c r="B3137" s="5" t="str">
        <f>"23085024017"</f>
        <v>23085024017</v>
      </c>
      <c r="C3137" s="6">
        <v>78</v>
      </c>
      <c r="D3137" s="6">
        <v>96</v>
      </c>
      <c r="E3137" s="6">
        <v>174</v>
      </c>
      <c r="F3137" s="11"/>
    </row>
    <row r="3138" spans="1:6">
      <c r="A3138" s="5" t="str">
        <f t="shared" si="55"/>
        <v>202311</v>
      </c>
      <c r="B3138" s="5" t="str">
        <f>"23085023918"</f>
        <v>23085023918</v>
      </c>
      <c r="C3138" s="6">
        <v>78</v>
      </c>
      <c r="D3138" s="6">
        <v>95</v>
      </c>
      <c r="E3138" s="6">
        <v>173</v>
      </c>
      <c r="F3138" s="11"/>
    </row>
    <row r="3139" spans="1:6">
      <c r="A3139" s="5" t="str">
        <f t="shared" si="55"/>
        <v>202311</v>
      </c>
      <c r="B3139" s="5" t="str">
        <f>"23085023819"</f>
        <v>23085023819</v>
      </c>
      <c r="C3139" s="6">
        <v>69</v>
      </c>
      <c r="D3139" s="6">
        <v>103.5</v>
      </c>
      <c r="E3139" s="6">
        <v>172.5</v>
      </c>
      <c r="F3139" s="11"/>
    </row>
    <row r="3140" spans="1:6">
      <c r="A3140" s="5" t="str">
        <f t="shared" si="55"/>
        <v>202311</v>
      </c>
      <c r="B3140" s="5" t="str">
        <f>"23085024005"</f>
        <v>23085024005</v>
      </c>
      <c r="C3140" s="6">
        <v>67.5</v>
      </c>
      <c r="D3140" s="6">
        <v>105</v>
      </c>
      <c r="E3140" s="6">
        <v>172.5</v>
      </c>
      <c r="F3140" s="11"/>
    </row>
    <row r="3141" spans="1:6">
      <c r="A3141" s="5" t="str">
        <f t="shared" si="55"/>
        <v>202311</v>
      </c>
      <c r="B3141" s="5" t="str">
        <f>"23085023825"</f>
        <v>23085023825</v>
      </c>
      <c r="C3141" s="6">
        <v>72</v>
      </c>
      <c r="D3141" s="6">
        <v>99.5</v>
      </c>
      <c r="E3141" s="6">
        <v>171.5</v>
      </c>
      <c r="F3141" s="11"/>
    </row>
    <row r="3142" spans="1:6">
      <c r="A3142" s="5" t="str">
        <f t="shared" si="55"/>
        <v>202311</v>
      </c>
      <c r="B3142" s="5" t="str">
        <f>"23085023930"</f>
        <v>23085023930</v>
      </c>
      <c r="C3142" s="6">
        <v>75</v>
      </c>
      <c r="D3142" s="6">
        <v>82.5</v>
      </c>
      <c r="E3142" s="6">
        <v>157.5</v>
      </c>
      <c r="F3142" s="11"/>
    </row>
    <row r="3143" spans="1:6">
      <c r="A3143" s="5" t="str">
        <f t="shared" si="55"/>
        <v>202311</v>
      </c>
      <c r="B3143" s="5" t="str">
        <f>"23085023904"</f>
        <v>23085023904</v>
      </c>
      <c r="C3143" s="6">
        <v>61.5</v>
      </c>
      <c r="D3143" s="6">
        <v>84.5</v>
      </c>
      <c r="E3143" s="6">
        <v>146</v>
      </c>
      <c r="F3143" s="11"/>
    </row>
    <row r="3144" spans="1:6">
      <c r="A3144" s="5" t="str">
        <f t="shared" si="55"/>
        <v>202311</v>
      </c>
      <c r="B3144" s="5" t="str">
        <f>"23085024013"</f>
        <v>23085024013</v>
      </c>
      <c r="C3144" s="6">
        <v>0</v>
      </c>
      <c r="D3144" s="6">
        <v>0</v>
      </c>
      <c r="E3144" s="6">
        <v>0</v>
      </c>
      <c r="F3144" s="11" t="s">
        <v>7</v>
      </c>
    </row>
    <row r="3145" spans="1:6">
      <c r="A3145" s="5" t="str">
        <f t="shared" si="55"/>
        <v>202311</v>
      </c>
      <c r="B3145" s="5" t="str">
        <f>"23085023929"</f>
        <v>23085023929</v>
      </c>
      <c r="C3145" s="6">
        <v>0</v>
      </c>
      <c r="D3145" s="6">
        <v>0</v>
      </c>
      <c r="E3145" s="6">
        <v>0</v>
      </c>
      <c r="F3145" s="11" t="s">
        <v>7</v>
      </c>
    </row>
    <row r="3146" spans="1:6">
      <c r="A3146" s="5" t="str">
        <f t="shared" si="55"/>
        <v>202311</v>
      </c>
      <c r="B3146" s="5" t="str">
        <f>"23085023920"</f>
        <v>23085023920</v>
      </c>
      <c r="C3146" s="6">
        <v>0</v>
      </c>
      <c r="D3146" s="6">
        <v>0</v>
      </c>
      <c r="E3146" s="6">
        <v>0</v>
      </c>
      <c r="F3146" s="11" t="s">
        <v>7</v>
      </c>
    </row>
    <row r="3147" spans="1:6">
      <c r="A3147" s="5" t="str">
        <f t="shared" si="55"/>
        <v>202311</v>
      </c>
      <c r="B3147" s="5" t="str">
        <f>"23085023926"</f>
        <v>23085023926</v>
      </c>
      <c r="C3147" s="6">
        <v>0</v>
      </c>
      <c r="D3147" s="6">
        <v>0</v>
      </c>
      <c r="E3147" s="6">
        <v>0</v>
      </c>
      <c r="F3147" s="11" t="s">
        <v>7</v>
      </c>
    </row>
    <row r="3148" spans="1:6">
      <c r="A3148" s="5" t="str">
        <f t="shared" si="55"/>
        <v>202311</v>
      </c>
      <c r="B3148" s="5" t="str">
        <f>"23085024103"</f>
        <v>23085024103</v>
      </c>
      <c r="C3148" s="6">
        <v>0</v>
      </c>
      <c r="D3148" s="6">
        <v>0</v>
      </c>
      <c r="E3148" s="6">
        <v>0</v>
      </c>
      <c r="F3148" s="11" t="s">
        <v>7</v>
      </c>
    </row>
    <row r="3149" spans="1:6">
      <c r="A3149" s="5" t="str">
        <f t="shared" si="55"/>
        <v>202311</v>
      </c>
      <c r="B3149" s="5" t="str">
        <f>"23085023919"</f>
        <v>23085023919</v>
      </c>
      <c r="C3149" s="6">
        <v>0</v>
      </c>
      <c r="D3149" s="6">
        <v>0</v>
      </c>
      <c r="E3149" s="6">
        <v>0</v>
      </c>
      <c r="F3149" s="11" t="s">
        <v>7</v>
      </c>
    </row>
    <row r="3150" spans="1:6">
      <c r="A3150" s="5" t="str">
        <f t="shared" si="55"/>
        <v>202311</v>
      </c>
      <c r="B3150" s="5" t="str">
        <f>"23085023816"</f>
        <v>23085023816</v>
      </c>
      <c r="C3150" s="6">
        <v>0</v>
      </c>
      <c r="D3150" s="6">
        <v>0</v>
      </c>
      <c r="E3150" s="6">
        <v>0</v>
      </c>
      <c r="F3150" s="11" t="s">
        <v>7</v>
      </c>
    </row>
    <row r="3151" spans="1:6">
      <c r="A3151" s="5" t="str">
        <f t="shared" si="55"/>
        <v>202311</v>
      </c>
      <c r="B3151" s="5" t="str">
        <f>"23085023726"</f>
        <v>23085023726</v>
      </c>
      <c r="C3151" s="6">
        <v>0</v>
      </c>
      <c r="D3151" s="6">
        <v>0</v>
      </c>
      <c r="E3151" s="6">
        <v>0</v>
      </c>
      <c r="F3151" s="11" t="s">
        <v>7</v>
      </c>
    </row>
    <row r="3152" spans="1:6">
      <c r="A3152" s="5" t="str">
        <f t="shared" si="55"/>
        <v>202311</v>
      </c>
      <c r="B3152" s="5" t="str">
        <f>"23085024101"</f>
        <v>23085024101</v>
      </c>
      <c r="C3152" s="6">
        <v>0</v>
      </c>
      <c r="D3152" s="6">
        <v>0</v>
      </c>
      <c r="E3152" s="6">
        <v>0</v>
      </c>
      <c r="F3152" s="11" t="s">
        <v>7</v>
      </c>
    </row>
    <row r="3153" spans="1:6">
      <c r="A3153" s="5" t="str">
        <f t="shared" si="55"/>
        <v>202311</v>
      </c>
      <c r="B3153" s="5" t="str">
        <f>"23085024020"</f>
        <v>23085024020</v>
      </c>
      <c r="C3153" s="6">
        <v>0</v>
      </c>
      <c r="D3153" s="6">
        <v>0</v>
      </c>
      <c r="E3153" s="6">
        <v>0</v>
      </c>
      <c r="F3153" s="11" t="s">
        <v>7</v>
      </c>
    </row>
    <row r="3154" spans="1:6">
      <c r="A3154" s="5" t="str">
        <f t="shared" si="55"/>
        <v>202311</v>
      </c>
      <c r="B3154" s="5" t="str">
        <f>"23085023829"</f>
        <v>23085023829</v>
      </c>
      <c r="C3154" s="6">
        <v>0</v>
      </c>
      <c r="D3154" s="6">
        <v>0</v>
      </c>
      <c r="E3154" s="6">
        <v>0</v>
      </c>
      <c r="F3154" s="11" t="s">
        <v>7</v>
      </c>
    </row>
    <row r="3155" spans="1:6">
      <c r="A3155" s="5" t="str">
        <f t="shared" si="55"/>
        <v>202311</v>
      </c>
      <c r="B3155" s="5" t="str">
        <f>"23085024010"</f>
        <v>23085024010</v>
      </c>
      <c r="C3155" s="6">
        <v>0</v>
      </c>
      <c r="D3155" s="6">
        <v>0</v>
      </c>
      <c r="E3155" s="6">
        <v>0</v>
      </c>
      <c r="F3155" s="11" t="s">
        <v>7</v>
      </c>
    </row>
    <row r="3156" spans="1:6">
      <c r="A3156" s="5" t="str">
        <f t="shared" si="55"/>
        <v>202311</v>
      </c>
      <c r="B3156" s="5" t="str">
        <f>"23085023915"</f>
        <v>23085023915</v>
      </c>
      <c r="C3156" s="6">
        <v>0</v>
      </c>
      <c r="D3156" s="6">
        <v>0</v>
      </c>
      <c r="E3156" s="6">
        <v>0</v>
      </c>
      <c r="F3156" s="11" t="s">
        <v>7</v>
      </c>
    </row>
    <row r="3157" spans="1:6">
      <c r="A3157" s="5" t="str">
        <f t="shared" si="55"/>
        <v>202311</v>
      </c>
      <c r="B3157" s="5" t="str">
        <f>"23085024023"</f>
        <v>23085024023</v>
      </c>
      <c r="C3157" s="6">
        <v>0</v>
      </c>
      <c r="D3157" s="6">
        <v>0</v>
      </c>
      <c r="E3157" s="6">
        <v>0</v>
      </c>
      <c r="F3157" s="11" t="s">
        <v>7</v>
      </c>
    </row>
    <row r="3158" spans="1:6">
      <c r="A3158" s="5" t="str">
        <f t="shared" si="55"/>
        <v>202311</v>
      </c>
      <c r="B3158" s="5" t="str">
        <f>"23085023728"</f>
        <v>23085023728</v>
      </c>
      <c r="C3158" s="6">
        <v>0</v>
      </c>
      <c r="D3158" s="6">
        <v>0</v>
      </c>
      <c r="E3158" s="6">
        <v>0</v>
      </c>
      <c r="F3158" s="11" t="s">
        <v>7</v>
      </c>
    </row>
    <row r="3159" spans="1:6">
      <c r="A3159" s="5" t="str">
        <f t="shared" si="55"/>
        <v>202311</v>
      </c>
      <c r="B3159" s="5" t="str">
        <f>"23085024012"</f>
        <v>23085024012</v>
      </c>
      <c r="C3159" s="6">
        <v>0</v>
      </c>
      <c r="D3159" s="6">
        <v>0</v>
      </c>
      <c r="E3159" s="6">
        <v>0</v>
      </c>
      <c r="F3159" s="11" t="s">
        <v>7</v>
      </c>
    </row>
    <row r="3160" spans="1:6">
      <c r="A3160" s="5" t="str">
        <f t="shared" si="55"/>
        <v>202311</v>
      </c>
      <c r="B3160" s="5" t="str">
        <f>"23085023813"</f>
        <v>23085023813</v>
      </c>
      <c r="C3160" s="6">
        <v>0</v>
      </c>
      <c r="D3160" s="6">
        <v>0</v>
      </c>
      <c r="E3160" s="6">
        <v>0</v>
      </c>
      <c r="F3160" s="11" t="s">
        <v>7</v>
      </c>
    </row>
    <row r="3161" spans="1:6">
      <c r="A3161" s="5" t="str">
        <f t="shared" si="55"/>
        <v>202311</v>
      </c>
      <c r="B3161" s="5" t="str">
        <f>"23085024028"</f>
        <v>23085024028</v>
      </c>
      <c r="C3161" s="6">
        <v>0</v>
      </c>
      <c r="D3161" s="6">
        <v>0</v>
      </c>
      <c r="E3161" s="6">
        <v>0</v>
      </c>
      <c r="F3161" s="11" t="s">
        <v>7</v>
      </c>
    </row>
    <row r="3162" spans="1:6">
      <c r="A3162" s="5" t="str">
        <f t="shared" si="55"/>
        <v>202311</v>
      </c>
      <c r="B3162" s="5" t="str">
        <f>"23085024109"</f>
        <v>23085024109</v>
      </c>
      <c r="C3162" s="6">
        <v>0</v>
      </c>
      <c r="D3162" s="6">
        <v>0</v>
      </c>
      <c r="E3162" s="6">
        <v>0</v>
      </c>
      <c r="F3162" s="11" t="s">
        <v>7</v>
      </c>
    </row>
    <row r="3163" spans="1:6">
      <c r="A3163" s="5" t="str">
        <f t="shared" si="55"/>
        <v>202311</v>
      </c>
      <c r="B3163" s="5" t="str">
        <f>"23085024030"</f>
        <v>23085024030</v>
      </c>
      <c r="C3163" s="6">
        <v>0</v>
      </c>
      <c r="D3163" s="6">
        <v>0</v>
      </c>
      <c r="E3163" s="6">
        <v>0</v>
      </c>
      <c r="F3163" s="11" t="s">
        <v>7</v>
      </c>
    </row>
    <row r="3164" spans="1:6">
      <c r="A3164" s="5" t="str">
        <f t="shared" si="55"/>
        <v>202311</v>
      </c>
      <c r="B3164" s="5" t="str">
        <f>"23085023917"</f>
        <v>23085023917</v>
      </c>
      <c r="C3164" s="6">
        <v>0</v>
      </c>
      <c r="D3164" s="6">
        <v>0</v>
      </c>
      <c r="E3164" s="6">
        <v>0</v>
      </c>
      <c r="F3164" s="11" t="s">
        <v>7</v>
      </c>
    </row>
    <row r="3165" spans="1:6">
      <c r="A3165" s="5" t="str">
        <f t="shared" si="55"/>
        <v>202311</v>
      </c>
      <c r="B3165" s="5" t="str">
        <f>"23085023902"</f>
        <v>23085023902</v>
      </c>
      <c r="C3165" s="6">
        <v>0</v>
      </c>
      <c r="D3165" s="6">
        <v>0</v>
      </c>
      <c r="E3165" s="6">
        <v>0</v>
      </c>
      <c r="F3165" s="11" t="s">
        <v>7</v>
      </c>
    </row>
    <row r="3166" spans="1:6">
      <c r="A3166" s="5" t="str">
        <f t="shared" si="55"/>
        <v>202311</v>
      </c>
      <c r="B3166" s="5" t="str">
        <f>"23085024004"</f>
        <v>23085024004</v>
      </c>
      <c r="C3166" s="6">
        <v>0</v>
      </c>
      <c r="D3166" s="6">
        <v>0</v>
      </c>
      <c r="E3166" s="6">
        <v>0</v>
      </c>
      <c r="F3166" s="11" t="s">
        <v>7</v>
      </c>
    </row>
    <row r="3167" spans="1:6">
      <c r="A3167" s="5" t="str">
        <f t="shared" si="55"/>
        <v>202311</v>
      </c>
      <c r="B3167" s="5" t="str">
        <f>"23085023909"</f>
        <v>23085023909</v>
      </c>
      <c r="C3167" s="6">
        <v>0</v>
      </c>
      <c r="D3167" s="6">
        <v>0</v>
      </c>
      <c r="E3167" s="6">
        <v>0</v>
      </c>
      <c r="F3167" s="11" t="s">
        <v>7</v>
      </c>
    </row>
    <row r="3168" spans="1:6">
      <c r="A3168" s="5" t="str">
        <f t="shared" si="55"/>
        <v>202311</v>
      </c>
      <c r="B3168" s="5" t="str">
        <f>"23085023905"</f>
        <v>23085023905</v>
      </c>
      <c r="C3168" s="6">
        <v>0</v>
      </c>
      <c r="D3168" s="6">
        <v>0</v>
      </c>
      <c r="E3168" s="6">
        <v>0</v>
      </c>
      <c r="F3168" s="11" t="s">
        <v>7</v>
      </c>
    </row>
    <row r="3169" spans="1:6">
      <c r="A3169" s="5" t="str">
        <f t="shared" si="55"/>
        <v>202311</v>
      </c>
      <c r="B3169" s="5" t="str">
        <f>"23085024009"</f>
        <v>23085024009</v>
      </c>
      <c r="C3169" s="6">
        <v>0</v>
      </c>
      <c r="D3169" s="6">
        <v>0</v>
      </c>
      <c r="E3169" s="6">
        <v>0</v>
      </c>
      <c r="F3169" s="11" t="s">
        <v>7</v>
      </c>
    </row>
    <row r="3170" spans="1:6">
      <c r="A3170" s="5" t="str">
        <f t="shared" si="55"/>
        <v>202311</v>
      </c>
      <c r="B3170" s="5" t="str">
        <f>"23085024003"</f>
        <v>23085024003</v>
      </c>
      <c r="C3170" s="6">
        <v>0</v>
      </c>
      <c r="D3170" s="6">
        <v>0</v>
      </c>
      <c r="E3170" s="6">
        <v>0</v>
      </c>
      <c r="F3170" s="11" t="s">
        <v>7</v>
      </c>
    </row>
    <row r="3171" spans="1:6">
      <c r="A3171" s="5" t="str">
        <f t="shared" ref="A3171:A3234" si="56">"202312"</f>
        <v>202312</v>
      </c>
      <c r="B3171" s="5" t="str">
        <f>"23085030513"</f>
        <v>23085030513</v>
      </c>
      <c r="C3171" s="6">
        <v>130.5</v>
      </c>
      <c r="D3171" s="6">
        <v>115.5</v>
      </c>
      <c r="E3171" s="6">
        <v>246</v>
      </c>
      <c r="F3171" s="11"/>
    </row>
    <row r="3172" spans="1:6">
      <c r="A3172" s="5" t="str">
        <f t="shared" si="56"/>
        <v>202312</v>
      </c>
      <c r="B3172" s="5" t="str">
        <f>"23085030318"</f>
        <v>23085030318</v>
      </c>
      <c r="C3172" s="6">
        <v>123</v>
      </c>
      <c r="D3172" s="6">
        <v>118.5</v>
      </c>
      <c r="E3172" s="6">
        <v>241.5</v>
      </c>
      <c r="F3172" s="11"/>
    </row>
    <row r="3173" spans="1:6">
      <c r="A3173" s="5" t="str">
        <f t="shared" si="56"/>
        <v>202312</v>
      </c>
      <c r="B3173" s="5" t="str">
        <f>"23085024202"</f>
        <v>23085024202</v>
      </c>
      <c r="C3173" s="6">
        <v>124.5</v>
      </c>
      <c r="D3173" s="6">
        <v>114.5</v>
      </c>
      <c r="E3173" s="6">
        <v>239</v>
      </c>
      <c r="F3173" s="11"/>
    </row>
    <row r="3174" spans="1:6">
      <c r="A3174" s="5" t="str">
        <f t="shared" si="56"/>
        <v>202312</v>
      </c>
      <c r="B3174" s="5" t="str">
        <f>"23085030221"</f>
        <v>23085030221</v>
      </c>
      <c r="C3174" s="6">
        <v>112.5</v>
      </c>
      <c r="D3174" s="6">
        <v>122.5</v>
      </c>
      <c r="E3174" s="6">
        <v>235</v>
      </c>
      <c r="F3174" s="11"/>
    </row>
    <row r="3175" spans="1:6">
      <c r="A3175" s="5" t="str">
        <f t="shared" si="56"/>
        <v>202312</v>
      </c>
      <c r="B3175" s="5" t="str">
        <f>"23085030416"</f>
        <v>23085030416</v>
      </c>
      <c r="C3175" s="6">
        <v>115.5</v>
      </c>
      <c r="D3175" s="6">
        <v>116</v>
      </c>
      <c r="E3175" s="6">
        <v>231.5</v>
      </c>
      <c r="F3175" s="11"/>
    </row>
    <row r="3176" spans="1:6">
      <c r="A3176" s="5" t="str">
        <f t="shared" si="56"/>
        <v>202312</v>
      </c>
      <c r="B3176" s="5" t="str">
        <f>"23085024124"</f>
        <v>23085024124</v>
      </c>
      <c r="C3176" s="6">
        <v>118.5</v>
      </c>
      <c r="D3176" s="6">
        <v>112.5</v>
      </c>
      <c r="E3176" s="6">
        <v>231</v>
      </c>
      <c r="F3176" s="11"/>
    </row>
    <row r="3177" spans="1:6">
      <c r="A3177" s="5" t="str">
        <f t="shared" si="56"/>
        <v>202312</v>
      </c>
      <c r="B3177" s="5" t="str">
        <f>"23085024303"</f>
        <v>23085024303</v>
      </c>
      <c r="C3177" s="6">
        <v>114</v>
      </c>
      <c r="D3177" s="6">
        <v>115</v>
      </c>
      <c r="E3177" s="6">
        <v>229</v>
      </c>
      <c r="F3177" s="11"/>
    </row>
    <row r="3178" spans="1:6">
      <c r="A3178" s="5" t="str">
        <f t="shared" si="56"/>
        <v>202312</v>
      </c>
      <c r="B3178" s="5" t="str">
        <f>"23085030108"</f>
        <v>23085030108</v>
      </c>
      <c r="C3178" s="6">
        <v>120</v>
      </c>
      <c r="D3178" s="6">
        <v>108</v>
      </c>
      <c r="E3178" s="6">
        <v>228</v>
      </c>
      <c r="F3178" s="11"/>
    </row>
    <row r="3179" spans="1:6">
      <c r="A3179" s="5" t="str">
        <f t="shared" si="56"/>
        <v>202312</v>
      </c>
      <c r="B3179" s="5" t="str">
        <f>"23085024127"</f>
        <v>23085024127</v>
      </c>
      <c r="C3179" s="6">
        <v>108</v>
      </c>
      <c r="D3179" s="6">
        <v>119</v>
      </c>
      <c r="E3179" s="6">
        <v>227</v>
      </c>
      <c r="F3179" s="11"/>
    </row>
    <row r="3180" spans="1:6">
      <c r="A3180" s="5" t="str">
        <f t="shared" si="56"/>
        <v>202312</v>
      </c>
      <c r="B3180" s="5" t="str">
        <f>"23085030104"</f>
        <v>23085030104</v>
      </c>
      <c r="C3180" s="6">
        <v>111</v>
      </c>
      <c r="D3180" s="6">
        <v>116</v>
      </c>
      <c r="E3180" s="6">
        <v>227</v>
      </c>
      <c r="F3180" s="11"/>
    </row>
    <row r="3181" spans="1:6">
      <c r="A3181" s="5" t="str">
        <f t="shared" si="56"/>
        <v>202312</v>
      </c>
      <c r="B3181" s="5" t="str">
        <f>"23085024126"</f>
        <v>23085024126</v>
      </c>
      <c r="C3181" s="6">
        <v>112.5</v>
      </c>
      <c r="D3181" s="6">
        <v>113</v>
      </c>
      <c r="E3181" s="6">
        <v>225.5</v>
      </c>
      <c r="F3181" s="11"/>
    </row>
    <row r="3182" spans="1:6">
      <c r="A3182" s="5" t="str">
        <f t="shared" si="56"/>
        <v>202312</v>
      </c>
      <c r="B3182" s="5" t="str">
        <f>"23085024216"</f>
        <v>23085024216</v>
      </c>
      <c r="C3182" s="6">
        <v>112.5</v>
      </c>
      <c r="D3182" s="6">
        <v>112</v>
      </c>
      <c r="E3182" s="6">
        <v>224.5</v>
      </c>
      <c r="F3182" s="11"/>
    </row>
    <row r="3183" spans="1:6">
      <c r="A3183" s="5" t="str">
        <f t="shared" si="56"/>
        <v>202312</v>
      </c>
      <c r="B3183" s="5" t="str">
        <f>"23085030410"</f>
        <v>23085030410</v>
      </c>
      <c r="C3183" s="6">
        <v>105</v>
      </c>
      <c r="D3183" s="6">
        <v>119</v>
      </c>
      <c r="E3183" s="6">
        <v>224</v>
      </c>
      <c r="F3183" s="11"/>
    </row>
    <row r="3184" spans="1:6">
      <c r="A3184" s="5" t="str">
        <f t="shared" si="56"/>
        <v>202312</v>
      </c>
      <c r="B3184" s="5" t="str">
        <f>"23085024301"</f>
        <v>23085024301</v>
      </c>
      <c r="C3184" s="6">
        <v>105</v>
      </c>
      <c r="D3184" s="6">
        <v>118.5</v>
      </c>
      <c r="E3184" s="6">
        <v>223.5</v>
      </c>
      <c r="F3184" s="11"/>
    </row>
    <row r="3185" spans="1:6">
      <c r="A3185" s="5" t="str">
        <f t="shared" si="56"/>
        <v>202312</v>
      </c>
      <c r="B3185" s="5" t="str">
        <f>"23085024219"</f>
        <v>23085024219</v>
      </c>
      <c r="C3185" s="6">
        <v>112.5</v>
      </c>
      <c r="D3185" s="6">
        <v>111</v>
      </c>
      <c r="E3185" s="6">
        <v>223.5</v>
      </c>
      <c r="F3185" s="11"/>
    </row>
    <row r="3186" spans="1:6">
      <c r="A3186" s="5" t="str">
        <f t="shared" si="56"/>
        <v>202312</v>
      </c>
      <c r="B3186" s="5" t="str">
        <f>"23085030201"</f>
        <v>23085030201</v>
      </c>
      <c r="C3186" s="6">
        <v>111</v>
      </c>
      <c r="D3186" s="6">
        <v>112.5</v>
      </c>
      <c r="E3186" s="6">
        <v>223.5</v>
      </c>
      <c r="F3186" s="11"/>
    </row>
    <row r="3187" spans="1:6">
      <c r="A3187" s="5" t="str">
        <f t="shared" si="56"/>
        <v>202312</v>
      </c>
      <c r="B3187" s="5" t="str">
        <f>"23085024206"</f>
        <v>23085024206</v>
      </c>
      <c r="C3187" s="6">
        <v>112.5</v>
      </c>
      <c r="D3187" s="6">
        <v>110.5</v>
      </c>
      <c r="E3187" s="6">
        <v>223</v>
      </c>
      <c r="F3187" s="11"/>
    </row>
    <row r="3188" spans="1:6">
      <c r="A3188" s="5" t="str">
        <f t="shared" si="56"/>
        <v>202312</v>
      </c>
      <c r="B3188" s="5" t="str">
        <f>"23085024211"</f>
        <v>23085024211</v>
      </c>
      <c r="C3188" s="6">
        <v>105</v>
      </c>
      <c r="D3188" s="6">
        <v>118</v>
      </c>
      <c r="E3188" s="6">
        <v>223</v>
      </c>
      <c r="F3188" s="11"/>
    </row>
    <row r="3189" spans="1:6">
      <c r="A3189" s="5" t="str">
        <f t="shared" si="56"/>
        <v>202312</v>
      </c>
      <c r="B3189" s="5" t="str">
        <f>"23085024229"</f>
        <v>23085024229</v>
      </c>
      <c r="C3189" s="6">
        <v>112.5</v>
      </c>
      <c r="D3189" s="6">
        <v>110</v>
      </c>
      <c r="E3189" s="6">
        <v>222.5</v>
      </c>
      <c r="F3189" s="11"/>
    </row>
    <row r="3190" spans="1:6">
      <c r="A3190" s="5" t="str">
        <f t="shared" si="56"/>
        <v>202312</v>
      </c>
      <c r="B3190" s="5" t="str">
        <f>"23085024328"</f>
        <v>23085024328</v>
      </c>
      <c r="C3190" s="6">
        <v>102</v>
      </c>
      <c r="D3190" s="6">
        <v>120</v>
      </c>
      <c r="E3190" s="6">
        <v>222</v>
      </c>
      <c r="F3190" s="11"/>
    </row>
    <row r="3191" spans="1:6">
      <c r="A3191" s="5" t="str">
        <f t="shared" si="56"/>
        <v>202312</v>
      </c>
      <c r="B3191" s="5" t="str">
        <f>"23085030305"</f>
        <v>23085030305</v>
      </c>
      <c r="C3191" s="6">
        <v>112.5</v>
      </c>
      <c r="D3191" s="6">
        <v>109</v>
      </c>
      <c r="E3191" s="6">
        <v>221.5</v>
      </c>
      <c r="F3191" s="11"/>
    </row>
    <row r="3192" spans="1:6">
      <c r="A3192" s="5" t="str">
        <f t="shared" si="56"/>
        <v>202312</v>
      </c>
      <c r="B3192" s="5" t="str">
        <f>"23085030511"</f>
        <v>23085030511</v>
      </c>
      <c r="C3192" s="6">
        <v>109.5</v>
      </c>
      <c r="D3192" s="6">
        <v>112</v>
      </c>
      <c r="E3192" s="6">
        <v>221.5</v>
      </c>
      <c r="F3192" s="11"/>
    </row>
    <row r="3193" spans="1:6">
      <c r="A3193" s="5" t="str">
        <f t="shared" si="56"/>
        <v>202312</v>
      </c>
      <c r="B3193" s="5" t="str">
        <f>"23085030430"</f>
        <v>23085030430</v>
      </c>
      <c r="C3193" s="6">
        <v>111</v>
      </c>
      <c r="D3193" s="6">
        <v>110.5</v>
      </c>
      <c r="E3193" s="6">
        <v>221.5</v>
      </c>
      <c r="F3193" s="11"/>
    </row>
    <row r="3194" spans="1:6">
      <c r="A3194" s="5" t="str">
        <f t="shared" si="56"/>
        <v>202312</v>
      </c>
      <c r="B3194" s="5" t="str">
        <f>"23085030404"</f>
        <v>23085030404</v>
      </c>
      <c r="C3194" s="6">
        <v>108</v>
      </c>
      <c r="D3194" s="6">
        <v>113.5</v>
      </c>
      <c r="E3194" s="6">
        <v>221.5</v>
      </c>
      <c r="F3194" s="11"/>
    </row>
    <row r="3195" spans="1:6">
      <c r="A3195" s="5" t="str">
        <f t="shared" si="56"/>
        <v>202312</v>
      </c>
      <c r="B3195" s="5" t="str">
        <f>"23085024311"</f>
        <v>23085024311</v>
      </c>
      <c r="C3195" s="6">
        <v>109.5</v>
      </c>
      <c r="D3195" s="6">
        <v>111.5</v>
      </c>
      <c r="E3195" s="6">
        <v>221</v>
      </c>
      <c r="F3195" s="11"/>
    </row>
    <row r="3196" spans="1:6">
      <c r="A3196" s="5" t="str">
        <f t="shared" si="56"/>
        <v>202312</v>
      </c>
      <c r="B3196" s="5" t="str">
        <f>"23085030110"</f>
        <v>23085030110</v>
      </c>
      <c r="C3196" s="6">
        <v>103.5</v>
      </c>
      <c r="D3196" s="6">
        <v>117</v>
      </c>
      <c r="E3196" s="6">
        <v>220.5</v>
      </c>
      <c r="F3196" s="11"/>
    </row>
    <row r="3197" spans="1:6">
      <c r="A3197" s="5" t="str">
        <f t="shared" si="56"/>
        <v>202312</v>
      </c>
      <c r="B3197" s="5" t="str">
        <f>"23085030507"</f>
        <v>23085030507</v>
      </c>
      <c r="C3197" s="6">
        <v>103.5</v>
      </c>
      <c r="D3197" s="6">
        <v>117</v>
      </c>
      <c r="E3197" s="6">
        <v>220.5</v>
      </c>
      <c r="F3197" s="11"/>
    </row>
    <row r="3198" spans="1:6">
      <c r="A3198" s="5" t="str">
        <f t="shared" si="56"/>
        <v>202312</v>
      </c>
      <c r="B3198" s="5" t="str">
        <f>"23085024218"</f>
        <v>23085024218</v>
      </c>
      <c r="C3198" s="6">
        <v>111</v>
      </c>
      <c r="D3198" s="6">
        <v>109.5</v>
      </c>
      <c r="E3198" s="6">
        <v>220.5</v>
      </c>
      <c r="F3198" s="11"/>
    </row>
    <row r="3199" spans="1:6">
      <c r="A3199" s="5" t="str">
        <f t="shared" si="56"/>
        <v>202312</v>
      </c>
      <c r="B3199" s="5" t="str">
        <f>"23085024228"</f>
        <v>23085024228</v>
      </c>
      <c r="C3199" s="6">
        <v>106.5</v>
      </c>
      <c r="D3199" s="6">
        <v>113.5</v>
      </c>
      <c r="E3199" s="6">
        <v>220</v>
      </c>
      <c r="F3199" s="11"/>
    </row>
    <row r="3200" spans="1:6">
      <c r="A3200" s="5" t="str">
        <f t="shared" si="56"/>
        <v>202312</v>
      </c>
      <c r="B3200" s="5" t="str">
        <f>"23085024119"</f>
        <v>23085024119</v>
      </c>
      <c r="C3200" s="6">
        <v>102</v>
      </c>
      <c r="D3200" s="6">
        <v>118</v>
      </c>
      <c r="E3200" s="6">
        <v>220</v>
      </c>
      <c r="F3200" s="11"/>
    </row>
    <row r="3201" spans="1:6">
      <c r="A3201" s="5" t="str">
        <f t="shared" si="56"/>
        <v>202312</v>
      </c>
      <c r="B3201" s="5" t="str">
        <f>"23085024203"</f>
        <v>23085024203</v>
      </c>
      <c r="C3201" s="6">
        <v>111</v>
      </c>
      <c r="D3201" s="6">
        <v>109</v>
      </c>
      <c r="E3201" s="6">
        <v>220</v>
      </c>
      <c r="F3201" s="11"/>
    </row>
    <row r="3202" spans="1:6">
      <c r="A3202" s="5" t="str">
        <f t="shared" si="56"/>
        <v>202312</v>
      </c>
      <c r="B3202" s="5" t="str">
        <f>"23085030406"</f>
        <v>23085030406</v>
      </c>
      <c r="C3202" s="6">
        <v>102</v>
      </c>
      <c r="D3202" s="6">
        <v>117.5</v>
      </c>
      <c r="E3202" s="6">
        <v>219.5</v>
      </c>
      <c r="F3202" s="11"/>
    </row>
    <row r="3203" spans="1:6">
      <c r="A3203" s="5" t="str">
        <f t="shared" si="56"/>
        <v>202312</v>
      </c>
      <c r="B3203" s="5" t="str">
        <f>"23085030405"</f>
        <v>23085030405</v>
      </c>
      <c r="C3203" s="6">
        <v>97.5</v>
      </c>
      <c r="D3203" s="6">
        <v>121.5</v>
      </c>
      <c r="E3203" s="6">
        <v>219</v>
      </c>
      <c r="F3203" s="11"/>
    </row>
    <row r="3204" spans="1:6">
      <c r="A3204" s="5" t="str">
        <f t="shared" si="56"/>
        <v>202312</v>
      </c>
      <c r="B3204" s="5" t="str">
        <f>"23085030206"</f>
        <v>23085030206</v>
      </c>
      <c r="C3204" s="6">
        <v>114</v>
      </c>
      <c r="D3204" s="6">
        <v>105</v>
      </c>
      <c r="E3204" s="6">
        <v>219</v>
      </c>
      <c r="F3204" s="11"/>
    </row>
    <row r="3205" spans="1:6">
      <c r="A3205" s="5" t="str">
        <f t="shared" si="56"/>
        <v>202312</v>
      </c>
      <c r="B3205" s="5" t="str">
        <f>"23085024122"</f>
        <v>23085024122</v>
      </c>
      <c r="C3205" s="6">
        <v>99</v>
      </c>
      <c r="D3205" s="6">
        <v>119.5</v>
      </c>
      <c r="E3205" s="6">
        <v>218.5</v>
      </c>
      <c r="F3205" s="11"/>
    </row>
    <row r="3206" spans="1:6">
      <c r="A3206" s="5" t="str">
        <f t="shared" si="56"/>
        <v>202312</v>
      </c>
      <c r="B3206" s="5" t="str">
        <f>"23085024130"</f>
        <v>23085024130</v>
      </c>
      <c r="C3206" s="6">
        <v>106.5</v>
      </c>
      <c r="D3206" s="6">
        <v>112</v>
      </c>
      <c r="E3206" s="6">
        <v>218.5</v>
      </c>
      <c r="F3206" s="11"/>
    </row>
    <row r="3207" spans="1:6">
      <c r="A3207" s="5" t="str">
        <f t="shared" si="56"/>
        <v>202312</v>
      </c>
      <c r="B3207" s="5" t="str">
        <f>"23085030317"</f>
        <v>23085030317</v>
      </c>
      <c r="C3207" s="6">
        <v>97.5</v>
      </c>
      <c r="D3207" s="6">
        <v>120.5</v>
      </c>
      <c r="E3207" s="6">
        <v>218</v>
      </c>
      <c r="F3207" s="11"/>
    </row>
    <row r="3208" spans="1:6">
      <c r="A3208" s="5" t="str">
        <f t="shared" si="56"/>
        <v>202312</v>
      </c>
      <c r="B3208" s="5" t="str">
        <f>"23085024225"</f>
        <v>23085024225</v>
      </c>
      <c r="C3208" s="6">
        <v>102</v>
      </c>
      <c r="D3208" s="6">
        <v>116</v>
      </c>
      <c r="E3208" s="6">
        <v>218</v>
      </c>
      <c r="F3208" s="11"/>
    </row>
    <row r="3209" spans="1:6">
      <c r="A3209" s="5" t="str">
        <f t="shared" si="56"/>
        <v>202312</v>
      </c>
      <c r="B3209" s="5" t="str">
        <f>"23085030315"</f>
        <v>23085030315</v>
      </c>
      <c r="C3209" s="6">
        <v>103.5</v>
      </c>
      <c r="D3209" s="6">
        <v>113</v>
      </c>
      <c r="E3209" s="6">
        <v>216.5</v>
      </c>
      <c r="F3209" s="11"/>
    </row>
    <row r="3210" spans="1:6">
      <c r="A3210" s="5" t="str">
        <f t="shared" si="56"/>
        <v>202312</v>
      </c>
      <c r="B3210" s="5" t="str">
        <f>"23085024322"</f>
        <v>23085024322</v>
      </c>
      <c r="C3210" s="6">
        <v>106.5</v>
      </c>
      <c r="D3210" s="6">
        <v>110</v>
      </c>
      <c r="E3210" s="6">
        <v>216.5</v>
      </c>
      <c r="F3210" s="11"/>
    </row>
    <row r="3211" spans="1:6">
      <c r="A3211" s="5" t="str">
        <f t="shared" si="56"/>
        <v>202312</v>
      </c>
      <c r="B3211" s="5" t="str">
        <f>"23085030323"</f>
        <v>23085030323</v>
      </c>
      <c r="C3211" s="6">
        <v>108</v>
      </c>
      <c r="D3211" s="6">
        <v>108.5</v>
      </c>
      <c r="E3211" s="6">
        <v>216.5</v>
      </c>
      <c r="F3211" s="11"/>
    </row>
    <row r="3212" spans="1:6">
      <c r="A3212" s="5" t="str">
        <f t="shared" si="56"/>
        <v>202312</v>
      </c>
      <c r="B3212" s="5" t="str">
        <f>"23085030117"</f>
        <v>23085030117</v>
      </c>
      <c r="C3212" s="6">
        <v>96</v>
      </c>
      <c r="D3212" s="6">
        <v>119.5</v>
      </c>
      <c r="E3212" s="6">
        <v>215.5</v>
      </c>
      <c r="F3212" s="11"/>
    </row>
    <row r="3213" spans="1:6">
      <c r="A3213" s="5" t="str">
        <f t="shared" si="56"/>
        <v>202312</v>
      </c>
      <c r="B3213" s="5" t="str">
        <f>"23085030212"</f>
        <v>23085030212</v>
      </c>
      <c r="C3213" s="6">
        <v>97.5</v>
      </c>
      <c r="D3213" s="6">
        <v>118</v>
      </c>
      <c r="E3213" s="6">
        <v>215.5</v>
      </c>
      <c r="F3213" s="11"/>
    </row>
    <row r="3214" spans="1:6">
      <c r="A3214" s="5" t="str">
        <f t="shared" si="56"/>
        <v>202312</v>
      </c>
      <c r="B3214" s="5" t="str">
        <f>"23085030320"</f>
        <v>23085030320</v>
      </c>
      <c r="C3214" s="6">
        <v>106.5</v>
      </c>
      <c r="D3214" s="6">
        <v>108.5</v>
      </c>
      <c r="E3214" s="6">
        <v>215</v>
      </c>
      <c r="F3214" s="11"/>
    </row>
    <row r="3215" spans="1:6">
      <c r="A3215" s="5" t="str">
        <f t="shared" si="56"/>
        <v>202312</v>
      </c>
      <c r="B3215" s="5" t="str">
        <f>"23085030415"</f>
        <v>23085030415</v>
      </c>
      <c r="C3215" s="6">
        <v>109.5</v>
      </c>
      <c r="D3215" s="6">
        <v>105.5</v>
      </c>
      <c r="E3215" s="6">
        <v>215</v>
      </c>
      <c r="F3215" s="11"/>
    </row>
    <row r="3216" spans="1:6">
      <c r="A3216" s="5" t="str">
        <f t="shared" si="56"/>
        <v>202312</v>
      </c>
      <c r="B3216" s="5" t="str">
        <f>"23085030419"</f>
        <v>23085030419</v>
      </c>
      <c r="C3216" s="6">
        <v>99</v>
      </c>
      <c r="D3216" s="6">
        <v>116</v>
      </c>
      <c r="E3216" s="6">
        <v>215</v>
      </c>
      <c r="F3216" s="11"/>
    </row>
    <row r="3217" spans="1:6">
      <c r="A3217" s="5" t="str">
        <f t="shared" si="56"/>
        <v>202312</v>
      </c>
      <c r="B3217" s="5" t="str">
        <f>"23085030417"</f>
        <v>23085030417</v>
      </c>
      <c r="C3217" s="6">
        <v>96</v>
      </c>
      <c r="D3217" s="6">
        <v>118</v>
      </c>
      <c r="E3217" s="6">
        <v>214</v>
      </c>
      <c r="F3217" s="11"/>
    </row>
    <row r="3218" spans="1:6">
      <c r="A3218" s="5" t="str">
        <f t="shared" si="56"/>
        <v>202312</v>
      </c>
      <c r="B3218" s="5" t="str">
        <f>"23085030313"</f>
        <v>23085030313</v>
      </c>
      <c r="C3218" s="6">
        <v>93</v>
      </c>
      <c r="D3218" s="6">
        <v>120.5</v>
      </c>
      <c r="E3218" s="6">
        <v>213.5</v>
      </c>
      <c r="F3218" s="11"/>
    </row>
    <row r="3219" spans="1:6">
      <c r="A3219" s="5" t="str">
        <f t="shared" si="56"/>
        <v>202312</v>
      </c>
      <c r="B3219" s="5" t="str">
        <f>"23085030220"</f>
        <v>23085030220</v>
      </c>
      <c r="C3219" s="6">
        <v>102</v>
      </c>
      <c r="D3219" s="6">
        <v>111.5</v>
      </c>
      <c r="E3219" s="6">
        <v>213.5</v>
      </c>
      <c r="F3219" s="11"/>
    </row>
    <row r="3220" spans="1:6">
      <c r="A3220" s="5" t="str">
        <f t="shared" si="56"/>
        <v>202312</v>
      </c>
      <c r="B3220" s="5" t="str">
        <f>"23085024230"</f>
        <v>23085024230</v>
      </c>
      <c r="C3220" s="6">
        <v>105</v>
      </c>
      <c r="D3220" s="6">
        <v>108</v>
      </c>
      <c r="E3220" s="6">
        <v>213</v>
      </c>
      <c r="F3220" s="11"/>
    </row>
    <row r="3221" spans="1:6">
      <c r="A3221" s="5" t="str">
        <f t="shared" si="56"/>
        <v>202312</v>
      </c>
      <c r="B3221" s="5" t="str">
        <f>"23085024212"</f>
        <v>23085024212</v>
      </c>
      <c r="C3221" s="6">
        <v>93</v>
      </c>
      <c r="D3221" s="6">
        <v>120</v>
      </c>
      <c r="E3221" s="6">
        <v>213</v>
      </c>
      <c r="F3221" s="11"/>
    </row>
    <row r="3222" spans="1:6">
      <c r="A3222" s="5" t="str">
        <f t="shared" si="56"/>
        <v>202312</v>
      </c>
      <c r="B3222" s="5" t="str">
        <f>"23085030304"</f>
        <v>23085030304</v>
      </c>
      <c r="C3222" s="6">
        <v>100.5</v>
      </c>
      <c r="D3222" s="6">
        <v>112</v>
      </c>
      <c r="E3222" s="6">
        <v>212.5</v>
      </c>
      <c r="F3222" s="11"/>
    </row>
    <row r="3223" spans="1:6">
      <c r="A3223" s="5" t="str">
        <f t="shared" si="56"/>
        <v>202312</v>
      </c>
      <c r="B3223" s="5" t="str">
        <f>"23085030118"</f>
        <v>23085030118</v>
      </c>
      <c r="C3223" s="6">
        <v>93</v>
      </c>
      <c r="D3223" s="6">
        <v>119</v>
      </c>
      <c r="E3223" s="6">
        <v>212</v>
      </c>
      <c r="F3223" s="11"/>
    </row>
    <row r="3224" spans="1:6">
      <c r="A3224" s="5" t="str">
        <f t="shared" si="56"/>
        <v>202312</v>
      </c>
      <c r="B3224" s="5" t="str">
        <f>"23085030423"</f>
        <v>23085030423</v>
      </c>
      <c r="C3224" s="6">
        <v>93</v>
      </c>
      <c r="D3224" s="6">
        <v>119</v>
      </c>
      <c r="E3224" s="6">
        <v>212</v>
      </c>
      <c r="F3224" s="11"/>
    </row>
    <row r="3225" spans="1:6">
      <c r="A3225" s="5" t="str">
        <f t="shared" si="56"/>
        <v>202312</v>
      </c>
      <c r="B3225" s="5" t="str">
        <f>"23085030127"</f>
        <v>23085030127</v>
      </c>
      <c r="C3225" s="6">
        <v>99</v>
      </c>
      <c r="D3225" s="6">
        <v>113</v>
      </c>
      <c r="E3225" s="6">
        <v>212</v>
      </c>
      <c r="F3225" s="11"/>
    </row>
    <row r="3226" spans="1:6">
      <c r="A3226" s="5" t="str">
        <f t="shared" si="56"/>
        <v>202312</v>
      </c>
      <c r="B3226" s="5" t="str">
        <f>"23085030309"</f>
        <v>23085030309</v>
      </c>
      <c r="C3226" s="6">
        <v>103.5</v>
      </c>
      <c r="D3226" s="6">
        <v>108.5</v>
      </c>
      <c r="E3226" s="6">
        <v>212</v>
      </c>
      <c r="F3226" s="11"/>
    </row>
    <row r="3227" spans="1:6">
      <c r="A3227" s="5" t="str">
        <f t="shared" si="56"/>
        <v>202312</v>
      </c>
      <c r="B3227" s="5" t="str">
        <f>"23085024330"</f>
        <v>23085024330</v>
      </c>
      <c r="C3227" s="6">
        <v>103.5</v>
      </c>
      <c r="D3227" s="6">
        <v>108</v>
      </c>
      <c r="E3227" s="6">
        <v>211.5</v>
      </c>
      <c r="F3227" s="11"/>
    </row>
    <row r="3228" spans="1:6">
      <c r="A3228" s="5" t="str">
        <f t="shared" si="56"/>
        <v>202312</v>
      </c>
      <c r="B3228" s="5" t="str">
        <f>"23085024302"</f>
        <v>23085024302</v>
      </c>
      <c r="C3228" s="6">
        <v>105</v>
      </c>
      <c r="D3228" s="6">
        <v>106.5</v>
      </c>
      <c r="E3228" s="6">
        <v>211.5</v>
      </c>
      <c r="F3228" s="11"/>
    </row>
    <row r="3229" spans="1:6">
      <c r="A3229" s="5" t="str">
        <f t="shared" si="56"/>
        <v>202312</v>
      </c>
      <c r="B3229" s="5" t="str">
        <f>"23085024220"</f>
        <v>23085024220</v>
      </c>
      <c r="C3229" s="6">
        <v>94.5</v>
      </c>
      <c r="D3229" s="6">
        <v>117</v>
      </c>
      <c r="E3229" s="6">
        <v>211.5</v>
      </c>
      <c r="F3229" s="11"/>
    </row>
    <row r="3230" spans="1:6">
      <c r="A3230" s="5" t="str">
        <f t="shared" si="56"/>
        <v>202312</v>
      </c>
      <c r="B3230" s="5" t="str">
        <f>"23085030403"</f>
        <v>23085030403</v>
      </c>
      <c r="C3230" s="6">
        <v>91.5</v>
      </c>
      <c r="D3230" s="6">
        <v>118.5</v>
      </c>
      <c r="E3230" s="6">
        <v>210</v>
      </c>
      <c r="F3230" s="11"/>
    </row>
    <row r="3231" spans="1:6">
      <c r="A3231" s="5" t="str">
        <f t="shared" si="56"/>
        <v>202312</v>
      </c>
      <c r="B3231" s="5" t="str">
        <f>"23085030506"</f>
        <v>23085030506</v>
      </c>
      <c r="C3231" s="6">
        <v>97.5</v>
      </c>
      <c r="D3231" s="6">
        <v>112.5</v>
      </c>
      <c r="E3231" s="6">
        <v>210</v>
      </c>
      <c r="F3231" s="11"/>
    </row>
    <row r="3232" spans="1:6">
      <c r="A3232" s="5" t="str">
        <f t="shared" si="56"/>
        <v>202312</v>
      </c>
      <c r="B3232" s="5" t="str">
        <f>"23085030125"</f>
        <v>23085030125</v>
      </c>
      <c r="C3232" s="6">
        <v>96</v>
      </c>
      <c r="D3232" s="6">
        <v>114</v>
      </c>
      <c r="E3232" s="6">
        <v>210</v>
      </c>
      <c r="F3232" s="11"/>
    </row>
    <row r="3233" spans="1:6">
      <c r="A3233" s="5" t="str">
        <f t="shared" si="56"/>
        <v>202312</v>
      </c>
      <c r="B3233" s="5" t="str">
        <f>"23085030209"</f>
        <v>23085030209</v>
      </c>
      <c r="C3233" s="6">
        <v>99</v>
      </c>
      <c r="D3233" s="6">
        <v>110.5</v>
      </c>
      <c r="E3233" s="6">
        <v>209.5</v>
      </c>
      <c r="F3233" s="11"/>
    </row>
    <row r="3234" spans="1:6">
      <c r="A3234" s="5" t="str">
        <f t="shared" si="56"/>
        <v>202312</v>
      </c>
      <c r="B3234" s="5" t="str">
        <f>"23085030327"</f>
        <v>23085030327</v>
      </c>
      <c r="C3234" s="6">
        <v>118.5</v>
      </c>
      <c r="D3234" s="6">
        <v>91</v>
      </c>
      <c r="E3234" s="6">
        <v>209.5</v>
      </c>
      <c r="F3234" s="11"/>
    </row>
    <row r="3235" spans="1:6">
      <c r="A3235" s="5" t="str">
        <f t="shared" ref="A3235:A3298" si="57">"202312"</f>
        <v>202312</v>
      </c>
      <c r="B3235" s="5" t="str">
        <f>"23085030517"</f>
        <v>23085030517</v>
      </c>
      <c r="C3235" s="6">
        <v>94.5</v>
      </c>
      <c r="D3235" s="6">
        <v>114.5</v>
      </c>
      <c r="E3235" s="6">
        <v>209</v>
      </c>
      <c r="F3235" s="11"/>
    </row>
    <row r="3236" spans="1:6">
      <c r="A3236" s="5" t="str">
        <f t="shared" si="57"/>
        <v>202312</v>
      </c>
      <c r="B3236" s="5" t="str">
        <f>"23085024320"</f>
        <v>23085024320</v>
      </c>
      <c r="C3236" s="6">
        <v>96</v>
      </c>
      <c r="D3236" s="6">
        <v>112</v>
      </c>
      <c r="E3236" s="6">
        <v>208</v>
      </c>
      <c r="F3236" s="11"/>
    </row>
    <row r="3237" spans="1:6">
      <c r="A3237" s="5" t="str">
        <f t="shared" si="57"/>
        <v>202312</v>
      </c>
      <c r="B3237" s="5" t="str">
        <f>"23085024205"</f>
        <v>23085024205</v>
      </c>
      <c r="C3237" s="6">
        <v>91.5</v>
      </c>
      <c r="D3237" s="6">
        <v>116.5</v>
      </c>
      <c r="E3237" s="6">
        <v>208</v>
      </c>
      <c r="F3237" s="11"/>
    </row>
    <row r="3238" spans="1:6">
      <c r="A3238" s="5" t="str">
        <f t="shared" si="57"/>
        <v>202312</v>
      </c>
      <c r="B3238" s="5" t="str">
        <f>"23085024305"</f>
        <v>23085024305</v>
      </c>
      <c r="C3238" s="6">
        <v>91.5</v>
      </c>
      <c r="D3238" s="6">
        <v>115.5</v>
      </c>
      <c r="E3238" s="6">
        <v>207</v>
      </c>
      <c r="F3238" s="11"/>
    </row>
    <row r="3239" spans="1:6">
      <c r="A3239" s="5" t="str">
        <f t="shared" si="57"/>
        <v>202312</v>
      </c>
      <c r="B3239" s="5" t="str">
        <f>"23085030516"</f>
        <v>23085030516</v>
      </c>
      <c r="C3239" s="6">
        <v>90</v>
      </c>
      <c r="D3239" s="6">
        <v>117</v>
      </c>
      <c r="E3239" s="6">
        <v>207</v>
      </c>
      <c r="F3239" s="11"/>
    </row>
    <row r="3240" spans="1:6">
      <c r="A3240" s="5" t="str">
        <f t="shared" si="57"/>
        <v>202312</v>
      </c>
      <c r="B3240" s="5" t="str">
        <f>"23085024309"</f>
        <v>23085024309</v>
      </c>
      <c r="C3240" s="6">
        <v>99</v>
      </c>
      <c r="D3240" s="6">
        <v>107</v>
      </c>
      <c r="E3240" s="6">
        <v>206</v>
      </c>
      <c r="F3240" s="11"/>
    </row>
    <row r="3241" spans="1:6">
      <c r="A3241" s="5" t="str">
        <f t="shared" si="57"/>
        <v>202312</v>
      </c>
      <c r="B3241" s="5" t="str">
        <f>"23085024201"</f>
        <v>23085024201</v>
      </c>
      <c r="C3241" s="6">
        <v>85.5</v>
      </c>
      <c r="D3241" s="6">
        <v>120.5</v>
      </c>
      <c r="E3241" s="6">
        <v>206</v>
      </c>
      <c r="F3241" s="11"/>
    </row>
    <row r="3242" spans="1:6">
      <c r="A3242" s="5" t="str">
        <f t="shared" si="57"/>
        <v>202312</v>
      </c>
      <c r="B3242" s="5" t="str">
        <f>"23085024316"</f>
        <v>23085024316</v>
      </c>
      <c r="C3242" s="6">
        <v>88.5</v>
      </c>
      <c r="D3242" s="6">
        <v>117.5</v>
      </c>
      <c r="E3242" s="6">
        <v>206</v>
      </c>
      <c r="F3242" s="11"/>
    </row>
    <row r="3243" spans="1:6">
      <c r="A3243" s="5" t="str">
        <f t="shared" si="57"/>
        <v>202312</v>
      </c>
      <c r="B3243" s="5" t="str">
        <f>"23085030422"</f>
        <v>23085030422</v>
      </c>
      <c r="C3243" s="6">
        <v>91.5</v>
      </c>
      <c r="D3243" s="6">
        <v>114</v>
      </c>
      <c r="E3243" s="6">
        <v>205.5</v>
      </c>
      <c r="F3243" s="11"/>
    </row>
    <row r="3244" spans="1:6">
      <c r="A3244" s="5" t="str">
        <f t="shared" si="57"/>
        <v>202312</v>
      </c>
      <c r="B3244" s="5" t="str">
        <f>"23085030421"</f>
        <v>23085030421</v>
      </c>
      <c r="C3244" s="6">
        <v>94.5</v>
      </c>
      <c r="D3244" s="6">
        <v>111</v>
      </c>
      <c r="E3244" s="6">
        <v>205.5</v>
      </c>
      <c r="F3244" s="11"/>
    </row>
    <row r="3245" spans="1:6">
      <c r="A3245" s="5" t="str">
        <f t="shared" si="57"/>
        <v>202312</v>
      </c>
      <c r="B3245" s="5" t="str">
        <f>"23085030306"</f>
        <v>23085030306</v>
      </c>
      <c r="C3245" s="6">
        <v>96</v>
      </c>
      <c r="D3245" s="6">
        <v>109</v>
      </c>
      <c r="E3245" s="6">
        <v>205</v>
      </c>
      <c r="F3245" s="11"/>
    </row>
    <row r="3246" spans="1:6">
      <c r="A3246" s="5" t="str">
        <f t="shared" si="57"/>
        <v>202312</v>
      </c>
      <c r="B3246" s="5" t="str">
        <f>"23085030426"</f>
        <v>23085030426</v>
      </c>
      <c r="C3246" s="6">
        <v>105</v>
      </c>
      <c r="D3246" s="6">
        <v>100</v>
      </c>
      <c r="E3246" s="6">
        <v>205</v>
      </c>
      <c r="F3246" s="11"/>
    </row>
    <row r="3247" spans="1:6">
      <c r="A3247" s="5" t="str">
        <f t="shared" si="57"/>
        <v>202312</v>
      </c>
      <c r="B3247" s="5" t="str">
        <f>"23085030214"</f>
        <v>23085030214</v>
      </c>
      <c r="C3247" s="6">
        <v>97.5</v>
      </c>
      <c r="D3247" s="6">
        <v>107.5</v>
      </c>
      <c r="E3247" s="6">
        <v>205</v>
      </c>
      <c r="F3247" s="11"/>
    </row>
    <row r="3248" spans="1:6">
      <c r="A3248" s="5" t="str">
        <f t="shared" si="57"/>
        <v>202312</v>
      </c>
      <c r="B3248" s="5" t="str">
        <f>"23085030213"</f>
        <v>23085030213</v>
      </c>
      <c r="C3248" s="6">
        <v>88.5</v>
      </c>
      <c r="D3248" s="6">
        <v>116.5</v>
      </c>
      <c r="E3248" s="6">
        <v>205</v>
      </c>
      <c r="F3248" s="11"/>
    </row>
    <row r="3249" spans="1:6">
      <c r="A3249" s="5" t="str">
        <f t="shared" si="57"/>
        <v>202312</v>
      </c>
      <c r="B3249" s="5" t="str">
        <f>"23085024227"</f>
        <v>23085024227</v>
      </c>
      <c r="C3249" s="6">
        <v>99</v>
      </c>
      <c r="D3249" s="6">
        <v>106</v>
      </c>
      <c r="E3249" s="6">
        <v>205</v>
      </c>
      <c r="F3249" s="11"/>
    </row>
    <row r="3250" spans="1:6">
      <c r="A3250" s="5" t="str">
        <f t="shared" si="57"/>
        <v>202312</v>
      </c>
      <c r="B3250" s="5" t="str">
        <f>"23085030316"</f>
        <v>23085030316</v>
      </c>
      <c r="C3250" s="6">
        <v>93</v>
      </c>
      <c r="D3250" s="6">
        <v>111.5</v>
      </c>
      <c r="E3250" s="6">
        <v>204.5</v>
      </c>
      <c r="F3250" s="11"/>
    </row>
    <row r="3251" spans="1:6">
      <c r="A3251" s="5" t="str">
        <f t="shared" si="57"/>
        <v>202312</v>
      </c>
      <c r="B3251" s="5" t="str">
        <f>"23085030407"</f>
        <v>23085030407</v>
      </c>
      <c r="C3251" s="6">
        <v>94.5</v>
      </c>
      <c r="D3251" s="6">
        <v>110</v>
      </c>
      <c r="E3251" s="6">
        <v>204.5</v>
      </c>
      <c r="F3251" s="11"/>
    </row>
    <row r="3252" spans="1:6">
      <c r="A3252" s="5" t="str">
        <f t="shared" si="57"/>
        <v>202312</v>
      </c>
      <c r="B3252" s="5" t="str">
        <f>"23085030210"</f>
        <v>23085030210</v>
      </c>
      <c r="C3252" s="6">
        <v>88.5</v>
      </c>
      <c r="D3252" s="6">
        <v>115.5</v>
      </c>
      <c r="E3252" s="6">
        <v>204</v>
      </c>
      <c r="F3252" s="11"/>
    </row>
    <row r="3253" spans="1:6">
      <c r="A3253" s="5" t="str">
        <f t="shared" si="57"/>
        <v>202312</v>
      </c>
      <c r="B3253" s="5" t="str">
        <f>"23085030413"</f>
        <v>23085030413</v>
      </c>
      <c r="C3253" s="6">
        <v>91.5</v>
      </c>
      <c r="D3253" s="6">
        <v>112</v>
      </c>
      <c r="E3253" s="6">
        <v>203.5</v>
      </c>
      <c r="F3253" s="11"/>
    </row>
    <row r="3254" spans="1:6">
      <c r="A3254" s="5" t="str">
        <f t="shared" si="57"/>
        <v>202312</v>
      </c>
      <c r="B3254" s="5" t="str">
        <f>"23085024321"</f>
        <v>23085024321</v>
      </c>
      <c r="C3254" s="6">
        <v>90</v>
      </c>
      <c r="D3254" s="6">
        <v>113</v>
      </c>
      <c r="E3254" s="6">
        <v>203</v>
      </c>
      <c r="F3254" s="11"/>
    </row>
    <row r="3255" spans="1:6">
      <c r="A3255" s="5" t="str">
        <f t="shared" si="57"/>
        <v>202312</v>
      </c>
      <c r="B3255" s="5" t="str">
        <f>"23085030114"</f>
        <v>23085030114</v>
      </c>
      <c r="C3255" s="6">
        <v>99</v>
      </c>
      <c r="D3255" s="6">
        <v>104</v>
      </c>
      <c r="E3255" s="6">
        <v>203</v>
      </c>
      <c r="F3255" s="11"/>
    </row>
    <row r="3256" spans="1:6">
      <c r="A3256" s="5" t="str">
        <f t="shared" si="57"/>
        <v>202312</v>
      </c>
      <c r="B3256" s="5" t="str">
        <f>"23085024306"</f>
        <v>23085024306</v>
      </c>
      <c r="C3256" s="6">
        <v>91.5</v>
      </c>
      <c r="D3256" s="6">
        <v>111</v>
      </c>
      <c r="E3256" s="6">
        <v>202.5</v>
      </c>
      <c r="F3256" s="11"/>
    </row>
    <row r="3257" spans="1:6">
      <c r="A3257" s="5" t="str">
        <f t="shared" si="57"/>
        <v>202312</v>
      </c>
      <c r="B3257" s="5" t="str">
        <f>"23085024221"</f>
        <v>23085024221</v>
      </c>
      <c r="C3257" s="6">
        <v>88.5</v>
      </c>
      <c r="D3257" s="6">
        <v>113.5</v>
      </c>
      <c r="E3257" s="6">
        <v>202</v>
      </c>
      <c r="F3257" s="11"/>
    </row>
    <row r="3258" spans="1:6">
      <c r="A3258" s="5" t="str">
        <f t="shared" si="57"/>
        <v>202312</v>
      </c>
      <c r="B3258" s="5" t="str">
        <f>"23085024315"</f>
        <v>23085024315</v>
      </c>
      <c r="C3258" s="6">
        <v>96</v>
      </c>
      <c r="D3258" s="6">
        <v>105.5</v>
      </c>
      <c r="E3258" s="6">
        <v>201.5</v>
      </c>
      <c r="F3258" s="11"/>
    </row>
    <row r="3259" spans="1:6">
      <c r="A3259" s="5" t="str">
        <f t="shared" si="57"/>
        <v>202312</v>
      </c>
      <c r="B3259" s="5" t="str">
        <f>"23085024304"</f>
        <v>23085024304</v>
      </c>
      <c r="C3259" s="6">
        <v>94.5</v>
      </c>
      <c r="D3259" s="6">
        <v>106.5</v>
      </c>
      <c r="E3259" s="6">
        <v>201</v>
      </c>
      <c r="F3259" s="11"/>
    </row>
    <row r="3260" spans="1:6">
      <c r="A3260" s="5" t="str">
        <f t="shared" si="57"/>
        <v>202312</v>
      </c>
      <c r="B3260" s="5" t="str">
        <f>"23085030130"</f>
        <v>23085030130</v>
      </c>
      <c r="C3260" s="6">
        <v>97.5</v>
      </c>
      <c r="D3260" s="6">
        <v>102.5</v>
      </c>
      <c r="E3260" s="6">
        <v>200</v>
      </c>
      <c r="F3260" s="11"/>
    </row>
    <row r="3261" spans="1:6">
      <c r="A3261" s="5" t="str">
        <f t="shared" si="57"/>
        <v>202312</v>
      </c>
      <c r="B3261" s="5" t="str">
        <f>"23085030418"</f>
        <v>23085030418</v>
      </c>
      <c r="C3261" s="6">
        <v>97.5</v>
      </c>
      <c r="D3261" s="6">
        <v>102.5</v>
      </c>
      <c r="E3261" s="6">
        <v>200</v>
      </c>
      <c r="F3261" s="11"/>
    </row>
    <row r="3262" spans="1:6">
      <c r="A3262" s="5" t="str">
        <f t="shared" si="57"/>
        <v>202312</v>
      </c>
      <c r="B3262" s="5" t="str">
        <f>"23085030112"</f>
        <v>23085030112</v>
      </c>
      <c r="C3262" s="6">
        <v>94.5</v>
      </c>
      <c r="D3262" s="6">
        <v>105.5</v>
      </c>
      <c r="E3262" s="6">
        <v>200</v>
      </c>
      <c r="F3262" s="11"/>
    </row>
    <row r="3263" spans="1:6">
      <c r="A3263" s="5" t="str">
        <f t="shared" si="57"/>
        <v>202312</v>
      </c>
      <c r="B3263" s="5" t="str">
        <f>"23085024210"</f>
        <v>23085024210</v>
      </c>
      <c r="C3263" s="6">
        <v>82.5</v>
      </c>
      <c r="D3263" s="6">
        <v>117</v>
      </c>
      <c r="E3263" s="6">
        <v>199.5</v>
      </c>
      <c r="F3263" s="11"/>
    </row>
    <row r="3264" spans="1:6">
      <c r="A3264" s="5" t="str">
        <f t="shared" si="57"/>
        <v>202312</v>
      </c>
      <c r="B3264" s="5" t="str">
        <f>"23085030124"</f>
        <v>23085030124</v>
      </c>
      <c r="C3264" s="6">
        <v>85.5</v>
      </c>
      <c r="D3264" s="6">
        <v>113.5</v>
      </c>
      <c r="E3264" s="6">
        <v>199</v>
      </c>
      <c r="F3264" s="11"/>
    </row>
    <row r="3265" spans="1:6">
      <c r="A3265" s="5" t="str">
        <f t="shared" si="57"/>
        <v>202312</v>
      </c>
      <c r="B3265" s="5" t="str">
        <f>"23085024323"</f>
        <v>23085024323</v>
      </c>
      <c r="C3265" s="6">
        <v>91.5</v>
      </c>
      <c r="D3265" s="6">
        <v>107</v>
      </c>
      <c r="E3265" s="6">
        <v>198.5</v>
      </c>
      <c r="F3265" s="11"/>
    </row>
    <row r="3266" spans="1:6">
      <c r="A3266" s="5" t="str">
        <f t="shared" si="57"/>
        <v>202312</v>
      </c>
      <c r="B3266" s="5" t="str">
        <f>"23085030123"</f>
        <v>23085030123</v>
      </c>
      <c r="C3266" s="6">
        <v>81</v>
      </c>
      <c r="D3266" s="6">
        <v>117</v>
      </c>
      <c r="E3266" s="6">
        <v>198</v>
      </c>
      <c r="F3266" s="11"/>
    </row>
    <row r="3267" spans="1:6">
      <c r="A3267" s="5" t="str">
        <f t="shared" si="57"/>
        <v>202312</v>
      </c>
      <c r="B3267" s="5" t="str">
        <f>"23085024208"</f>
        <v>23085024208</v>
      </c>
      <c r="C3267" s="6">
        <v>78</v>
      </c>
      <c r="D3267" s="6">
        <v>120</v>
      </c>
      <c r="E3267" s="6">
        <v>198</v>
      </c>
      <c r="F3267" s="11"/>
    </row>
    <row r="3268" spans="1:6">
      <c r="A3268" s="5" t="str">
        <f t="shared" si="57"/>
        <v>202312</v>
      </c>
      <c r="B3268" s="5" t="str">
        <f>"23085024327"</f>
        <v>23085024327</v>
      </c>
      <c r="C3268" s="6">
        <v>82.5</v>
      </c>
      <c r="D3268" s="6">
        <v>115</v>
      </c>
      <c r="E3268" s="6">
        <v>197.5</v>
      </c>
      <c r="F3268" s="11"/>
    </row>
    <row r="3269" spans="1:6">
      <c r="A3269" s="5" t="str">
        <f t="shared" si="57"/>
        <v>202312</v>
      </c>
      <c r="B3269" s="5" t="str">
        <f>"23085030329"</f>
        <v>23085030329</v>
      </c>
      <c r="C3269" s="6">
        <v>82.5</v>
      </c>
      <c r="D3269" s="6">
        <v>114</v>
      </c>
      <c r="E3269" s="6">
        <v>196.5</v>
      </c>
      <c r="F3269" s="11"/>
    </row>
    <row r="3270" spans="1:6">
      <c r="A3270" s="5" t="str">
        <f t="shared" si="57"/>
        <v>202312</v>
      </c>
      <c r="B3270" s="5" t="str">
        <f>"23085030121"</f>
        <v>23085030121</v>
      </c>
      <c r="C3270" s="6">
        <v>85.5</v>
      </c>
      <c r="D3270" s="6">
        <v>110.5</v>
      </c>
      <c r="E3270" s="6">
        <v>196</v>
      </c>
      <c r="F3270" s="11"/>
    </row>
    <row r="3271" spans="1:6">
      <c r="A3271" s="5" t="str">
        <f t="shared" si="57"/>
        <v>202312</v>
      </c>
      <c r="B3271" s="5" t="str">
        <f>"23085030420"</f>
        <v>23085030420</v>
      </c>
      <c r="C3271" s="6">
        <v>87</v>
      </c>
      <c r="D3271" s="6">
        <v>109</v>
      </c>
      <c r="E3271" s="6">
        <v>196</v>
      </c>
      <c r="F3271" s="11"/>
    </row>
    <row r="3272" spans="1:6">
      <c r="A3272" s="5" t="str">
        <f t="shared" si="57"/>
        <v>202312</v>
      </c>
      <c r="B3272" s="5" t="str">
        <f>"23085030116"</f>
        <v>23085030116</v>
      </c>
      <c r="C3272" s="6">
        <v>84</v>
      </c>
      <c r="D3272" s="6">
        <v>112</v>
      </c>
      <c r="E3272" s="6">
        <v>196</v>
      </c>
      <c r="F3272" s="11"/>
    </row>
    <row r="3273" spans="1:6">
      <c r="A3273" s="5" t="str">
        <f t="shared" si="57"/>
        <v>202312</v>
      </c>
      <c r="B3273" s="5" t="str">
        <f>"23085030503"</f>
        <v>23085030503</v>
      </c>
      <c r="C3273" s="6">
        <v>90</v>
      </c>
      <c r="D3273" s="6">
        <v>105.5</v>
      </c>
      <c r="E3273" s="6">
        <v>195.5</v>
      </c>
      <c r="F3273" s="11"/>
    </row>
    <row r="3274" spans="1:6">
      <c r="A3274" s="5" t="str">
        <f t="shared" si="57"/>
        <v>202312</v>
      </c>
      <c r="B3274" s="5" t="str">
        <f>"23085030107"</f>
        <v>23085030107</v>
      </c>
      <c r="C3274" s="6">
        <v>82.5</v>
      </c>
      <c r="D3274" s="6">
        <v>113</v>
      </c>
      <c r="E3274" s="6">
        <v>195.5</v>
      </c>
      <c r="F3274" s="11"/>
    </row>
    <row r="3275" spans="1:6">
      <c r="A3275" s="5" t="str">
        <f t="shared" si="57"/>
        <v>202312</v>
      </c>
      <c r="B3275" s="5" t="str">
        <f>"23085024326"</f>
        <v>23085024326</v>
      </c>
      <c r="C3275" s="6">
        <v>76.5</v>
      </c>
      <c r="D3275" s="6">
        <v>118</v>
      </c>
      <c r="E3275" s="6">
        <v>194.5</v>
      </c>
      <c r="F3275" s="11"/>
    </row>
    <row r="3276" spans="1:6">
      <c r="A3276" s="5" t="str">
        <f t="shared" si="57"/>
        <v>202312</v>
      </c>
      <c r="B3276" s="5" t="str">
        <f>"23085030129"</f>
        <v>23085030129</v>
      </c>
      <c r="C3276" s="6">
        <v>78</v>
      </c>
      <c r="D3276" s="6">
        <v>116</v>
      </c>
      <c r="E3276" s="6">
        <v>194</v>
      </c>
      <c r="F3276" s="11"/>
    </row>
    <row r="3277" spans="1:6">
      <c r="A3277" s="5" t="str">
        <f t="shared" si="57"/>
        <v>202312</v>
      </c>
      <c r="B3277" s="5" t="str">
        <f>"23085024308"</f>
        <v>23085024308</v>
      </c>
      <c r="C3277" s="6">
        <v>76.5</v>
      </c>
      <c r="D3277" s="6">
        <v>117</v>
      </c>
      <c r="E3277" s="6">
        <v>193.5</v>
      </c>
      <c r="F3277" s="11"/>
    </row>
    <row r="3278" spans="1:6">
      <c r="A3278" s="5" t="str">
        <f t="shared" si="57"/>
        <v>202312</v>
      </c>
      <c r="B3278" s="5" t="str">
        <f>"23085030303"</f>
        <v>23085030303</v>
      </c>
      <c r="C3278" s="6">
        <v>87</v>
      </c>
      <c r="D3278" s="6">
        <v>106.5</v>
      </c>
      <c r="E3278" s="6">
        <v>193.5</v>
      </c>
      <c r="F3278" s="11"/>
    </row>
    <row r="3279" spans="1:6">
      <c r="A3279" s="5" t="str">
        <f t="shared" si="57"/>
        <v>202312</v>
      </c>
      <c r="B3279" s="5" t="str">
        <f>"23085024224"</f>
        <v>23085024224</v>
      </c>
      <c r="C3279" s="6">
        <v>87</v>
      </c>
      <c r="D3279" s="6">
        <v>106.5</v>
      </c>
      <c r="E3279" s="6">
        <v>193.5</v>
      </c>
      <c r="F3279" s="11"/>
    </row>
    <row r="3280" spans="1:6">
      <c r="A3280" s="5" t="str">
        <f t="shared" si="57"/>
        <v>202312</v>
      </c>
      <c r="B3280" s="5" t="str">
        <f>"23085030502"</f>
        <v>23085030502</v>
      </c>
      <c r="C3280" s="6">
        <v>114</v>
      </c>
      <c r="D3280" s="6">
        <v>79</v>
      </c>
      <c r="E3280" s="6">
        <v>193</v>
      </c>
      <c r="F3280" s="11"/>
    </row>
    <row r="3281" spans="1:6">
      <c r="A3281" s="5" t="str">
        <f t="shared" si="57"/>
        <v>202312</v>
      </c>
      <c r="B3281" s="5" t="str">
        <f>"23085030203"</f>
        <v>23085030203</v>
      </c>
      <c r="C3281" s="6">
        <v>72</v>
      </c>
      <c r="D3281" s="6">
        <v>120.5</v>
      </c>
      <c r="E3281" s="6">
        <v>192.5</v>
      </c>
      <c r="F3281" s="11"/>
    </row>
    <row r="3282" spans="1:6">
      <c r="A3282" s="5" t="str">
        <f t="shared" si="57"/>
        <v>202312</v>
      </c>
      <c r="B3282" s="5" t="str">
        <f>"23085024319"</f>
        <v>23085024319</v>
      </c>
      <c r="C3282" s="6">
        <v>84</v>
      </c>
      <c r="D3282" s="6">
        <v>108.5</v>
      </c>
      <c r="E3282" s="6">
        <v>192.5</v>
      </c>
      <c r="F3282" s="11"/>
    </row>
    <row r="3283" spans="1:6">
      <c r="A3283" s="5" t="str">
        <f t="shared" si="57"/>
        <v>202312</v>
      </c>
      <c r="B3283" s="5" t="str">
        <f>"23085030414"</f>
        <v>23085030414</v>
      </c>
      <c r="C3283" s="6">
        <v>79.5</v>
      </c>
      <c r="D3283" s="6">
        <v>113</v>
      </c>
      <c r="E3283" s="6">
        <v>192.5</v>
      </c>
      <c r="F3283" s="11"/>
    </row>
    <row r="3284" spans="1:6">
      <c r="A3284" s="5" t="str">
        <f t="shared" si="57"/>
        <v>202312</v>
      </c>
      <c r="B3284" s="5" t="str">
        <f>"23085030202"</f>
        <v>23085030202</v>
      </c>
      <c r="C3284" s="6">
        <v>81</v>
      </c>
      <c r="D3284" s="6">
        <v>111.5</v>
      </c>
      <c r="E3284" s="6">
        <v>192.5</v>
      </c>
      <c r="F3284" s="11"/>
    </row>
    <row r="3285" spans="1:6">
      <c r="A3285" s="5" t="str">
        <f t="shared" si="57"/>
        <v>202312</v>
      </c>
      <c r="B3285" s="5" t="str">
        <f>"23085024120"</f>
        <v>23085024120</v>
      </c>
      <c r="C3285" s="6">
        <v>76.5</v>
      </c>
      <c r="D3285" s="6">
        <v>114.5</v>
      </c>
      <c r="E3285" s="6">
        <v>191</v>
      </c>
      <c r="F3285" s="11"/>
    </row>
    <row r="3286" spans="1:6">
      <c r="A3286" s="5" t="str">
        <f t="shared" si="57"/>
        <v>202312</v>
      </c>
      <c r="B3286" s="5" t="str">
        <f>"23085030505"</f>
        <v>23085030505</v>
      </c>
      <c r="C3286" s="6">
        <v>81</v>
      </c>
      <c r="D3286" s="6">
        <v>109.5</v>
      </c>
      <c r="E3286" s="6">
        <v>190.5</v>
      </c>
      <c r="F3286" s="11"/>
    </row>
    <row r="3287" spans="1:6">
      <c r="A3287" s="5" t="str">
        <f t="shared" si="57"/>
        <v>202312</v>
      </c>
      <c r="B3287" s="5" t="str">
        <f>"23085030120"</f>
        <v>23085030120</v>
      </c>
      <c r="C3287" s="6">
        <v>75</v>
      </c>
      <c r="D3287" s="6">
        <v>114.5</v>
      </c>
      <c r="E3287" s="6">
        <v>189.5</v>
      </c>
      <c r="F3287" s="11"/>
    </row>
    <row r="3288" spans="1:6">
      <c r="A3288" s="5" t="str">
        <f t="shared" si="57"/>
        <v>202312</v>
      </c>
      <c r="B3288" s="5" t="str">
        <f>"23085030401"</f>
        <v>23085030401</v>
      </c>
      <c r="C3288" s="6">
        <v>90</v>
      </c>
      <c r="D3288" s="6">
        <v>99.5</v>
      </c>
      <c r="E3288" s="6">
        <v>189.5</v>
      </c>
      <c r="F3288" s="11"/>
    </row>
    <row r="3289" spans="1:6">
      <c r="A3289" s="5" t="str">
        <f t="shared" si="57"/>
        <v>202312</v>
      </c>
      <c r="B3289" s="5" t="str">
        <f>"23085024312"</f>
        <v>23085024312</v>
      </c>
      <c r="C3289" s="6">
        <v>72</v>
      </c>
      <c r="D3289" s="6">
        <v>116</v>
      </c>
      <c r="E3289" s="6">
        <v>188</v>
      </c>
      <c r="F3289" s="11"/>
    </row>
    <row r="3290" spans="1:6">
      <c r="A3290" s="5" t="str">
        <f t="shared" si="57"/>
        <v>202312</v>
      </c>
      <c r="B3290" s="5" t="str">
        <f>"23085030411"</f>
        <v>23085030411</v>
      </c>
      <c r="C3290" s="6">
        <v>82.5</v>
      </c>
      <c r="D3290" s="6">
        <v>104.5</v>
      </c>
      <c r="E3290" s="6">
        <v>187</v>
      </c>
      <c r="F3290" s="11"/>
    </row>
    <row r="3291" spans="1:6">
      <c r="A3291" s="5" t="str">
        <f t="shared" si="57"/>
        <v>202312</v>
      </c>
      <c r="B3291" s="5" t="str">
        <f>"23085030409"</f>
        <v>23085030409</v>
      </c>
      <c r="C3291" s="6">
        <v>76.5</v>
      </c>
      <c r="D3291" s="6">
        <v>109</v>
      </c>
      <c r="E3291" s="6">
        <v>185.5</v>
      </c>
      <c r="F3291" s="11"/>
    </row>
    <row r="3292" spans="1:6">
      <c r="A3292" s="5" t="str">
        <f t="shared" si="57"/>
        <v>202312</v>
      </c>
      <c r="B3292" s="5" t="str">
        <f>"23085030324"</f>
        <v>23085030324</v>
      </c>
      <c r="C3292" s="6">
        <v>85.5</v>
      </c>
      <c r="D3292" s="6">
        <v>99.5</v>
      </c>
      <c r="E3292" s="6">
        <v>185</v>
      </c>
      <c r="F3292" s="11"/>
    </row>
    <row r="3293" spans="1:6">
      <c r="A3293" s="5" t="str">
        <f t="shared" si="57"/>
        <v>202312</v>
      </c>
      <c r="B3293" s="5" t="str">
        <f>"23085030425"</f>
        <v>23085030425</v>
      </c>
      <c r="C3293" s="6">
        <v>72</v>
      </c>
      <c r="D3293" s="6">
        <v>113</v>
      </c>
      <c r="E3293" s="6">
        <v>185</v>
      </c>
      <c r="F3293" s="11"/>
    </row>
    <row r="3294" spans="1:6">
      <c r="A3294" s="5" t="str">
        <f t="shared" si="57"/>
        <v>202312</v>
      </c>
      <c r="B3294" s="5" t="str">
        <f>"23085024313"</f>
        <v>23085024313</v>
      </c>
      <c r="C3294" s="6">
        <v>66</v>
      </c>
      <c r="D3294" s="6">
        <v>117</v>
      </c>
      <c r="E3294" s="6">
        <v>183</v>
      </c>
      <c r="F3294" s="11"/>
    </row>
    <row r="3295" spans="1:6">
      <c r="A3295" s="5" t="str">
        <f t="shared" si="57"/>
        <v>202312</v>
      </c>
      <c r="B3295" s="5" t="str">
        <f>"23085030230"</f>
        <v>23085030230</v>
      </c>
      <c r="C3295" s="6">
        <v>69</v>
      </c>
      <c r="D3295" s="6">
        <v>114</v>
      </c>
      <c r="E3295" s="6">
        <v>183</v>
      </c>
      <c r="F3295" s="11"/>
    </row>
    <row r="3296" spans="1:6">
      <c r="A3296" s="5" t="str">
        <f t="shared" si="57"/>
        <v>202312</v>
      </c>
      <c r="B3296" s="5" t="str">
        <f>"23085030330"</f>
        <v>23085030330</v>
      </c>
      <c r="C3296" s="6">
        <v>67.5</v>
      </c>
      <c r="D3296" s="6">
        <v>114.5</v>
      </c>
      <c r="E3296" s="6">
        <v>182</v>
      </c>
      <c r="F3296" s="11"/>
    </row>
    <row r="3297" spans="1:6">
      <c r="A3297" s="5" t="str">
        <f t="shared" si="57"/>
        <v>202312</v>
      </c>
      <c r="B3297" s="5" t="str">
        <f>"23085024128"</f>
        <v>23085024128</v>
      </c>
      <c r="C3297" s="6">
        <v>66</v>
      </c>
      <c r="D3297" s="6">
        <v>115.5</v>
      </c>
      <c r="E3297" s="6">
        <v>181.5</v>
      </c>
      <c r="F3297" s="11"/>
    </row>
    <row r="3298" spans="1:6">
      <c r="A3298" s="5" t="str">
        <f t="shared" si="57"/>
        <v>202312</v>
      </c>
      <c r="B3298" s="5" t="str">
        <f>"23085030412"</f>
        <v>23085030412</v>
      </c>
      <c r="C3298" s="6">
        <v>78</v>
      </c>
      <c r="D3298" s="6">
        <v>103.5</v>
      </c>
      <c r="E3298" s="6">
        <v>181.5</v>
      </c>
      <c r="F3298" s="11"/>
    </row>
    <row r="3299" spans="1:6">
      <c r="A3299" s="5" t="str">
        <f t="shared" ref="A3299:A3362" si="58">"202312"</f>
        <v>202312</v>
      </c>
      <c r="B3299" s="5" t="str">
        <f>"23085024226"</f>
        <v>23085024226</v>
      </c>
      <c r="C3299" s="6">
        <v>73.5</v>
      </c>
      <c r="D3299" s="6">
        <v>108</v>
      </c>
      <c r="E3299" s="6">
        <v>181.5</v>
      </c>
      <c r="F3299" s="11"/>
    </row>
    <row r="3300" spans="1:6">
      <c r="A3300" s="5" t="str">
        <f t="shared" si="58"/>
        <v>202312</v>
      </c>
      <c r="B3300" s="5" t="str">
        <f>"23085030328"</f>
        <v>23085030328</v>
      </c>
      <c r="C3300" s="6">
        <v>79.5</v>
      </c>
      <c r="D3300" s="6">
        <v>101</v>
      </c>
      <c r="E3300" s="6">
        <v>180.5</v>
      </c>
      <c r="F3300" s="11"/>
    </row>
    <row r="3301" spans="1:6">
      <c r="A3301" s="5" t="str">
        <f t="shared" si="58"/>
        <v>202312</v>
      </c>
      <c r="B3301" s="5" t="str">
        <f>"23085030322"</f>
        <v>23085030322</v>
      </c>
      <c r="C3301" s="6">
        <v>82.5</v>
      </c>
      <c r="D3301" s="6">
        <v>97.5</v>
      </c>
      <c r="E3301" s="6">
        <v>180</v>
      </c>
      <c r="F3301" s="11"/>
    </row>
    <row r="3302" spans="1:6">
      <c r="A3302" s="5" t="str">
        <f t="shared" si="58"/>
        <v>202312</v>
      </c>
      <c r="B3302" s="5" t="str">
        <f>"23085024121"</f>
        <v>23085024121</v>
      </c>
      <c r="C3302" s="6">
        <v>90</v>
      </c>
      <c r="D3302" s="6">
        <v>88.5</v>
      </c>
      <c r="E3302" s="6">
        <v>178.5</v>
      </c>
      <c r="F3302" s="11"/>
    </row>
    <row r="3303" spans="1:6">
      <c r="A3303" s="5" t="str">
        <f t="shared" si="58"/>
        <v>202312</v>
      </c>
      <c r="B3303" s="5" t="str">
        <f>"23085024314"</f>
        <v>23085024314</v>
      </c>
      <c r="C3303" s="6">
        <v>81</v>
      </c>
      <c r="D3303" s="6">
        <v>97.5</v>
      </c>
      <c r="E3303" s="6">
        <v>178.5</v>
      </c>
      <c r="F3303" s="11"/>
    </row>
    <row r="3304" spans="1:6">
      <c r="A3304" s="5" t="str">
        <f t="shared" si="58"/>
        <v>202312</v>
      </c>
      <c r="B3304" s="5" t="str">
        <f>"23085030122"</f>
        <v>23085030122</v>
      </c>
      <c r="C3304" s="6">
        <v>87</v>
      </c>
      <c r="D3304" s="6">
        <v>90.5</v>
      </c>
      <c r="E3304" s="6">
        <v>177.5</v>
      </c>
      <c r="F3304" s="11"/>
    </row>
    <row r="3305" spans="1:6">
      <c r="A3305" s="5" t="str">
        <f t="shared" si="58"/>
        <v>202312</v>
      </c>
      <c r="B3305" s="5" t="str">
        <f>"23085030314"</f>
        <v>23085030314</v>
      </c>
      <c r="C3305" s="6">
        <v>67.5</v>
      </c>
      <c r="D3305" s="6">
        <v>109</v>
      </c>
      <c r="E3305" s="6">
        <v>176.5</v>
      </c>
      <c r="F3305" s="11"/>
    </row>
    <row r="3306" spans="1:6">
      <c r="A3306" s="5" t="str">
        <f t="shared" si="58"/>
        <v>202312</v>
      </c>
      <c r="B3306" s="5" t="str">
        <f>"23085030429"</f>
        <v>23085030429</v>
      </c>
      <c r="C3306" s="6">
        <v>81</v>
      </c>
      <c r="D3306" s="6">
        <v>95</v>
      </c>
      <c r="E3306" s="6">
        <v>176</v>
      </c>
      <c r="F3306" s="11"/>
    </row>
    <row r="3307" spans="1:6">
      <c r="A3307" s="5" t="str">
        <f t="shared" si="58"/>
        <v>202312</v>
      </c>
      <c r="B3307" s="5" t="str">
        <f>"23085030408"</f>
        <v>23085030408</v>
      </c>
      <c r="C3307" s="6">
        <v>70.5</v>
      </c>
      <c r="D3307" s="6">
        <v>105.5</v>
      </c>
      <c r="E3307" s="6">
        <v>176</v>
      </c>
      <c r="F3307" s="11"/>
    </row>
    <row r="3308" spans="1:6">
      <c r="A3308" s="5" t="str">
        <f t="shared" si="58"/>
        <v>202312</v>
      </c>
      <c r="B3308" s="5" t="str">
        <f>"23085030207"</f>
        <v>23085030207</v>
      </c>
      <c r="C3308" s="6">
        <v>64.5</v>
      </c>
      <c r="D3308" s="6">
        <v>111</v>
      </c>
      <c r="E3308" s="6">
        <v>175.5</v>
      </c>
      <c r="F3308" s="11"/>
    </row>
    <row r="3309" spans="1:6">
      <c r="A3309" s="5" t="str">
        <f t="shared" si="58"/>
        <v>202312</v>
      </c>
      <c r="B3309" s="5" t="str">
        <f>"23085030128"</f>
        <v>23085030128</v>
      </c>
      <c r="C3309" s="6">
        <v>69</v>
      </c>
      <c r="D3309" s="6">
        <v>104.5</v>
      </c>
      <c r="E3309" s="6">
        <v>173.5</v>
      </c>
      <c r="F3309" s="11"/>
    </row>
    <row r="3310" spans="1:6">
      <c r="A3310" s="5" t="str">
        <f t="shared" si="58"/>
        <v>202312</v>
      </c>
      <c r="B3310" s="5" t="str">
        <f>"23085030215"</f>
        <v>23085030215</v>
      </c>
      <c r="C3310" s="6">
        <v>60</v>
      </c>
      <c r="D3310" s="6">
        <v>109.5</v>
      </c>
      <c r="E3310" s="6">
        <v>169.5</v>
      </c>
      <c r="F3310" s="11"/>
    </row>
    <row r="3311" spans="1:6">
      <c r="A3311" s="5" t="str">
        <f t="shared" si="58"/>
        <v>202312</v>
      </c>
      <c r="B3311" s="5" t="str">
        <f>"23085030109"</f>
        <v>23085030109</v>
      </c>
      <c r="C3311" s="6">
        <v>75</v>
      </c>
      <c r="D3311" s="6">
        <v>94</v>
      </c>
      <c r="E3311" s="6">
        <v>169</v>
      </c>
      <c r="F3311" s="11"/>
    </row>
    <row r="3312" spans="1:6">
      <c r="A3312" s="5" t="str">
        <f t="shared" si="58"/>
        <v>202312</v>
      </c>
      <c r="B3312" s="5" t="str">
        <f>"23085030514"</f>
        <v>23085030514</v>
      </c>
      <c r="C3312" s="6">
        <v>94.5</v>
      </c>
      <c r="D3312" s="6">
        <v>73.5</v>
      </c>
      <c r="E3312" s="6">
        <v>168</v>
      </c>
      <c r="F3312" s="11"/>
    </row>
    <row r="3313" spans="1:6">
      <c r="A3313" s="5" t="str">
        <f t="shared" si="58"/>
        <v>202312</v>
      </c>
      <c r="B3313" s="5" t="str">
        <f>"23085030312"</f>
        <v>23085030312</v>
      </c>
      <c r="C3313" s="6">
        <v>66</v>
      </c>
      <c r="D3313" s="6">
        <v>101.5</v>
      </c>
      <c r="E3313" s="6">
        <v>167.5</v>
      </c>
      <c r="F3313" s="11"/>
    </row>
    <row r="3314" spans="1:6">
      <c r="A3314" s="5" t="str">
        <f t="shared" si="58"/>
        <v>202312</v>
      </c>
      <c r="B3314" s="5" t="str">
        <f>"23085030308"</f>
        <v>23085030308</v>
      </c>
      <c r="C3314" s="6">
        <v>67.5</v>
      </c>
      <c r="D3314" s="6">
        <v>99</v>
      </c>
      <c r="E3314" s="6">
        <v>166.5</v>
      </c>
      <c r="F3314" s="11"/>
    </row>
    <row r="3315" spans="1:6">
      <c r="A3315" s="5" t="str">
        <f t="shared" si="58"/>
        <v>202312</v>
      </c>
      <c r="B3315" s="5" t="str">
        <f>"23085030102"</f>
        <v>23085030102</v>
      </c>
      <c r="C3315" s="6">
        <v>57</v>
      </c>
      <c r="D3315" s="6">
        <v>107.5</v>
      </c>
      <c r="E3315" s="6">
        <v>164.5</v>
      </c>
      <c r="F3315" s="11"/>
    </row>
    <row r="3316" spans="1:6">
      <c r="A3316" s="5" t="str">
        <f t="shared" si="58"/>
        <v>202312</v>
      </c>
      <c r="B3316" s="5" t="str">
        <f>"23085030424"</f>
        <v>23085030424</v>
      </c>
      <c r="C3316" s="6">
        <v>52.5</v>
      </c>
      <c r="D3316" s="6">
        <v>108</v>
      </c>
      <c r="E3316" s="6">
        <v>160.5</v>
      </c>
      <c r="F3316" s="11"/>
    </row>
    <row r="3317" spans="1:6">
      <c r="A3317" s="5" t="str">
        <f t="shared" si="58"/>
        <v>202312</v>
      </c>
      <c r="B3317" s="5" t="str">
        <f>"23085030218"</f>
        <v>23085030218</v>
      </c>
      <c r="C3317" s="6">
        <v>51</v>
      </c>
      <c r="D3317" s="6">
        <v>105</v>
      </c>
      <c r="E3317" s="6">
        <v>156</v>
      </c>
      <c r="F3317" s="11"/>
    </row>
    <row r="3318" spans="1:6">
      <c r="A3318" s="5" t="str">
        <f t="shared" si="58"/>
        <v>202312</v>
      </c>
      <c r="B3318" s="5" t="str">
        <f>"23085024324"</f>
        <v>23085024324</v>
      </c>
      <c r="C3318" s="6">
        <v>58.5</v>
      </c>
      <c r="D3318" s="6">
        <v>96.5</v>
      </c>
      <c r="E3318" s="6">
        <v>155</v>
      </c>
      <c r="F3318" s="11"/>
    </row>
    <row r="3319" spans="1:6">
      <c r="A3319" s="5" t="str">
        <f t="shared" si="58"/>
        <v>202312</v>
      </c>
      <c r="B3319" s="5" t="str">
        <f>"23085030225"</f>
        <v>23085030225</v>
      </c>
      <c r="C3319" s="6">
        <v>37.5</v>
      </c>
      <c r="D3319" s="6">
        <v>110.5</v>
      </c>
      <c r="E3319" s="6">
        <v>148</v>
      </c>
      <c r="F3319" s="11"/>
    </row>
    <row r="3320" spans="1:6">
      <c r="A3320" s="5" t="str">
        <f t="shared" si="58"/>
        <v>202312</v>
      </c>
      <c r="B3320" s="5" t="str">
        <f>"23085030427"</f>
        <v>23085030427</v>
      </c>
      <c r="C3320" s="6">
        <v>63</v>
      </c>
      <c r="D3320" s="6">
        <v>84.5</v>
      </c>
      <c r="E3320" s="6">
        <v>147.5</v>
      </c>
      <c r="F3320" s="11"/>
    </row>
    <row r="3321" spans="1:6">
      <c r="A3321" s="5" t="str">
        <f t="shared" si="58"/>
        <v>202312</v>
      </c>
      <c r="B3321" s="5" t="str">
        <f>"23085030515"</f>
        <v>23085030515</v>
      </c>
      <c r="C3321" s="6">
        <v>76.5</v>
      </c>
      <c r="D3321" s="6">
        <v>70.5</v>
      </c>
      <c r="E3321" s="6">
        <v>147</v>
      </c>
      <c r="F3321" s="11"/>
    </row>
    <row r="3322" spans="1:6">
      <c r="A3322" s="5" t="str">
        <f t="shared" si="58"/>
        <v>202312</v>
      </c>
      <c r="B3322" s="5" t="str">
        <f>"23085030326"</f>
        <v>23085030326</v>
      </c>
      <c r="C3322" s="6">
        <v>55.5</v>
      </c>
      <c r="D3322" s="6">
        <v>87</v>
      </c>
      <c r="E3322" s="6">
        <v>142.5</v>
      </c>
      <c r="F3322" s="11"/>
    </row>
    <row r="3323" spans="1:6">
      <c r="A3323" s="5" t="str">
        <f t="shared" si="58"/>
        <v>202312</v>
      </c>
      <c r="B3323" s="5" t="str">
        <f>"23085030106"</f>
        <v>23085030106</v>
      </c>
      <c r="C3323" s="6">
        <v>21</v>
      </c>
      <c r="D3323" s="6">
        <v>115</v>
      </c>
      <c r="E3323" s="6">
        <v>136</v>
      </c>
      <c r="F3323" s="11"/>
    </row>
    <row r="3324" spans="1:6">
      <c r="A3324" s="5" t="str">
        <f t="shared" si="58"/>
        <v>202312</v>
      </c>
      <c r="B3324" s="5" t="str">
        <f>"23085030119"</f>
        <v>23085030119</v>
      </c>
      <c r="C3324" s="6">
        <v>63</v>
      </c>
      <c r="D3324" s="6">
        <v>71</v>
      </c>
      <c r="E3324" s="6">
        <v>134</v>
      </c>
      <c r="F3324" s="11"/>
    </row>
    <row r="3325" spans="1:6">
      <c r="A3325" s="5" t="str">
        <f t="shared" si="58"/>
        <v>202312</v>
      </c>
      <c r="B3325" s="5" t="str">
        <f>"23085030226"</f>
        <v>23085030226</v>
      </c>
      <c r="C3325" s="6">
        <v>72</v>
      </c>
      <c r="D3325" s="6">
        <v>58.5</v>
      </c>
      <c r="E3325" s="6">
        <v>130.5</v>
      </c>
      <c r="F3325" s="11"/>
    </row>
    <row r="3326" spans="1:6">
      <c r="A3326" s="5" t="str">
        <f t="shared" si="58"/>
        <v>202312</v>
      </c>
      <c r="B3326" s="5" t="str">
        <f>"23085030428"</f>
        <v>23085030428</v>
      </c>
      <c r="C3326" s="6">
        <v>27</v>
      </c>
      <c r="D3326" s="6">
        <v>103.5</v>
      </c>
      <c r="E3326" s="6">
        <v>130.5</v>
      </c>
      <c r="F3326" s="11"/>
    </row>
    <row r="3327" spans="1:6">
      <c r="A3327" s="5" t="str">
        <f t="shared" si="58"/>
        <v>202312</v>
      </c>
      <c r="B3327" s="5" t="str">
        <f>"23085030504"</f>
        <v>23085030504</v>
      </c>
      <c r="C3327" s="6">
        <v>57</v>
      </c>
      <c r="D3327" s="6">
        <v>67.5</v>
      </c>
      <c r="E3327" s="6">
        <v>124.5</v>
      </c>
      <c r="F3327" s="11"/>
    </row>
    <row r="3328" spans="1:6">
      <c r="A3328" s="5" t="str">
        <f t="shared" si="58"/>
        <v>202312</v>
      </c>
      <c r="B3328" s="5" t="str">
        <f>"23085030105"</f>
        <v>23085030105</v>
      </c>
      <c r="C3328" s="6">
        <v>78</v>
      </c>
      <c r="D3328" s="6">
        <v>0</v>
      </c>
      <c r="E3328" s="6">
        <v>78</v>
      </c>
      <c r="F3328" s="11"/>
    </row>
    <row r="3329" spans="1:6">
      <c r="A3329" s="5" t="str">
        <f t="shared" si="58"/>
        <v>202312</v>
      </c>
      <c r="B3329" s="5" t="str">
        <f>"23085030508"</f>
        <v>23085030508</v>
      </c>
      <c r="C3329" s="6">
        <v>0</v>
      </c>
      <c r="D3329" s="6">
        <v>0</v>
      </c>
      <c r="E3329" s="6">
        <v>0</v>
      </c>
      <c r="F3329" s="11" t="s">
        <v>7</v>
      </c>
    </row>
    <row r="3330" spans="1:6">
      <c r="A3330" s="5" t="str">
        <f t="shared" si="58"/>
        <v>202312</v>
      </c>
      <c r="B3330" s="5" t="str">
        <f>"23085024125"</f>
        <v>23085024125</v>
      </c>
      <c r="C3330" s="6">
        <v>0</v>
      </c>
      <c r="D3330" s="6">
        <v>0</v>
      </c>
      <c r="E3330" s="6">
        <v>0</v>
      </c>
      <c r="F3330" s="11" t="s">
        <v>7</v>
      </c>
    </row>
    <row r="3331" spans="1:6">
      <c r="A3331" s="5" t="str">
        <f t="shared" si="58"/>
        <v>202312</v>
      </c>
      <c r="B3331" s="5" t="str">
        <f>"23085030310"</f>
        <v>23085030310</v>
      </c>
      <c r="C3331" s="6">
        <v>0</v>
      </c>
      <c r="D3331" s="6">
        <v>0</v>
      </c>
      <c r="E3331" s="6">
        <v>0</v>
      </c>
      <c r="F3331" s="11" t="s">
        <v>7</v>
      </c>
    </row>
    <row r="3332" spans="1:6">
      <c r="A3332" s="5" t="str">
        <f t="shared" si="58"/>
        <v>202312</v>
      </c>
      <c r="B3332" s="5" t="str">
        <f>"23085030111"</f>
        <v>23085030111</v>
      </c>
      <c r="C3332" s="6">
        <v>0</v>
      </c>
      <c r="D3332" s="6">
        <v>0</v>
      </c>
      <c r="E3332" s="6">
        <v>0</v>
      </c>
      <c r="F3332" s="11" t="s">
        <v>7</v>
      </c>
    </row>
    <row r="3333" spans="1:6">
      <c r="A3333" s="5" t="str">
        <f t="shared" si="58"/>
        <v>202312</v>
      </c>
      <c r="B3333" s="5" t="str">
        <f>"23085030113"</f>
        <v>23085030113</v>
      </c>
      <c r="C3333" s="6">
        <v>0</v>
      </c>
      <c r="D3333" s="6">
        <v>0</v>
      </c>
      <c r="E3333" s="6">
        <v>0</v>
      </c>
      <c r="F3333" s="11" t="s">
        <v>7</v>
      </c>
    </row>
    <row r="3334" spans="1:6">
      <c r="A3334" s="5" t="str">
        <f t="shared" si="58"/>
        <v>202312</v>
      </c>
      <c r="B3334" s="5" t="str">
        <f>"23085024214"</f>
        <v>23085024214</v>
      </c>
      <c r="C3334" s="6">
        <v>0</v>
      </c>
      <c r="D3334" s="6">
        <v>0</v>
      </c>
      <c r="E3334" s="6">
        <v>0</v>
      </c>
      <c r="F3334" s="11" t="s">
        <v>7</v>
      </c>
    </row>
    <row r="3335" spans="1:6">
      <c r="A3335" s="5" t="str">
        <f t="shared" si="58"/>
        <v>202312</v>
      </c>
      <c r="B3335" s="5" t="str">
        <f>"23085024329"</f>
        <v>23085024329</v>
      </c>
      <c r="C3335" s="6">
        <v>0</v>
      </c>
      <c r="D3335" s="6">
        <v>0</v>
      </c>
      <c r="E3335" s="6">
        <v>0</v>
      </c>
      <c r="F3335" s="11" t="s">
        <v>7</v>
      </c>
    </row>
    <row r="3336" spans="1:6">
      <c r="A3336" s="5" t="str">
        <f t="shared" si="58"/>
        <v>202312</v>
      </c>
      <c r="B3336" s="5" t="str">
        <f>"23085030307"</f>
        <v>23085030307</v>
      </c>
      <c r="C3336" s="6">
        <v>0</v>
      </c>
      <c r="D3336" s="6">
        <v>0</v>
      </c>
      <c r="E3336" s="6">
        <v>0</v>
      </c>
      <c r="F3336" s="11" t="s">
        <v>7</v>
      </c>
    </row>
    <row r="3337" spans="1:6">
      <c r="A3337" s="5" t="str">
        <f t="shared" si="58"/>
        <v>202312</v>
      </c>
      <c r="B3337" s="5" t="str">
        <f>"23085030510"</f>
        <v>23085030510</v>
      </c>
      <c r="C3337" s="6">
        <v>0</v>
      </c>
      <c r="D3337" s="6">
        <v>0</v>
      </c>
      <c r="E3337" s="6">
        <v>0</v>
      </c>
      <c r="F3337" s="11" t="s">
        <v>7</v>
      </c>
    </row>
    <row r="3338" spans="1:6">
      <c r="A3338" s="5" t="str">
        <f t="shared" si="58"/>
        <v>202312</v>
      </c>
      <c r="B3338" s="5" t="str">
        <f>"23085024222"</f>
        <v>23085024222</v>
      </c>
      <c r="C3338" s="6">
        <v>0</v>
      </c>
      <c r="D3338" s="6">
        <v>0</v>
      </c>
      <c r="E3338" s="6">
        <v>0</v>
      </c>
      <c r="F3338" s="11" t="s">
        <v>7</v>
      </c>
    </row>
    <row r="3339" spans="1:6">
      <c r="A3339" s="5" t="str">
        <f t="shared" si="58"/>
        <v>202312</v>
      </c>
      <c r="B3339" s="5" t="str">
        <f>"23085024209"</f>
        <v>23085024209</v>
      </c>
      <c r="C3339" s="6">
        <v>0</v>
      </c>
      <c r="D3339" s="6">
        <v>0</v>
      </c>
      <c r="E3339" s="6">
        <v>0</v>
      </c>
      <c r="F3339" s="11" t="s">
        <v>7</v>
      </c>
    </row>
    <row r="3340" spans="1:6">
      <c r="A3340" s="5" t="str">
        <f t="shared" si="58"/>
        <v>202312</v>
      </c>
      <c r="B3340" s="5" t="str">
        <f>"23085030512"</f>
        <v>23085030512</v>
      </c>
      <c r="C3340" s="6">
        <v>0</v>
      </c>
      <c r="D3340" s="6">
        <v>0</v>
      </c>
      <c r="E3340" s="6">
        <v>0</v>
      </c>
      <c r="F3340" s="11" t="s">
        <v>7</v>
      </c>
    </row>
    <row r="3341" spans="1:6">
      <c r="A3341" s="5" t="str">
        <f t="shared" si="58"/>
        <v>202312</v>
      </c>
      <c r="B3341" s="5" t="str">
        <f>"23085030216"</f>
        <v>23085030216</v>
      </c>
      <c r="C3341" s="6">
        <v>0</v>
      </c>
      <c r="D3341" s="6">
        <v>0</v>
      </c>
      <c r="E3341" s="6">
        <v>0</v>
      </c>
      <c r="F3341" s="11" t="s">
        <v>7</v>
      </c>
    </row>
    <row r="3342" spans="1:6">
      <c r="A3342" s="5" t="str">
        <f t="shared" si="58"/>
        <v>202312</v>
      </c>
      <c r="B3342" s="5" t="str">
        <f>"23085030227"</f>
        <v>23085030227</v>
      </c>
      <c r="C3342" s="6">
        <v>0</v>
      </c>
      <c r="D3342" s="6">
        <v>0</v>
      </c>
      <c r="E3342" s="6">
        <v>0</v>
      </c>
      <c r="F3342" s="11" t="s">
        <v>7</v>
      </c>
    </row>
    <row r="3343" spans="1:6">
      <c r="A3343" s="5" t="str">
        <f t="shared" si="58"/>
        <v>202312</v>
      </c>
      <c r="B3343" s="5" t="str">
        <f>"23085024317"</f>
        <v>23085024317</v>
      </c>
      <c r="C3343" s="6">
        <v>0</v>
      </c>
      <c r="D3343" s="6">
        <v>0</v>
      </c>
      <c r="E3343" s="6">
        <v>0</v>
      </c>
      <c r="F3343" s="11" t="s">
        <v>7</v>
      </c>
    </row>
    <row r="3344" spans="1:6">
      <c r="A3344" s="5" t="str">
        <f t="shared" si="58"/>
        <v>202312</v>
      </c>
      <c r="B3344" s="5" t="str">
        <f>"23085030223"</f>
        <v>23085030223</v>
      </c>
      <c r="C3344" s="6">
        <v>0</v>
      </c>
      <c r="D3344" s="6">
        <v>0</v>
      </c>
      <c r="E3344" s="6">
        <v>0</v>
      </c>
      <c r="F3344" s="11" t="s">
        <v>7</v>
      </c>
    </row>
    <row r="3345" spans="1:6">
      <c r="A3345" s="5" t="str">
        <f t="shared" si="58"/>
        <v>202312</v>
      </c>
      <c r="B3345" s="5" t="str">
        <f>"23085030311"</f>
        <v>23085030311</v>
      </c>
      <c r="C3345" s="6">
        <v>0</v>
      </c>
      <c r="D3345" s="6">
        <v>0</v>
      </c>
      <c r="E3345" s="6">
        <v>0</v>
      </c>
      <c r="F3345" s="11" t="s">
        <v>7</v>
      </c>
    </row>
    <row r="3346" spans="1:6">
      <c r="A3346" s="5" t="str">
        <f t="shared" si="58"/>
        <v>202312</v>
      </c>
      <c r="B3346" s="5" t="str">
        <f>"23085024325"</f>
        <v>23085024325</v>
      </c>
      <c r="C3346" s="6">
        <v>0</v>
      </c>
      <c r="D3346" s="6">
        <v>0</v>
      </c>
      <c r="E3346" s="6">
        <v>0</v>
      </c>
      <c r="F3346" s="11" t="s">
        <v>7</v>
      </c>
    </row>
    <row r="3347" spans="1:6">
      <c r="A3347" s="5" t="str">
        <f t="shared" si="58"/>
        <v>202312</v>
      </c>
      <c r="B3347" s="5" t="str">
        <f>"23085030219"</f>
        <v>23085030219</v>
      </c>
      <c r="C3347" s="6">
        <v>0</v>
      </c>
      <c r="D3347" s="6">
        <v>0</v>
      </c>
      <c r="E3347" s="6">
        <v>0</v>
      </c>
      <c r="F3347" s="11" t="s">
        <v>7</v>
      </c>
    </row>
    <row r="3348" spans="1:6">
      <c r="A3348" s="5" t="str">
        <f t="shared" si="58"/>
        <v>202312</v>
      </c>
      <c r="B3348" s="5" t="str">
        <f>"23085024129"</f>
        <v>23085024129</v>
      </c>
      <c r="C3348" s="6">
        <v>0</v>
      </c>
      <c r="D3348" s="6">
        <v>0</v>
      </c>
      <c r="E3348" s="6">
        <v>0</v>
      </c>
      <c r="F3348" s="11" t="s">
        <v>7</v>
      </c>
    </row>
    <row r="3349" spans="1:6">
      <c r="A3349" s="5" t="str">
        <f t="shared" si="58"/>
        <v>202312</v>
      </c>
      <c r="B3349" s="5" t="str">
        <f>"23085030103"</f>
        <v>23085030103</v>
      </c>
      <c r="C3349" s="6">
        <v>0</v>
      </c>
      <c r="D3349" s="6">
        <v>0</v>
      </c>
      <c r="E3349" s="6">
        <v>0</v>
      </c>
      <c r="F3349" s="11" t="s">
        <v>7</v>
      </c>
    </row>
    <row r="3350" spans="1:6">
      <c r="A3350" s="5" t="str">
        <f t="shared" si="58"/>
        <v>202312</v>
      </c>
      <c r="B3350" s="5" t="str">
        <f>"23085030509"</f>
        <v>23085030509</v>
      </c>
      <c r="C3350" s="6">
        <v>0</v>
      </c>
      <c r="D3350" s="6">
        <v>0</v>
      </c>
      <c r="E3350" s="6">
        <v>0</v>
      </c>
      <c r="F3350" s="11" t="s">
        <v>7</v>
      </c>
    </row>
    <row r="3351" spans="1:6">
      <c r="A3351" s="5" t="str">
        <f t="shared" si="58"/>
        <v>202312</v>
      </c>
      <c r="B3351" s="5" t="str">
        <f>"23085030126"</f>
        <v>23085030126</v>
      </c>
      <c r="C3351" s="6">
        <v>0</v>
      </c>
      <c r="D3351" s="6">
        <v>0</v>
      </c>
      <c r="E3351" s="6">
        <v>0</v>
      </c>
      <c r="F3351" s="11" t="s">
        <v>7</v>
      </c>
    </row>
    <row r="3352" spans="1:6">
      <c r="A3352" s="5" t="str">
        <f t="shared" si="58"/>
        <v>202312</v>
      </c>
      <c r="B3352" s="5" t="str">
        <f>"23085030501"</f>
        <v>23085030501</v>
      </c>
      <c r="C3352" s="6">
        <v>0</v>
      </c>
      <c r="D3352" s="6">
        <v>0</v>
      </c>
      <c r="E3352" s="6">
        <v>0</v>
      </c>
      <c r="F3352" s="11" t="s">
        <v>7</v>
      </c>
    </row>
    <row r="3353" spans="1:6">
      <c r="A3353" s="5" t="str">
        <f t="shared" si="58"/>
        <v>202312</v>
      </c>
      <c r="B3353" s="5" t="str">
        <f>"23085024217"</f>
        <v>23085024217</v>
      </c>
      <c r="C3353" s="6">
        <v>0</v>
      </c>
      <c r="D3353" s="6">
        <v>0</v>
      </c>
      <c r="E3353" s="6">
        <v>0</v>
      </c>
      <c r="F3353" s="11" t="s">
        <v>7</v>
      </c>
    </row>
    <row r="3354" spans="1:6">
      <c r="A3354" s="5" t="str">
        <f t="shared" si="58"/>
        <v>202312</v>
      </c>
      <c r="B3354" s="5" t="str">
        <f>"23085024318"</f>
        <v>23085024318</v>
      </c>
      <c r="C3354" s="6">
        <v>0</v>
      </c>
      <c r="D3354" s="6">
        <v>0</v>
      </c>
      <c r="E3354" s="6">
        <v>0</v>
      </c>
      <c r="F3354" s="11" t="s">
        <v>7</v>
      </c>
    </row>
    <row r="3355" spans="1:6">
      <c r="A3355" s="5" t="str">
        <f t="shared" si="58"/>
        <v>202312</v>
      </c>
      <c r="B3355" s="5" t="str">
        <f>"23085030301"</f>
        <v>23085030301</v>
      </c>
      <c r="C3355" s="6">
        <v>0</v>
      </c>
      <c r="D3355" s="6">
        <v>0</v>
      </c>
      <c r="E3355" s="6">
        <v>0</v>
      </c>
      <c r="F3355" s="11" t="s">
        <v>7</v>
      </c>
    </row>
    <row r="3356" spans="1:6">
      <c r="A3356" s="5" t="str">
        <f t="shared" si="58"/>
        <v>202312</v>
      </c>
      <c r="B3356" s="5" t="str">
        <f>"23085024223"</f>
        <v>23085024223</v>
      </c>
      <c r="C3356" s="6">
        <v>0</v>
      </c>
      <c r="D3356" s="6">
        <v>0</v>
      </c>
      <c r="E3356" s="6">
        <v>0</v>
      </c>
      <c r="F3356" s="11" t="s">
        <v>7</v>
      </c>
    </row>
    <row r="3357" spans="1:6">
      <c r="A3357" s="5" t="str">
        <f t="shared" si="58"/>
        <v>202312</v>
      </c>
      <c r="B3357" s="5" t="str">
        <f>"23085024307"</f>
        <v>23085024307</v>
      </c>
      <c r="C3357" s="6">
        <v>0</v>
      </c>
      <c r="D3357" s="6">
        <v>0</v>
      </c>
      <c r="E3357" s="6">
        <v>0</v>
      </c>
      <c r="F3357" s="11" t="s">
        <v>7</v>
      </c>
    </row>
    <row r="3358" spans="1:6">
      <c r="A3358" s="5" t="str">
        <f t="shared" si="58"/>
        <v>202312</v>
      </c>
      <c r="B3358" s="5" t="str">
        <f>"23085024213"</f>
        <v>23085024213</v>
      </c>
      <c r="C3358" s="6">
        <v>0</v>
      </c>
      <c r="D3358" s="6">
        <v>0</v>
      </c>
      <c r="E3358" s="6">
        <v>0</v>
      </c>
      <c r="F3358" s="11" t="s">
        <v>7</v>
      </c>
    </row>
    <row r="3359" spans="1:6">
      <c r="A3359" s="5" t="str">
        <f t="shared" si="58"/>
        <v>202312</v>
      </c>
      <c r="B3359" s="5" t="str">
        <f>"23085030228"</f>
        <v>23085030228</v>
      </c>
      <c r="C3359" s="6">
        <v>0</v>
      </c>
      <c r="D3359" s="6">
        <v>0</v>
      </c>
      <c r="E3359" s="6">
        <v>0</v>
      </c>
      <c r="F3359" s="11" t="s">
        <v>7</v>
      </c>
    </row>
    <row r="3360" spans="1:6">
      <c r="A3360" s="5" t="str">
        <f t="shared" si="58"/>
        <v>202312</v>
      </c>
      <c r="B3360" s="5" t="str">
        <f>"23085030325"</f>
        <v>23085030325</v>
      </c>
      <c r="C3360" s="6">
        <v>0</v>
      </c>
      <c r="D3360" s="6">
        <v>0</v>
      </c>
      <c r="E3360" s="6">
        <v>0</v>
      </c>
      <c r="F3360" s="11" t="s">
        <v>7</v>
      </c>
    </row>
    <row r="3361" spans="1:6">
      <c r="A3361" s="5" t="str">
        <f t="shared" si="58"/>
        <v>202312</v>
      </c>
      <c r="B3361" s="5" t="str">
        <f>"23085030204"</f>
        <v>23085030204</v>
      </c>
      <c r="C3361" s="6">
        <v>0</v>
      </c>
      <c r="D3361" s="6">
        <v>0</v>
      </c>
      <c r="E3361" s="6">
        <v>0</v>
      </c>
      <c r="F3361" s="11" t="s">
        <v>7</v>
      </c>
    </row>
    <row r="3362" spans="1:6">
      <c r="A3362" s="5" t="str">
        <f t="shared" si="58"/>
        <v>202312</v>
      </c>
      <c r="B3362" s="5" t="str">
        <f>"23085024215"</f>
        <v>23085024215</v>
      </c>
      <c r="C3362" s="6">
        <v>0</v>
      </c>
      <c r="D3362" s="6">
        <v>0</v>
      </c>
      <c r="E3362" s="6">
        <v>0</v>
      </c>
      <c r="F3362" s="11" t="s">
        <v>7</v>
      </c>
    </row>
    <row r="3363" spans="1:6">
      <c r="A3363" s="5" t="str">
        <f t="shared" ref="A3363:A3379" si="59">"202312"</f>
        <v>202312</v>
      </c>
      <c r="B3363" s="5" t="str">
        <f>"23085030222"</f>
        <v>23085030222</v>
      </c>
      <c r="C3363" s="6">
        <v>0</v>
      </c>
      <c r="D3363" s="6">
        <v>0</v>
      </c>
      <c r="E3363" s="6">
        <v>0</v>
      </c>
      <c r="F3363" s="11" t="s">
        <v>7</v>
      </c>
    </row>
    <row r="3364" spans="1:6">
      <c r="A3364" s="5" t="str">
        <f t="shared" si="59"/>
        <v>202312</v>
      </c>
      <c r="B3364" s="5" t="str">
        <f>"23085030321"</f>
        <v>23085030321</v>
      </c>
      <c r="C3364" s="6">
        <v>0</v>
      </c>
      <c r="D3364" s="6">
        <v>0</v>
      </c>
      <c r="E3364" s="6">
        <v>0</v>
      </c>
      <c r="F3364" s="11" t="s">
        <v>7</v>
      </c>
    </row>
    <row r="3365" spans="1:6">
      <c r="A3365" s="5" t="str">
        <f t="shared" si="59"/>
        <v>202312</v>
      </c>
      <c r="B3365" s="5" t="str">
        <f>"23085030229"</f>
        <v>23085030229</v>
      </c>
      <c r="C3365" s="6">
        <v>0</v>
      </c>
      <c r="D3365" s="6">
        <v>0</v>
      </c>
      <c r="E3365" s="6">
        <v>0</v>
      </c>
      <c r="F3365" s="11" t="s">
        <v>7</v>
      </c>
    </row>
    <row r="3366" spans="1:6">
      <c r="A3366" s="5" t="str">
        <f t="shared" si="59"/>
        <v>202312</v>
      </c>
      <c r="B3366" s="5" t="str">
        <f>"23085030224"</f>
        <v>23085030224</v>
      </c>
      <c r="C3366" s="6">
        <v>0</v>
      </c>
      <c r="D3366" s="6">
        <v>0</v>
      </c>
      <c r="E3366" s="6">
        <v>0</v>
      </c>
      <c r="F3366" s="11" t="s">
        <v>7</v>
      </c>
    </row>
    <row r="3367" spans="1:6">
      <c r="A3367" s="5" t="str">
        <f t="shared" si="59"/>
        <v>202312</v>
      </c>
      <c r="B3367" s="5" t="str">
        <f>"23085030101"</f>
        <v>23085030101</v>
      </c>
      <c r="C3367" s="6">
        <v>0</v>
      </c>
      <c r="D3367" s="6">
        <v>0</v>
      </c>
      <c r="E3367" s="6">
        <v>0</v>
      </c>
      <c r="F3367" s="11" t="s">
        <v>7</v>
      </c>
    </row>
    <row r="3368" spans="1:6">
      <c r="A3368" s="5" t="str">
        <f t="shared" si="59"/>
        <v>202312</v>
      </c>
      <c r="B3368" s="5" t="str">
        <f>"23085024123"</f>
        <v>23085024123</v>
      </c>
      <c r="C3368" s="6">
        <v>0</v>
      </c>
      <c r="D3368" s="6">
        <v>0</v>
      </c>
      <c r="E3368" s="6">
        <v>0</v>
      </c>
      <c r="F3368" s="11" t="s">
        <v>7</v>
      </c>
    </row>
    <row r="3369" spans="1:6">
      <c r="A3369" s="5" t="str">
        <f t="shared" si="59"/>
        <v>202312</v>
      </c>
      <c r="B3369" s="5" t="str">
        <f>"23085030208"</f>
        <v>23085030208</v>
      </c>
      <c r="C3369" s="6">
        <v>0</v>
      </c>
      <c r="D3369" s="6">
        <v>0</v>
      </c>
      <c r="E3369" s="6">
        <v>0</v>
      </c>
      <c r="F3369" s="11" t="s">
        <v>7</v>
      </c>
    </row>
    <row r="3370" spans="1:6">
      <c r="A3370" s="5" t="str">
        <f t="shared" si="59"/>
        <v>202312</v>
      </c>
      <c r="B3370" s="5" t="str">
        <f>"23085030402"</f>
        <v>23085030402</v>
      </c>
      <c r="C3370" s="6">
        <v>0</v>
      </c>
      <c r="D3370" s="6">
        <v>0</v>
      </c>
      <c r="E3370" s="6">
        <v>0</v>
      </c>
      <c r="F3370" s="11" t="s">
        <v>7</v>
      </c>
    </row>
    <row r="3371" spans="1:6">
      <c r="A3371" s="5" t="str">
        <f t="shared" si="59"/>
        <v>202312</v>
      </c>
      <c r="B3371" s="5" t="str">
        <f>"23085030211"</f>
        <v>23085030211</v>
      </c>
      <c r="C3371" s="6">
        <v>0</v>
      </c>
      <c r="D3371" s="6">
        <v>0</v>
      </c>
      <c r="E3371" s="6">
        <v>0</v>
      </c>
      <c r="F3371" s="11" t="s">
        <v>7</v>
      </c>
    </row>
    <row r="3372" spans="1:6">
      <c r="A3372" s="5" t="str">
        <f t="shared" si="59"/>
        <v>202312</v>
      </c>
      <c r="B3372" s="5" t="str">
        <f>"23085030319"</f>
        <v>23085030319</v>
      </c>
      <c r="C3372" s="6">
        <v>0</v>
      </c>
      <c r="D3372" s="6">
        <v>0</v>
      </c>
      <c r="E3372" s="6">
        <v>0</v>
      </c>
      <c r="F3372" s="11" t="s">
        <v>7</v>
      </c>
    </row>
    <row r="3373" spans="1:6">
      <c r="A3373" s="5" t="str">
        <f t="shared" si="59"/>
        <v>202312</v>
      </c>
      <c r="B3373" s="5" t="str">
        <f>"23085024207"</f>
        <v>23085024207</v>
      </c>
      <c r="C3373" s="6">
        <v>0</v>
      </c>
      <c r="D3373" s="6">
        <v>0</v>
      </c>
      <c r="E3373" s="6">
        <v>0</v>
      </c>
      <c r="F3373" s="11" t="s">
        <v>7</v>
      </c>
    </row>
    <row r="3374" spans="1:6">
      <c r="A3374" s="5" t="str">
        <f t="shared" si="59"/>
        <v>202312</v>
      </c>
      <c r="B3374" s="5" t="str">
        <f>"23085030217"</f>
        <v>23085030217</v>
      </c>
      <c r="C3374" s="6">
        <v>0</v>
      </c>
      <c r="D3374" s="6">
        <v>0</v>
      </c>
      <c r="E3374" s="6">
        <v>0</v>
      </c>
      <c r="F3374" s="11" t="s">
        <v>7</v>
      </c>
    </row>
    <row r="3375" spans="1:6">
      <c r="A3375" s="5" t="str">
        <f t="shared" si="59"/>
        <v>202312</v>
      </c>
      <c r="B3375" s="5" t="str">
        <f>"23085024310"</f>
        <v>23085024310</v>
      </c>
      <c r="C3375" s="6">
        <v>0</v>
      </c>
      <c r="D3375" s="6">
        <v>0</v>
      </c>
      <c r="E3375" s="6">
        <v>0</v>
      </c>
      <c r="F3375" s="11" t="s">
        <v>7</v>
      </c>
    </row>
    <row r="3376" spans="1:6">
      <c r="A3376" s="5" t="str">
        <f t="shared" si="59"/>
        <v>202312</v>
      </c>
      <c r="B3376" s="5" t="str">
        <f>"23085024204"</f>
        <v>23085024204</v>
      </c>
      <c r="C3376" s="6">
        <v>0</v>
      </c>
      <c r="D3376" s="6">
        <v>0</v>
      </c>
      <c r="E3376" s="6">
        <v>0</v>
      </c>
      <c r="F3376" s="11" t="s">
        <v>7</v>
      </c>
    </row>
    <row r="3377" spans="1:6">
      <c r="A3377" s="5" t="str">
        <f t="shared" si="59"/>
        <v>202312</v>
      </c>
      <c r="B3377" s="5" t="str">
        <f>"23085030302"</f>
        <v>23085030302</v>
      </c>
      <c r="C3377" s="6">
        <v>0</v>
      </c>
      <c r="D3377" s="6">
        <v>0</v>
      </c>
      <c r="E3377" s="6">
        <v>0</v>
      </c>
      <c r="F3377" s="11" t="s">
        <v>7</v>
      </c>
    </row>
    <row r="3378" spans="1:6">
      <c r="A3378" s="5" t="str">
        <f t="shared" si="59"/>
        <v>202312</v>
      </c>
      <c r="B3378" s="5" t="str">
        <f>"23085030115"</f>
        <v>23085030115</v>
      </c>
      <c r="C3378" s="6">
        <v>0</v>
      </c>
      <c r="D3378" s="6">
        <v>0</v>
      </c>
      <c r="E3378" s="6">
        <v>0</v>
      </c>
      <c r="F3378" s="11" t="s">
        <v>7</v>
      </c>
    </row>
    <row r="3379" spans="1:6">
      <c r="A3379" s="5" t="str">
        <f t="shared" si="59"/>
        <v>202312</v>
      </c>
      <c r="B3379" s="5" t="str">
        <f>"23085030205"</f>
        <v>23085030205</v>
      </c>
      <c r="C3379" s="6">
        <v>0</v>
      </c>
      <c r="D3379" s="6">
        <v>0</v>
      </c>
      <c r="E3379" s="6">
        <v>0</v>
      </c>
      <c r="F3379" s="11" t="s">
        <v>7</v>
      </c>
    </row>
    <row r="3380" spans="1:6">
      <c r="A3380" s="5" t="str">
        <f t="shared" ref="A3380:A3430" si="60">"202313"</f>
        <v>202313</v>
      </c>
      <c r="B3380" s="5" t="str">
        <f>"23085030617"</f>
        <v>23085030617</v>
      </c>
      <c r="C3380" s="6">
        <v>126</v>
      </c>
      <c r="D3380" s="6">
        <v>114</v>
      </c>
      <c r="E3380" s="6">
        <v>240</v>
      </c>
      <c r="F3380" s="11"/>
    </row>
    <row r="3381" spans="1:6">
      <c r="A3381" s="5" t="str">
        <f t="shared" si="60"/>
        <v>202313</v>
      </c>
      <c r="B3381" s="5" t="str">
        <f>"23085030519"</f>
        <v>23085030519</v>
      </c>
      <c r="C3381" s="6">
        <v>121.5</v>
      </c>
      <c r="D3381" s="6">
        <v>117</v>
      </c>
      <c r="E3381" s="6">
        <v>238.5</v>
      </c>
      <c r="F3381" s="11"/>
    </row>
    <row r="3382" spans="1:6">
      <c r="A3382" s="5" t="str">
        <f t="shared" si="60"/>
        <v>202313</v>
      </c>
      <c r="B3382" s="5" t="str">
        <f>"23085030623"</f>
        <v>23085030623</v>
      </c>
      <c r="C3382" s="6">
        <v>127.5</v>
      </c>
      <c r="D3382" s="6">
        <v>110.5</v>
      </c>
      <c r="E3382" s="6">
        <v>238</v>
      </c>
      <c r="F3382" s="11"/>
    </row>
    <row r="3383" spans="1:6">
      <c r="A3383" s="5" t="str">
        <f t="shared" si="60"/>
        <v>202313</v>
      </c>
      <c r="B3383" s="5" t="str">
        <f>"23085030601"</f>
        <v>23085030601</v>
      </c>
      <c r="C3383" s="6">
        <v>112.5</v>
      </c>
      <c r="D3383" s="6">
        <v>120.5</v>
      </c>
      <c r="E3383" s="6">
        <v>233</v>
      </c>
      <c r="F3383" s="11"/>
    </row>
    <row r="3384" spans="1:6">
      <c r="A3384" s="5" t="str">
        <f t="shared" si="60"/>
        <v>202313</v>
      </c>
      <c r="B3384" s="5" t="str">
        <f>"23085030612"</f>
        <v>23085030612</v>
      </c>
      <c r="C3384" s="6">
        <v>115.5</v>
      </c>
      <c r="D3384" s="6">
        <v>116</v>
      </c>
      <c r="E3384" s="6">
        <v>231.5</v>
      </c>
      <c r="F3384" s="11"/>
    </row>
    <row r="3385" spans="1:6">
      <c r="A3385" s="5" t="str">
        <f t="shared" si="60"/>
        <v>202313</v>
      </c>
      <c r="B3385" s="5" t="str">
        <f>"23085030616"</f>
        <v>23085030616</v>
      </c>
      <c r="C3385" s="6">
        <v>121.5</v>
      </c>
      <c r="D3385" s="6">
        <v>109.5</v>
      </c>
      <c r="E3385" s="6">
        <v>231</v>
      </c>
      <c r="F3385" s="11"/>
    </row>
    <row r="3386" spans="1:6">
      <c r="A3386" s="5" t="str">
        <f t="shared" si="60"/>
        <v>202313</v>
      </c>
      <c r="B3386" s="5" t="str">
        <f>"23085030703"</f>
        <v>23085030703</v>
      </c>
      <c r="C3386" s="6">
        <v>111</v>
      </c>
      <c r="D3386" s="6">
        <v>120</v>
      </c>
      <c r="E3386" s="6">
        <v>231</v>
      </c>
      <c r="F3386" s="11"/>
    </row>
    <row r="3387" spans="1:6">
      <c r="A3387" s="5" t="str">
        <f t="shared" si="60"/>
        <v>202313</v>
      </c>
      <c r="B3387" s="5" t="str">
        <f>"23085030605"</f>
        <v>23085030605</v>
      </c>
      <c r="C3387" s="6">
        <v>118.5</v>
      </c>
      <c r="D3387" s="6">
        <v>112.5</v>
      </c>
      <c r="E3387" s="6">
        <v>231</v>
      </c>
      <c r="F3387" s="11"/>
    </row>
    <row r="3388" spans="1:6">
      <c r="A3388" s="5" t="str">
        <f t="shared" si="60"/>
        <v>202313</v>
      </c>
      <c r="B3388" s="5" t="str">
        <f>"23085030604"</f>
        <v>23085030604</v>
      </c>
      <c r="C3388" s="6">
        <v>115.5</v>
      </c>
      <c r="D3388" s="6">
        <v>112.5</v>
      </c>
      <c r="E3388" s="6">
        <v>228</v>
      </c>
      <c r="F3388" s="11"/>
    </row>
    <row r="3389" spans="1:6">
      <c r="A3389" s="5" t="str">
        <f t="shared" si="60"/>
        <v>202313</v>
      </c>
      <c r="B3389" s="5" t="str">
        <f>"23085030520"</f>
        <v>23085030520</v>
      </c>
      <c r="C3389" s="6">
        <v>115.5</v>
      </c>
      <c r="D3389" s="6">
        <v>112</v>
      </c>
      <c r="E3389" s="6">
        <v>227.5</v>
      </c>
      <c r="F3389" s="11"/>
    </row>
    <row r="3390" spans="1:6">
      <c r="A3390" s="5" t="str">
        <f t="shared" si="60"/>
        <v>202313</v>
      </c>
      <c r="B3390" s="5" t="str">
        <f>"23085030603"</f>
        <v>23085030603</v>
      </c>
      <c r="C3390" s="6">
        <v>111</v>
      </c>
      <c r="D3390" s="6">
        <v>116.5</v>
      </c>
      <c r="E3390" s="6">
        <v>227.5</v>
      </c>
      <c r="F3390" s="11"/>
    </row>
    <row r="3391" spans="1:6">
      <c r="A3391" s="5" t="str">
        <f t="shared" si="60"/>
        <v>202313</v>
      </c>
      <c r="B3391" s="5" t="str">
        <f>"23085030525"</f>
        <v>23085030525</v>
      </c>
      <c r="C3391" s="6">
        <v>121.5</v>
      </c>
      <c r="D3391" s="6">
        <v>105.5</v>
      </c>
      <c r="E3391" s="6">
        <v>227</v>
      </c>
      <c r="F3391" s="11"/>
    </row>
    <row r="3392" spans="1:6">
      <c r="A3392" s="5" t="str">
        <f t="shared" si="60"/>
        <v>202313</v>
      </c>
      <c r="B3392" s="5" t="str">
        <f>"23085030627"</f>
        <v>23085030627</v>
      </c>
      <c r="C3392" s="6">
        <v>111</v>
      </c>
      <c r="D3392" s="6">
        <v>114.5</v>
      </c>
      <c r="E3392" s="6">
        <v>225.5</v>
      </c>
      <c r="F3392" s="11"/>
    </row>
    <row r="3393" spans="1:6">
      <c r="A3393" s="5" t="str">
        <f t="shared" si="60"/>
        <v>202313</v>
      </c>
      <c r="B3393" s="5" t="str">
        <f>"23085030628"</f>
        <v>23085030628</v>
      </c>
      <c r="C3393" s="6">
        <v>109.5</v>
      </c>
      <c r="D3393" s="6">
        <v>113.5</v>
      </c>
      <c r="E3393" s="6">
        <v>223</v>
      </c>
      <c r="F3393" s="11"/>
    </row>
    <row r="3394" spans="1:6">
      <c r="A3394" s="5" t="str">
        <f t="shared" si="60"/>
        <v>202313</v>
      </c>
      <c r="B3394" s="5" t="str">
        <f>"23085030615"</f>
        <v>23085030615</v>
      </c>
      <c r="C3394" s="6">
        <v>100.5</v>
      </c>
      <c r="D3394" s="6">
        <v>121.5</v>
      </c>
      <c r="E3394" s="6">
        <v>222</v>
      </c>
      <c r="F3394" s="11"/>
    </row>
    <row r="3395" spans="1:6">
      <c r="A3395" s="5" t="str">
        <f t="shared" si="60"/>
        <v>202313</v>
      </c>
      <c r="B3395" s="5" t="str">
        <f>"23085030606"</f>
        <v>23085030606</v>
      </c>
      <c r="C3395" s="6">
        <v>106.5</v>
      </c>
      <c r="D3395" s="6">
        <v>114.5</v>
      </c>
      <c r="E3395" s="6">
        <v>221</v>
      </c>
      <c r="F3395" s="11"/>
    </row>
    <row r="3396" spans="1:6">
      <c r="A3396" s="5" t="str">
        <f t="shared" si="60"/>
        <v>202313</v>
      </c>
      <c r="B3396" s="5" t="str">
        <f>"23085030630"</f>
        <v>23085030630</v>
      </c>
      <c r="C3396" s="6">
        <v>108</v>
      </c>
      <c r="D3396" s="6">
        <v>111</v>
      </c>
      <c r="E3396" s="6">
        <v>219</v>
      </c>
      <c r="F3396" s="11"/>
    </row>
    <row r="3397" spans="1:6">
      <c r="A3397" s="5" t="str">
        <f t="shared" si="60"/>
        <v>202313</v>
      </c>
      <c r="B3397" s="5" t="str">
        <f>"23085030609"</f>
        <v>23085030609</v>
      </c>
      <c r="C3397" s="6">
        <v>103.5</v>
      </c>
      <c r="D3397" s="6">
        <v>113.5</v>
      </c>
      <c r="E3397" s="6">
        <v>217</v>
      </c>
      <c r="F3397" s="11"/>
    </row>
    <row r="3398" spans="1:6">
      <c r="A3398" s="5" t="str">
        <f t="shared" si="60"/>
        <v>202313</v>
      </c>
      <c r="B3398" s="5" t="str">
        <f>"23085030523"</f>
        <v>23085030523</v>
      </c>
      <c r="C3398" s="6">
        <v>97.5</v>
      </c>
      <c r="D3398" s="6">
        <v>116.5</v>
      </c>
      <c r="E3398" s="6">
        <v>214</v>
      </c>
      <c r="F3398" s="11"/>
    </row>
    <row r="3399" spans="1:6">
      <c r="A3399" s="5" t="str">
        <f t="shared" si="60"/>
        <v>202313</v>
      </c>
      <c r="B3399" s="5" t="str">
        <f>"23085030528"</f>
        <v>23085030528</v>
      </c>
      <c r="C3399" s="6">
        <v>97.5</v>
      </c>
      <c r="D3399" s="6">
        <v>116.5</v>
      </c>
      <c r="E3399" s="6">
        <v>214</v>
      </c>
      <c r="F3399" s="11"/>
    </row>
    <row r="3400" spans="1:6">
      <c r="A3400" s="5" t="str">
        <f t="shared" si="60"/>
        <v>202313</v>
      </c>
      <c r="B3400" s="5" t="str">
        <f>"23085030624"</f>
        <v>23085030624</v>
      </c>
      <c r="C3400" s="6">
        <v>90</v>
      </c>
      <c r="D3400" s="6">
        <v>122</v>
      </c>
      <c r="E3400" s="6">
        <v>212</v>
      </c>
      <c r="F3400" s="11"/>
    </row>
    <row r="3401" spans="1:6">
      <c r="A3401" s="5" t="str">
        <f t="shared" si="60"/>
        <v>202313</v>
      </c>
      <c r="B3401" s="5" t="str">
        <f>"23085030622"</f>
        <v>23085030622</v>
      </c>
      <c r="C3401" s="6">
        <v>108</v>
      </c>
      <c r="D3401" s="6">
        <v>103.5</v>
      </c>
      <c r="E3401" s="6">
        <v>211.5</v>
      </c>
      <c r="F3401" s="11"/>
    </row>
    <row r="3402" spans="1:6">
      <c r="A3402" s="5" t="str">
        <f t="shared" si="60"/>
        <v>202313</v>
      </c>
      <c r="B3402" s="5" t="str">
        <f>"23085030620"</f>
        <v>23085030620</v>
      </c>
      <c r="C3402" s="6">
        <v>91.5</v>
      </c>
      <c r="D3402" s="6">
        <v>118.5</v>
      </c>
      <c r="E3402" s="6">
        <v>210</v>
      </c>
      <c r="F3402" s="11"/>
    </row>
    <row r="3403" spans="1:6">
      <c r="A3403" s="5" t="str">
        <f t="shared" si="60"/>
        <v>202313</v>
      </c>
      <c r="B3403" s="5" t="str">
        <f>"23085030705"</f>
        <v>23085030705</v>
      </c>
      <c r="C3403" s="6">
        <v>94.5</v>
      </c>
      <c r="D3403" s="6">
        <v>115</v>
      </c>
      <c r="E3403" s="6">
        <v>209.5</v>
      </c>
      <c r="F3403" s="11"/>
    </row>
    <row r="3404" spans="1:6">
      <c r="A3404" s="5" t="str">
        <f t="shared" si="60"/>
        <v>202313</v>
      </c>
      <c r="B3404" s="5" t="str">
        <f>"23085030518"</f>
        <v>23085030518</v>
      </c>
      <c r="C3404" s="6">
        <v>91.5</v>
      </c>
      <c r="D3404" s="6">
        <v>116</v>
      </c>
      <c r="E3404" s="6">
        <v>207.5</v>
      </c>
      <c r="F3404" s="11"/>
    </row>
    <row r="3405" spans="1:6">
      <c r="A3405" s="5" t="str">
        <f t="shared" si="60"/>
        <v>202313</v>
      </c>
      <c r="B3405" s="5" t="str">
        <f>"23085030613"</f>
        <v>23085030613</v>
      </c>
      <c r="C3405" s="6">
        <v>94.5</v>
      </c>
      <c r="D3405" s="6">
        <v>111</v>
      </c>
      <c r="E3405" s="6">
        <v>205.5</v>
      </c>
      <c r="F3405" s="11"/>
    </row>
    <row r="3406" spans="1:6">
      <c r="A3406" s="5" t="str">
        <f t="shared" si="60"/>
        <v>202313</v>
      </c>
      <c r="B3406" s="5" t="str">
        <f>"23085030530"</f>
        <v>23085030530</v>
      </c>
      <c r="C3406" s="6">
        <v>90</v>
      </c>
      <c r="D3406" s="6">
        <v>113.5</v>
      </c>
      <c r="E3406" s="6">
        <v>203.5</v>
      </c>
      <c r="F3406" s="11"/>
    </row>
    <row r="3407" spans="1:6">
      <c r="A3407" s="5" t="str">
        <f t="shared" si="60"/>
        <v>202313</v>
      </c>
      <c r="B3407" s="5" t="str">
        <f>"23085030708"</f>
        <v>23085030708</v>
      </c>
      <c r="C3407" s="6">
        <v>96</v>
      </c>
      <c r="D3407" s="6">
        <v>106</v>
      </c>
      <c r="E3407" s="6">
        <v>202</v>
      </c>
      <c r="F3407" s="11"/>
    </row>
    <row r="3408" spans="1:6">
      <c r="A3408" s="5" t="str">
        <f t="shared" si="60"/>
        <v>202313</v>
      </c>
      <c r="B3408" s="5" t="str">
        <f>"23085030522"</f>
        <v>23085030522</v>
      </c>
      <c r="C3408" s="6">
        <v>84</v>
      </c>
      <c r="D3408" s="6">
        <v>117.5</v>
      </c>
      <c r="E3408" s="6">
        <v>201.5</v>
      </c>
      <c r="F3408" s="11"/>
    </row>
    <row r="3409" spans="1:6">
      <c r="A3409" s="5" t="str">
        <f t="shared" si="60"/>
        <v>202313</v>
      </c>
      <c r="B3409" s="5" t="str">
        <f>"23085030706"</f>
        <v>23085030706</v>
      </c>
      <c r="C3409" s="6">
        <v>99</v>
      </c>
      <c r="D3409" s="6">
        <v>102.5</v>
      </c>
      <c r="E3409" s="6">
        <v>201.5</v>
      </c>
      <c r="F3409" s="11"/>
    </row>
    <row r="3410" spans="1:6">
      <c r="A3410" s="5" t="str">
        <f t="shared" si="60"/>
        <v>202313</v>
      </c>
      <c r="B3410" s="5" t="str">
        <f>"23085030602"</f>
        <v>23085030602</v>
      </c>
      <c r="C3410" s="6">
        <v>85.5</v>
      </c>
      <c r="D3410" s="6">
        <v>115</v>
      </c>
      <c r="E3410" s="6">
        <v>200.5</v>
      </c>
      <c r="F3410" s="11"/>
    </row>
    <row r="3411" spans="1:6">
      <c r="A3411" s="5" t="str">
        <f t="shared" si="60"/>
        <v>202313</v>
      </c>
      <c r="B3411" s="5" t="str">
        <f>"23085030625"</f>
        <v>23085030625</v>
      </c>
      <c r="C3411" s="6">
        <v>85.5</v>
      </c>
      <c r="D3411" s="6">
        <v>114</v>
      </c>
      <c r="E3411" s="6">
        <v>199.5</v>
      </c>
      <c r="F3411" s="11"/>
    </row>
    <row r="3412" spans="1:6">
      <c r="A3412" s="5" t="str">
        <f t="shared" si="60"/>
        <v>202313</v>
      </c>
      <c r="B3412" s="5" t="str">
        <f>"23085030529"</f>
        <v>23085030529</v>
      </c>
      <c r="C3412" s="6">
        <v>94.5</v>
      </c>
      <c r="D3412" s="6">
        <v>104</v>
      </c>
      <c r="E3412" s="6">
        <v>198.5</v>
      </c>
      <c r="F3412" s="11"/>
    </row>
    <row r="3413" spans="1:6">
      <c r="A3413" s="5" t="str">
        <f t="shared" si="60"/>
        <v>202313</v>
      </c>
      <c r="B3413" s="5" t="str">
        <f>"23085030521"</f>
        <v>23085030521</v>
      </c>
      <c r="C3413" s="6">
        <v>93</v>
      </c>
      <c r="D3413" s="6">
        <v>103</v>
      </c>
      <c r="E3413" s="6">
        <v>196</v>
      </c>
      <c r="F3413" s="11"/>
    </row>
    <row r="3414" spans="1:6">
      <c r="A3414" s="5" t="str">
        <f t="shared" si="60"/>
        <v>202313</v>
      </c>
      <c r="B3414" s="5" t="str">
        <f>"23085030621"</f>
        <v>23085030621</v>
      </c>
      <c r="C3414" s="6">
        <v>76.5</v>
      </c>
      <c r="D3414" s="6">
        <v>119.5</v>
      </c>
      <c r="E3414" s="6">
        <v>196</v>
      </c>
      <c r="F3414" s="11"/>
    </row>
    <row r="3415" spans="1:6">
      <c r="A3415" s="5" t="str">
        <f t="shared" si="60"/>
        <v>202313</v>
      </c>
      <c r="B3415" s="5" t="str">
        <f>"23085030524"</f>
        <v>23085030524</v>
      </c>
      <c r="C3415" s="6">
        <v>78</v>
      </c>
      <c r="D3415" s="6">
        <v>102.5</v>
      </c>
      <c r="E3415" s="6">
        <v>180.5</v>
      </c>
      <c r="F3415" s="11"/>
    </row>
    <row r="3416" spans="1:6">
      <c r="A3416" s="5" t="str">
        <f t="shared" si="60"/>
        <v>202313</v>
      </c>
      <c r="B3416" s="5" t="str">
        <f>"23085030629"</f>
        <v>23085030629</v>
      </c>
      <c r="C3416" s="6">
        <v>64.5</v>
      </c>
      <c r="D3416" s="6">
        <v>69.5</v>
      </c>
      <c r="E3416" s="6">
        <v>134</v>
      </c>
      <c r="F3416" s="11"/>
    </row>
    <row r="3417" spans="1:6">
      <c r="A3417" s="5" t="str">
        <f t="shared" si="60"/>
        <v>202313</v>
      </c>
      <c r="B3417" s="5" t="str">
        <f>"23085030526"</f>
        <v>23085030526</v>
      </c>
      <c r="C3417" s="6">
        <v>73.5</v>
      </c>
      <c r="D3417" s="6">
        <v>60</v>
      </c>
      <c r="E3417" s="6">
        <v>133.5</v>
      </c>
      <c r="F3417" s="11"/>
    </row>
    <row r="3418" spans="1:6">
      <c r="A3418" s="5" t="str">
        <f t="shared" si="60"/>
        <v>202313</v>
      </c>
      <c r="B3418" s="5" t="str">
        <f>"23085030608"</f>
        <v>23085030608</v>
      </c>
      <c r="C3418" s="6">
        <v>0</v>
      </c>
      <c r="D3418" s="6">
        <v>0</v>
      </c>
      <c r="E3418" s="6">
        <v>0</v>
      </c>
      <c r="F3418" s="11" t="s">
        <v>7</v>
      </c>
    </row>
    <row r="3419" spans="1:6">
      <c r="A3419" s="5" t="str">
        <f t="shared" si="60"/>
        <v>202313</v>
      </c>
      <c r="B3419" s="5" t="str">
        <f>"23085030704"</f>
        <v>23085030704</v>
      </c>
      <c r="C3419" s="6">
        <v>0</v>
      </c>
      <c r="D3419" s="6">
        <v>0</v>
      </c>
      <c r="E3419" s="6">
        <v>0</v>
      </c>
      <c r="F3419" s="11" t="s">
        <v>7</v>
      </c>
    </row>
    <row r="3420" spans="1:6">
      <c r="A3420" s="5" t="str">
        <f t="shared" si="60"/>
        <v>202313</v>
      </c>
      <c r="B3420" s="5" t="str">
        <f>"23085030701"</f>
        <v>23085030701</v>
      </c>
      <c r="C3420" s="6">
        <v>0</v>
      </c>
      <c r="D3420" s="6">
        <v>0</v>
      </c>
      <c r="E3420" s="6">
        <v>0</v>
      </c>
      <c r="F3420" s="11" t="s">
        <v>7</v>
      </c>
    </row>
    <row r="3421" spans="1:6">
      <c r="A3421" s="5" t="str">
        <f t="shared" si="60"/>
        <v>202313</v>
      </c>
      <c r="B3421" s="5" t="str">
        <f>"23085030626"</f>
        <v>23085030626</v>
      </c>
      <c r="C3421" s="6">
        <v>0</v>
      </c>
      <c r="D3421" s="6">
        <v>0</v>
      </c>
      <c r="E3421" s="6">
        <v>0</v>
      </c>
      <c r="F3421" s="11" t="s">
        <v>7</v>
      </c>
    </row>
    <row r="3422" spans="1:6">
      <c r="A3422" s="5" t="str">
        <f t="shared" si="60"/>
        <v>202313</v>
      </c>
      <c r="B3422" s="5" t="str">
        <f>"23085030610"</f>
        <v>23085030610</v>
      </c>
      <c r="C3422" s="6">
        <v>0</v>
      </c>
      <c r="D3422" s="6">
        <v>0</v>
      </c>
      <c r="E3422" s="6">
        <v>0</v>
      </c>
      <c r="F3422" s="11" t="s">
        <v>7</v>
      </c>
    </row>
    <row r="3423" spans="1:6">
      <c r="A3423" s="5" t="str">
        <f t="shared" si="60"/>
        <v>202313</v>
      </c>
      <c r="B3423" s="5" t="str">
        <f>"23085030607"</f>
        <v>23085030607</v>
      </c>
      <c r="C3423" s="6">
        <v>0</v>
      </c>
      <c r="D3423" s="6">
        <v>0</v>
      </c>
      <c r="E3423" s="6">
        <v>0</v>
      </c>
      <c r="F3423" s="11" t="s">
        <v>7</v>
      </c>
    </row>
    <row r="3424" spans="1:6">
      <c r="A3424" s="5" t="str">
        <f t="shared" si="60"/>
        <v>202313</v>
      </c>
      <c r="B3424" s="5" t="str">
        <f>"23085030527"</f>
        <v>23085030527</v>
      </c>
      <c r="C3424" s="6">
        <v>0</v>
      </c>
      <c r="D3424" s="6">
        <v>0</v>
      </c>
      <c r="E3424" s="6">
        <v>0</v>
      </c>
      <c r="F3424" s="11" t="s">
        <v>7</v>
      </c>
    </row>
    <row r="3425" spans="1:6">
      <c r="A3425" s="5" t="str">
        <f t="shared" si="60"/>
        <v>202313</v>
      </c>
      <c r="B3425" s="5" t="str">
        <f>"23085030614"</f>
        <v>23085030614</v>
      </c>
      <c r="C3425" s="6">
        <v>0</v>
      </c>
      <c r="D3425" s="6">
        <v>0</v>
      </c>
      <c r="E3425" s="6">
        <v>0</v>
      </c>
      <c r="F3425" s="11" t="s">
        <v>7</v>
      </c>
    </row>
    <row r="3426" spans="1:6">
      <c r="A3426" s="5" t="str">
        <f t="shared" si="60"/>
        <v>202313</v>
      </c>
      <c r="B3426" s="5" t="str">
        <f>"23085030618"</f>
        <v>23085030618</v>
      </c>
      <c r="C3426" s="6">
        <v>0</v>
      </c>
      <c r="D3426" s="6">
        <v>0</v>
      </c>
      <c r="E3426" s="6">
        <v>0</v>
      </c>
      <c r="F3426" s="11" t="s">
        <v>7</v>
      </c>
    </row>
    <row r="3427" spans="1:6">
      <c r="A3427" s="5" t="str">
        <f t="shared" si="60"/>
        <v>202313</v>
      </c>
      <c r="B3427" s="5" t="str">
        <f>"23085030702"</f>
        <v>23085030702</v>
      </c>
      <c r="C3427" s="6">
        <v>0</v>
      </c>
      <c r="D3427" s="6">
        <v>0</v>
      </c>
      <c r="E3427" s="6">
        <v>0</v>
      </c>
      <c r="F3427" s="11" t="s">
        <v>7</v>
      </c>
    </row>
    <row r="3428" spans="1:6">
      <c r="A3428" s="5" t="str">
        <f t="shared" si="60"/>
        <v>202313</v>
      </c>
      <c r="B3428" s="5" t="str">
        <f>"23085030707"</f>
        <v>23085030707</v>
      </c>
      <c r="C3428" s="6">
        <v>0</v>
      </c>
      <c r="D3428" s="6">
        <v>0</v>
      </c>
      <c r="E3428" s="6">
        <v>0</v>
      </c>
      <c r="F3428" s="11" t="s">
        <v>7</v>
      </c>
    </row>
    <row r="3429" spans="1:6">
      <c r="A3429" s="5" t="str">
        <f t="shared" si="60"/>
        <v>202313</v>
      </c>
      <c r="B3429" s="5" t="str">
        <f>"23085030619"</f>
        <v>23085030619</v>
      </c>
      <c r="C3429" s="6">
        <v>0</v>
      </c>
      <c r="D3429" s="6">
        <v>0</v>
      </c>
      <c r="E3429" s="6">
        <v>0</v>
      </c>
      <c r="F3429" s="11" t="s">
        <v>7</v>
      </c>
    </row>
    <row r="3430" spans="1:6">
      <c r="A3430" s="5" t="str">
        <f t="shared" si="60"/>
        <v>202313</v>
      </c>
      <c r="B3430" s="5" t="str">
        <f>"23085030611"</f>
        <v>23085030611</v>
      </c>
      <c r="C3430" s="6">
        <v>0</v>
      </c>
      <c r="D3430" s="6">
        <v>0</v>
      </c>
      <c r="E3430" s="6">
        <v>0</v>
      </c>
      <c r="F3430" s="11" t="s">
        <v>7</v>
      </c>
    </row>
    <row r="3431" spans="1:6">
      <c r="A3431" s="5" t="str">
        <f t="shared" ref="A3431:A3454" si="61">"202314"</f>
        <v>202314</v>
      </c>
      <c r="B3431" s="5" t="str">
        <f>"23085030730"</f>
        <v>23085030730</v>
      </c>
      <c r="C3431" s="6">
        <v>118.5</v>
      </c>
      <c r="D3431" s="6">
        <v>120</v>
      </c>
      <c r="E3431" s="6">
        <v>238.5</v>
      </c>
      <c r="F3431" s="11"/>
    </row>
    <row r="3432" spans="1:6">
      <c r="A3432" s="5" t="str">
        <f t="shared" si="61"/>
        <v>202314</v>
      </c>
      <c r="B3432" s="5" t="str">
        <f>"23085030723"</f>
        <v>23085030723</v>
      </c>
      <c r="C3432" s="6">
        <v>111</v>
      </c>
      <c r="D3432" s="6">
        <v>119</v>
      </c>
      <c r="E3432" s="6">
        <v>230</v>
      </c>
      <c r="F3432" s="11"/>
    </row>
    <row r="3433" spans="1:6">
      <c r="A3433" s="5" t="str">
        <f t="shared" si="61"/>
        <v>202314</v>
      </c>
      <c r="B3433" s="5" t="str">
        <f>"23085030718"</f>
        <v>23085030718</v>
      </c>
      <c r="C3433" s="6">
        <v>109.5</v>
      </c>
      <c r="D3433" s="6">
        <v>112.5</v>
      </c>
      <c r="E3433" s="6">
        <v>222</v>
      </c>
      <c r="F3433" s="11"/>
    </row>
    <row r="3434" spans="1:6">
      <c r="A3434" s="5" t="str">
        <f t="shared" si="61"/>
        <v>202314</v>
      </c>
      <c r="B3434" s="5" t="str">
        <f>"23085030724"</f>
        <v>23085030724</v>
      </c>
      <c r="C3434" s="6">
        <v>97.5</v>
      </c>
      <c r="D3434" s="6">
        <v>124.5</v>
      </c>
      <c r="E3434" s="6">
        <v>222</v>
      </c>
      <c r="F3434" s="11"/>
    </row>
    <row r="3435" spans="1:6">
      <c r="A3435" s="5" t="str">
        <f t="shared" si="61"/>
        <v>202314</v>
      </c>
      <c r="B3435" s="5" t="str">
        <f>"23085030722"</f>
        <v>23085030722</v>
      </c>
      <c r="C3435" s="6">
        <v>106.5</v>
      </c>
      <c r="D3435" s="6">
        <v>112.5</v>
      </c>
      <c r="E3435" s="6">
        <v>219</v>
      </c>
      <c r="F3435" s="11"/>
    </row>
    <row r="3436" spans="1:6">
      <c r="A3436" s="5" t="str">
        <f t="shared" si="61"/>
        <v>202314</v>
      </c>
      <c r="B3436" s="5" t="str">
        <f>"23085030729"</f>
        <v>23085030729</v>
      </c>
      <c r="C3436" s="6">
        <v>96</v>
      </c>
      <c r="D3436" s="6">
        <v>117.5</v>
      </c>
      <c r="E3436" s="6">
        <v>213.5</v>
      </c>
      <c r="F3436" s="11"/>
    </row>
    <row r="3437" spans="1:6">
      <c r="A3437" s="5" t="str">
        <f t="shared" si="61"/>
        <v>202314</v>
      </c>
      <c r="B3437" s="5" t="str">
        <f>"23085030713"</f>
        <v>23085030713</v>
      </c>
      <c r="C3437" s="6">
        <v>102</v>
      </c>
      <c r="D3437" s="6">
        <v>108.5</v>
      </c>
      <c r="E3437" s="6">
        <v>210.5</v>
      </c>
      <c r="F3437" s="11"/>
    </row>
    <row r="3438" spans="1:6">
      <c r="A3438" s="5" t="str">
        <f t="shared" si="61"/>
        <v>202314</v>
      </c>
      <c r="B3438" s="5" t="str">
        <f>"23085030721"</f>
        <v>23085030721</v>
      </c>
      <c r="C3438" s="6">
        <v>90</v>
      </c>
      <c r="D3438" s="6">
        <v>117</v>
      </c>
      <c r="E3438" s="6">
        <v>207</v>
      </c>
      <c r="F3438" s="11"/>
    </row>
    <row r="3439" spans="1:6">
      <c r="A3439" s="5" t="str">
        <f t="shared" si="61"/>
        <v>202314</v>
      </c>
      <c r="B3439" s="5" t="str">
        <f>"23085030716"</f>
        <v>23085030716</v>
      </c>
      <c r="C3439" s="6">
        <v>91.5</v>
      </c>
      <c r="D3439" s="6">
        <v>113.5</v>
      </c>
      <c r="E3439" s="6">
        <v>205</v>
      </c>
      <c r="F3439" s="11"/>
    </row>
    <row r="3440" spans="1:6">
      <c r="A3440" s="5" t="str">
        <f t="shared" si="61"/>
        <v>202314</v>
      </c>
      <c r="B3440" s="5" t="str">
        <f>"23085030801"</f>
        <v>23085030801</v>
      </c>
      <c r="C3440" s="6">
        <v>82.5</v>
      </c>
      <c r="D3440" s="6">
        <v>119</v>
      </c>
      <c r="E3440" s="6">
        <v>201.5</v>
      </c>
      <c r="F3440" s="11"/>
    </row>
    <row r="3441" spans="1:6">
      <c r="A3441" s="5" t="str">
        <f t="shared" si="61"/>
        <v>202314</v>
      </c>
      <c r="B3441" s="5" t="str">
        <f>"23085030719"</f>
        <v>23085030719</v>
      </c>
      <c r="C3441" s="6">
        <v>90</v>
      </c>
      <c r="D3441" s="6">
        <v>109.5</v>
      </c>
      <c r="E3441" s="6">
        <v>199.5</v>
      </c>
      <c r="F3441" s="11"/>
    </row>
    <row r="3442" spans="1:6">
      <c r="A3442" s="5" t="str">
        <f t="shared" si="61"/>
        <v>202314</v>
      </c>
      <c r="B3442" s="5" t="str">
        <f>"23085030711"</f>
        <v>23085030711</v>
      </c>
      <c r="C3442" s="6">
        <v>90</v>
      </c>
      <c r="D3442" s="6">
        <v>108.5</v>
      </c>
      <c r="E3442" s="6">
        <v>198.5</v>
      </c>
      <c r="F3442" s="11"/>
    </row>
    <row r="3443" spans="1:6">
      <c r="A3443" s="5" t="str">
        <f t="shared" si="61"/>
        <v>202314</v>
      </c>
      <c r="B3443" s="5" t="str">
        <f>"23085030727"</f>
        <v>23085030727</v>
      </c>
      <c r="C3443" s="6">
        <v>87</v>
      </c>
      <c r="D3443" s="6">
        <v>111.5</v>
      </c>
      <c r="E3443" s="6">
        <v>198.5</v>
      </c>
      <c r="F3443" s="11"/>
    </row>
    <row r="3444" spans="1:6">
      <c r="A3444" s="5" t="str">
        <f t="shared" si="61"/>
        <v>202314</v>
      </c>
      <c r="B3444" s="5" t="str">
        <f>"23085030709"</f>
        <v>23085030709</v>
      </c>
      <c r="C3444" s="6">
        <v>85.5</v>
      </c>
      <c r="D3444" s="6">
        <v>110.5</v>
      </c>
      <c r="E3444" s="6">
        <v>196</v>
      </c>
      <c r="F3444" s="11"/>
    </row>
    <row r="3445" spans="1:6">
      <c r="A3445" s="5" t="str">
        <f t="shared" si="61"/>
        <v>202314</v>
      </c>
      <c r="B3445" s="5" t="str">
        <f>"23085030720"</f>
        <v>23085030720</v>
      </c>
      <c r="C3445" s="6">
        <v>78</v>
      </c>
      <c r="D3445" s="6">
        <v>112.5</v>
      </c>
      <c r="E3445" s="6">
        <v>190.5</v>
      </c>
      <c r="F3445" s="11"/>
    </row>
    <row r="3446" spans="1:6">
      <c r="A3446" s="5" t="str">
        <f t="shared" si="61"/>
        <v>202314</v>
      </c>
      <c r="B3446" s="5" t="str">
        <f>"23085030715"</f>
        <v>23085030715</v>
      </c>
      <c r="C3446" s="6">
        <v>76.5</v>
      </c>
      <c r="D3446" s="6">
        <v>111.5</v>
      </c>
      <c r="E3446" s="6">
        <v>188</v>
      </c>
      <c r="F3446" s="11"/>
    </row>
    <row r="3447" spans="1:6">
      <c r="A3447" s="5" t="str">
        <f t="shared" si="61"/>
        <v>202314</v>
      </c>
      <c r="B3447" s="5" t="str">
        <f>"23085030712"</f>
        <v>23085030712</v>
      </c>
      <c r="C3447" s="6">
        <v>63</v>
      </c>
      <c r="D3447" s="6">
        <v>114.5</v>
      </c>
      <c r="E3447" s="6">
        <v>177.5</v>
      </c>
      <c r="F3447" s="11"/>
    </row>
    <row r="3448" spans="1:6">
      <c r="A3448" s="5" t="str">
        <f t="shared" si="61"/>
        <v>202314</v>
      </c>
      <c r="B3448" s="5" t="str">
        <f>"23085030714"</f>
        <v>23085030714</v>
      </c>
      <c r="C3448" s="6">
        <v>0</v>
      </c>
      <c r="D3448" s="6">
        <v>0</v>
      </c>
      <c r="E3448" s="6">
        <v>0</v>
      </c>
      <c r="F3448" s="11" t="s">
        <v>7</v>
      </c>
    </row>
    <row r="3449" spans="1:6">
      <c r="A3449" s="5" t="str">
        <f t="shared" si="61"/>
        <v>202314</v>
      </c>
      <c r="B3449" s="5" t="str">
        <f>"23085030717"</f>
        <v>23085030717</v>
      </c>
      <c r="C3449" s="6">
        <v>0</v>
      </c>
      <c r="D3449" s="6">
        <v>0</v>
      </c>
      <c r="E3449" s="6">
        <v>0</v>
      </c>
      <c r="F3449" s="11" t="s">
        <v>7</v>
      </c>
    </row>
    <row r="3450" spans="1:6">
      <c r="A3450" s="5" t="str">
        <f t="shared" si="61"/>
        <v>202314</v>
      </c>
      <c r="B3450" s="5" t="str">
        <f>"23085030725"</f>
        <v>23085030725</v>
      </c>
      <c r="C3450" s="6">
        <v>0</v>
      </c>
      <c r="D3450" s="6">
        <v>0</v>
      </c>
      <c r="E3450" s="6">
        <v>0</v>
      </c>
      <c r="F3450" s="11" t="s">
        <v>7</v>
      </c>
    </row>
    <row r="3451" spans="1:6">
      <c r="A3451" s="5" t="str">
        <f t="shared" si="61"/>
        <v>202314</v>
      </c>
      <c r="B3451" s="5" t="str">
        <f>"23085030728"</f>
        <v>23085030728</v>
      </c>
      <c r="C3451" s="6">
        <v>0</v>
      </c>
      <c r="D3451" s="6">
        <v>0</v>
      </c>
      <c r="E3451" s="6">
        <v>0</v>
      </c>
      <c r="F3451" s="11" t="s">
        <v>7</v>
      </c>
    </row>
    <row r="3452" spans="1:6">
      <c r="A3452" s="5" t="str">
        <f t="shared" si="61"/>
        <v>202314</v>
      </c>
      <c r="B3452" s="5" t="str">
        <f>"23085030726"</f>
        <v>23085030726</v>
      </c>
      <c r="C3452" s="6">
        <v>0</v>
      </c>
      <c r="D3452" s="6">
        <v>0</v>
      </c>
      <c r="E3452" s="6">
        <v>0</v>
      </c>
      <c r="F3452" s="11" t="s">
        <v>7</v>
      </c>
    </row>
    <row r="3453" spans="1:6">
      <c r="A3453" s="5" t="str">
        <f t="shared" si="61"/>
        <v>202314</v>
      </c>
      <c r="B3453" s="5" t="str">
        <f>"23085030710"</f>
        <v>23085030710</v>
      </c>
      <c r="C3453" s="6">
        <v>0</v>
      </c>
      <c r="D3453" s="6">
        <v>0</v>
      </c>
      <c r="E3453" s="6">
        <v>0</v>
      </c>
      <c r="F3453" s="11" t="s">
        <v>7</v>
      </c>
    </row>
    <row r="3454" spans="1:6">
      <c r="A3454" s="5" t="str">
        <f t="shared" si="61"/>
        <v>202314</v>
      </c>
      <c r="B3454" s="5" t="str">
        <f>"23085030802"</f>
        <v>23085030802</v>
      </c>
      <c r="C3454" s="6">
        <v>0</v>
      </c>
      <c r="D3454" s="6">
        <v>0</v>
      </c>
      <c r="E3454" s="6">
        <v>0</v>
      </c>
      <c r="F3454" s="11" t="s">
        <v>7</v>
      </c>
    </row>
    <row r="3455" spans="1:6">
      <c r="A3455" s="5" t="str">
        <f t="shared" ref="A3455:A3518" si="62">"202315"</f>
        <v>202315</v>
      </c>
      <c r="B3455" s="5" t="str">
        <f>"23085031113"</f>
        <v>23085031113</v>
      </c>
      <c r="C3455" s="6">
        <v>127.5</v>
      </c>
      <c r="D3455" s="6">
        <v>118</v>
      </c>
      <c r="E3455" s="6">
        <v>245.5</v>
      </c>
      <c r="F3455" s="11"/>
    </row>
    <row r="3456" spans="1:6">
      <c r="A3456" s="5" t="str">
        <f t="shared" si="62"/>
        <v>202315</v>
      </c>
      <c r="B3456" s="5" t="str">
        <f>"23085030812"</f>
        <v>23085030812</v>
      </c>
      <c r="C3456" s="6">
        <v>117</v>
      </c>
      <c r="D3456" s="6">
        <v>125</v>
      </c>
      <c r="E3456" s="6">
        <v>242</v>
      </c>
      <c r="F3456" s="11"/>
    </row>
    <row r="3457" spans="1:6">
      <c r="A3457" s="5" t="str">
        <f t="shared" si="62"/>
        <v>202315</v>
      </c>
      <c r="B3457" s="5" t="str">
        <f>"23085030817"</f>
        <v>23085030817</v>
      </c>
      <c r="C3457" s="6">
        <v>117</v>
      </c>
      <c r="D3457" s="6">
        <v>120.5</v>
      </c>
      <c r="E3457" s="6">
        <v>237.5</v>
      </c>
      <c r="F3457" s="11"/>
    </row>
    <row r="3458" spans="1:6">
      <c r="A3458" s="5" t="str">
        <f t="shared" si="62"/>
        <v>202315</v>
      </c>
      <c r="B3458" s="5" t="str">
        <f>"23085030905"</f>
        <v>23085030905</v>
      </c>
      <c r="C3458" s="6">
        <v>117</v>
      </c>
      <c r="D3458" s="6">
        <v>118.5</v>
      </c>
      <c r="E3458" s="6">
        <v>235.5</v>
      </c>
      <c r="F3458" s="11"/>
    </row>
    <row r="3459" spans="1:6">
      <c r="A3459" s="5" t="str">
        <f t="shared" si="62"/>
        <v>202315</v>
      </c>
      <c r="B3459" s="5" t="str">
        <f>"23085030926"</f>
        <v>23085030926</v>
      </c>
      <c r="C3459" s="6">
        <v>121.5</v>
      </c>
      <c r="D3459" s="6">
        <v>111.5</v>
      </c>
      <c r="E3459" s="6">
        <v>233</v>
      </c>
      <c r="F3459" s="11"/>
    </row>
    <row r="3460" spans="1:6">
      <c r="A3460" s="5" t="str">
        <f t="shared" si="62"/>
        <v>202315</v>
      </c>
      <c r="B3460" s="5" t="str">
        <f>"23085030913"</f>
        <v>23085030913</v>
      </c>
      <c r="C3460" s="6">
        <v>114</v>
      </c>
      <c r="D3460" s="6">
        <v>116.5</v>
      </c>
      <c r="E3460" s="6">
        <v>230.5</v>
      </c>
      <c r="F3460" s="11"/>
    </row>
    <row r="3461" spans="1:6">
      <c r="A3461" s="5" t="str">
        <f t="shared" si="62"/>
        <v>202315</v>
      </c>
      <c r="B3461" s="5" t="str">
        <f>"23085030927"</f>
        <v>23085030927</v>
      </c>
      <c r="C3461" s="6">
        <v>117</v>
      </c>
      <c r="D3461" s="6">
        <v>113</v>
      </c>
      <c r="E3461" s="6">
        <v>230</v>
      </c>
      <c r="F3461" s="11"/>
    </row>
    <row r="3462" spans="1:6">
      <c r="A3462" s="5" t="str">
        <f t="shared" si="62"/>
        <v>202315</v>
      </c>
      <c r="B3462" s="5" t="str">
        <f>"23085030915"</f>
        <v>23085030915</v>
      </c>
      <c r="C3462" s="6">
        <v>103.5</v>
      </c>
      <c r="D3462" s="6">
        <v>121.5</v>
      </c>
      <c r="E3462" s="6">
        <v>225</v>
      </c>
      <c r="F3462" s="11"/>
    </row>
    <row r="3463" spans="1:6">
      <c r="A3463" s="5" t="str">
        <f t="shared" si="62"/>
        <v>202315</v>
      </c>
      <c r="B3463" s="5" t="str">
        <f>"23085030910"</f>
        <v>23085030910</v>
      </c>
      <c r="C3463" s="6">
        <v>105</v>
      </c>
      <c r="D3463" s="6">
        <v>119</v>
      </c>
      <c r="E3463" s="6">
        <v>224</v>
      </c>
      <c r="F3463" s="11"/>
    </row>
    <row r="3464" spans="1:6">
      <c r="A3464" s="5" t="str">
        <f t="shared" si="62"/>
        <v>202315</v>
      </c>
      <c r="B3464" s="5" t="str">
        <f>"23085031001"</f>
        <v>23085031001</v>
      </c>
      <c r="C3464" s="6">
        <v>106.5</v>
      </c>
      <c r="D3464" s="6">
        <v>117</v>
      </c>
      <c r="E3464" s="6">
        <v>223.5</v>
      </c>
      <c r="F3464" s="11"/>
    </row>
    <row r="3465" spans="1:6">
      <c r="A3465" s="5" t="str">
        <f t="shared" si="62"/>
        <v>202315</v>
      </c>
      <c r="B3465" s="5" t="str">
        <f>"23085030810"</f>
        <v>23085030810</v>
      </c>
      <c r="C3465" s="6">
        <v>102</v>
      </c>
      <c r="D3465" s="6">
        <v>121</v>
      </c>
      <c r="E3465" s="6">
        <v>223</v>
      </c>
      <c r="F3465" s="11"/>
    </row>
    <row r="3466" spans="1:6">
      <c r="A3466" s="5" t="str">
        <f t="shared" si="62"/>
        <v>202315</v>
      </c>
      <c r="B3466" s="5" t="str">
        <f>"23085030807"</f>
        <v>23085030807</v>
      </c>
      <c r="C3466" s="6">
        <v>103.5</v>
      </c>
      <c r="D3466" s="6">
        <v>119</v>
      </c>
      <c r="E3466" s="6">
        <v>222.5</v>
      </c>
      <c r="F3466" s="11"/>
    </row>
    <row r="3467" spans="1:6">
      <c r="A3467" s="5" t="str">
        <f t="shared" si="62"/>
        <v>202315</v>
      </c>
      <c r="B3467" s="5" t="str">
        <f>"23085030827"</f>
        <v>23085030827</v>
      </c>
      <c r="C3467" s="6">
        <v>108</v>
      </c>
      <c r="D3467" s="6">
        <v>114.5</v>
      </c>
      <c r="E3467" s="6">
        <v>222.5</v>
      </c>
      <c r="F3467" s="11"/>
    </row>
    <row r="3468" spans="1:6">
      <c r="A3468" s="5" t="str">
        <f t="shared" si="62"/>
        <v>202315</v>
      </c>
      <c r="B3468" s="5" t="str">
        <f>"23085030828"</f>
        <v>23085030828</v>
      </c>
      <c r="C3468" s="6">
        <v>105</v>
      </c>
      <c r="D3468" s="6">
        <v>116.5</v>
      </c>
      <c r="E3468" s="6">
        <v>221.5</v>
      </c>
      <c r="F3468" s="11"/>
    </row>
    <row r="3469" spans="1:6">
      <c r="A3469" s="5" t="str">
        <f t="shared" si="62"/>
        <v>202315</v>
      </c>
      <c r="B3469" s="5" t="str">
        <f>"23085031030"</f>
        <v>23085031030</v>
      </c>
      <c r="C3469" s="6">
        <v>100.5</v>
      </c>
      <c r="D3469" s="6">
        <v>120</v>
      </c>
      <c r="E3469" s="6">
        <v>220.5</v>
      </c>
      <c r="F3469" s="11"/>
    </row>
    <row r="3470" spans="1:6">
      <c r="A3470" s="5" t="str">
        <f t="shared" si="62"/>
        <v>202315</v>
      </c>
      <c r="B3470" s="5" t="str">
        <f>"23085031118"</f>
        <v>23085031118</v>
      </c>
      <c r="C3470" s="6">
        <v>97.5</v>
      </c>
      <c r="D3470" s="6">
        <v>122.5</v>
      </c>
      <c r="E3470" s="6">
        <v>220</v>
      </c>
      <c r="F3470" s="11"/>
    </row>
    <row r="3471" spans="1:6">
      <c r="A3471" s="5" t="str">
        <f t="shared" si="62"/>
        <v>202315</v>
      </c>
      <c r="B3471" s="5" t="str">
        <f>"23085030901"</f>
        <v>23085030901</v>
      </c>
      <c r="C3471" s="6">
        <v>102</v>
      </c>
      <c r="D3471" s="6">
        <v>118</v>
      </c>
      <c r="E3471" s="6">
        <v>220</v>
      </c>
      <c r="F3471" s="11"/>
    </row>
    <row r="3472" spans="1:6">
      <c r="A3472" s="5" t="str">
        <f t="shared" si="62"/>
        <v>202315</v>
      </c>
      <c r="B3472" s="5" t="str">
        <f>"23085030924"</f>
        <v>23085030924</v>
      </c>
      <c r="C3472" s="6">
        <v>105</v>
      </c>
      <c r="D3472" s="6">
        <v>114.5</v>
      </c>
      <c r="E3472" s="6">
        <v>219.5</v>
      </c>
      <c r="F3472" s="11"/>
    </row>
    <row r="3473" spans="1:6">
      <c r="A3473" s="5" t="str">
        <f t="shared" si="62"/>
        <v>202315</v>
      </c>
      <c r="B3473" s="5" t="str">
        <f>"23085031121"</f>
        <v>23085031121</v>
      </c>
      <c r="C3473" s="6">
        <v>106.5</v>
      </c>
      <c r="D3473" s="6">
        <v>113</v>
      </c>
      <c r="E3473" s="6">
        <v>219.5</v>
      </c>
      <c r="F3473" s="11"/>
    </row>
    <row r="3474" spans="1:6">
      <c r="A3474" s="5" t="str">
        <f t="shared" si="62"/>
        <v>202315</v>
      </c>
      <c r="B3474" s="5" t="str">
        <f>"23085030920"</f>
        <v>23085030920</v>
      </c>
      <c r="C3474" s="6">
        <v>111</v>
      </c>
      <c r="D3474" s="6">
        <v>108</v>
      </c>
      <c r="E3474" s="6">
        <v>219</v>
      </c>
      <c r="F3474" s="11"/>
    </row>
    <row r="3475" spans="1:6">
      <c r="A3475" s="5" t="str">
        <f t="shared" si="62"/>
        <v>202315</v>
      </c>
      <c r="B3475" s="5" t="str">
        <f>"23085030903"</f>
        <v>23085030903</v>
      </c>
      <c r="C3475" s="6">
        <v>102</v>
      </c>
      <c r="D3475" s="6">
        <v>117</v>
      </c>
      <c r="E3475" s="6">
        <v>219</v>
      </c>
      <c r="F3475" s="11"/>
    </row>
    <row r="3476" spans="1:6">
      <c r="A3476" s="5" t="str">
        <f t="shared" si="62"/>
        <v>202315</v>
      </c>
      <c r="B3476" s="5" t="str">
        <f>"23085031010"</f>
        <v>23085031010</v>
      </c>
      <c r="C3476" s="6">
        <v>100.5</v>
      </c>
      <c r="D3476" s="6">
        <v>117</v>
      </c>
      <c r="E3476" s="6">
        <v>217.5</v>
      </c>
      <c r="F3476" s="11"/>
    </row>
    <row r="3477" spans="1:6">
      <c r="A3477" s="5" t="str">
        <f t="shared" si="62"/>
        <v>202315</v>
      </c>
      <c r="B3477" s="5" t="str">
        <f>"23085031029"</f>
        <v>23085031029</v>
      </c>
      <c r="C3477" s="6">
        <v>96</v>
      </c>
      <c r="D3477" s="6">
        <v>120.5</v>
      </c>
      <c r="E3477" s="6">
        <v>216.5</v>
      </c>
      <c r="F3477" s="11"/>
    </row>
    <row r="3478" spans="1:6">
      <c r="A3478" s="5" t="str">
        <f t="shared" si="62"/>
        <v>202315</v>
      </c>
      <c r="B3478" s="5" t="str">
        <f>"23085030805"</f>
        <v>23085030805</v>
      </c>
      <c r="C3478" s="6">
        <v>103.5</v>
      </c>
      <c r="D3478" s="6">
        <v>112.5</v>
      </c>
      <c r="E3478" s="6">
        <v>216</v>
      </c>
      <c r="F3478" s="11"/>
    </row>
    <row r="3479" spans="1:6">
      <c r="A3479" s="5" t="str">
        <f t="shared" si="62"/>
        <v>202315</v>
      </c>
      <c r="B3479" s="5" t="str">
        <f>"23085030912"</f>
        <v>23085030912</v>
      </c>
      <c r="C3479" s="6">
        <v>106.5</v>
      </c>
      <c r="D3479" s="6">
        <v>109</v>
      </c>
      <c r="E3479" s="6">
        <v>215.5</v>
      </c>
      <c r="F3479" s="11"/>
    </row>
    <row r="3480" spans="1:6">
      <c r="A3480" s="5" t="str">
        <f t="shared" si="62"/>
        <v>202315</v>
      </c>
      <c r="B3480" s="5" t="str">
        <f>"23085030830"</f>
        <v>23085030830</v>
      </c>
      <c r="C3480" s="6">
        <v>99</v>
      </c>
      <c r="D3480" s="6">
        <v>116.5</v>
      </c>
      <c r="E3480" s="6">
        <v>215.5</v>
      </c>
      <c r="F3480" s="11"/>
    </row>
    <row r="3481" spans="1:6">
      <c r="A3481" s="5" t="str">
        <f t="shared" si="62"/>
        <v>202315</v>
      </c>
      <c r="B3481" s="5" t="str">
        <f>"23085030822"</f>
        <v>23085030822</v>
      </c>
      <c r="C3481" s="6">
        <v>94.5</v>
      </c>
      <c r="D3481" s="6">
        <v>119.5</v>
      </c>
      <c r="E3481" s="6">
        <v>214</v>
      </c>
      <c r="F3481" s="11"/>
    </row>
    <row r="3482" spans="1:6">
      <c r="A3482" s="5" t="str">
        <f t="shared" si="62"/>
        <v>202315</v>
      </c>
      <c r="B3482" s="5" t="str">
        <f>"23085031109"</f>
        <v>23085031109</v>
      </c>
      <c r="C3482" s="6">
        <v>91.5</v>
      </c>
      <c r="D3482" s="6">
        <v>122</v>
      </c>
      <c r="E3482" s="6">
        <v>213.5</v>
      </c>
      <c r="F3482" s="11"/>
    </row>
    <row r="3483" spans="1:6">
      <c r="A3483" s="5" t="str">
        <f t="shared" si="62"/>
        <v>202315</v>
      </c>
      <c r="B3483" s="5" t="str">
        <f>"23085031023"</f>
        <v>23085031023</v>
      </c>
      <c r="C3483" s="6">
        <v>99</v>
      </c>
      <c r="D3483" s="6">
        <v>114</v>
      </c>
      <c r="E3483" s="6">
        <v>213</v>
      </c>
      <c r="F3483" s="11"/>
    </row>
    <row r="3484" spans="1:6">
      <c r="A3484" s="5" t="str">
        <f t="shared" si="62"/>
        <v>202315</v>
      </c>
      <c r="B3484" s="5" t="str">
        <f>"23085031123"</f>
        <v>23085031123</v>
      </c>
      <c r="C3484" s="6">
        <v>97.5</v>
      </c>
      <c r="D3484" s="6">
        <v>115.5</v>
      </c>
      <c r="E3484" s="6">
        <v>213</v>
      </c>
      <c r="F3484" s="11"/>
    </row>
    <row r="3485" spans="1:6">
      <c r="A3485" s="5" t="str">
        <f t="shared" si="62"/>
        <v>202315</v>
      </c>
      <c r="B3485" s="5" t="str">
        <f>"23085031003"</f>
        <v>23085031003</v>
      </c>
      <c r="C3485" s="6">
        <v>102</v>
      </c>
      <c r="D3485" s="6">
        <v>110.5</v>
      </c>
      <c r="E3485" s="6">
        <v>212.5</v>
      </c>
      <c r="F3485" s="11"/>
    </row>
    <row r="3486" spans="1:6">
      <c r="A3486" s="5" t="str">
        <f t="shared" si="62"/>
        <v>202315</v>
      </c>
      <c r="B3486" s="5" t="str">
        <f>"23085030804"</f>
        <v>23085030804</v>
      </c>
      <c r="C3486" s="6">
        <v>99</v>
      </c>
      <c r="D3486" s="6">
        <v>113.5</v>
      </c>
      <c r="E3486" s="6">
        <v>212.5</v>
      </c>
      <c r="F3486" s="11"/>
    </row>
    <row r="3487" spans="1:6">
      <c r="A3487" s="5" t="str">
        <f t="shared" si="62"/>
        <v>202315</v>
      </c>
      <c r="B3487" s="5" t="str">
        <f>"23085031018"</f>
        <v>23085031018</v>
      </c>
      <c r="C3487" s="6">
        <v>100.5</v>
      </c>
      <c r="D3487" s="6">
        <v>111</v>
      </c>
      <c r="E3487" s="6">
        <v>211.5</v>
      </c>
      <c r="F3487" s="11"/>
    </row>
    <row r="3488" spans="1:6">
      <c r="A3488" s="5" t="str">
        <f t="shared" si="62"/>
        <v>202315</v>
      </c>
      <c r="B3488" s="5" t="str">
        <f>"23085031106"</f>
        <v>23085031106</v>
      </c>
      <c r="C3488" s="6">
        <v>90</v>
      </c>
      <c r="D3488" s="6">
        <v>121</v>
      </c>
      <c r="E3488" s="6">
        <v>211</v>
      </c>
      <c r="F3488" s="11"/>
    </row>
    <row r="3489" spans="1:6">
      <c r="A3489" s="5" t="str">
        <f t="shared" si="62"/>
        <v>202315</v>
      </c>
      <c r="B3489" s="5" t="str">
        <f>"23085031117"</f>
        <v>23085031117</v>
      </c>
      <c r="C3489" s="6">
        <v>94.5</v>
      </c>
      <c r="D3489" s="6">
        <v>116.5</v>
      </c>
      <c r="E3489" s="6">
        <v>211</v>
      </c>
      <c r="F3489" s="11"/>
    </row>
    <row r="3490" spans="1:6">
      <c r="A3490" s="5" t="str">
        <f t="shared" si="62"/>
        <v>202315</v>
      </c>
      <c r="B3490" s="5" t="str">
        <f>"23085031104"</f>
        <v>23085031104</v>
      </c>
      <c r="C3490" s="6">
        <v>93</v>
      </c>
      <c r="D3490" s="6">
        <v>117.5</v>
      </c>
      <c r="E3490" s="6">
        <v>210.5</v>
      </c>
      <c r="F3490" s="11"/>
    </row>
    <row r="3491" spans="1:6">
      <c r="A3491" s="5" t="str">
        <f t="shared" si="62"/>
        <v>202315</v>
      </c>
      <c r="B3491" s="5" t="str">
        <f>"23085030902"</f>
        <v>23085030902</v>
      </c>
      <c r="C3491" s="6">
        <v>97.5</v>
      </c>
      <c r="D3491" s="6">
        <v>111.5</v>
      </c>
      <c r="E3491" s="6">
        <v>209</v>
      </c>
      <c r="F3491" s="11"/>
    </row>
    <row r="3492" spans="1:6">
      <c r="A3492" s="5" t="str">
        <f t="shared" si="62"/>
        <v>202315</v>
      </c>
      <c r="B3492" s="5" t="str">
        <f>"23085031115"</f>
        <v>23085031115</v>
      </c>
      <c r="C3492" s="6">
        <v>97.5</v>
      </c>
      <c r="D3492" s="6">
        <v>111</v>
      </c>
      <c r="E3492" s="6">
        <v>208.5</v>
      </c>
      <c r="F3492" s="11"/>
    </row>
    <row r="3493" spans="1:6">
      <c r="A3493" s="5" t="str">
        <f t="shared" si="62"/>
        <v>202315</v>
      </c>
      <c r="B3493" s="5" t="str">
        <f>"23085030930"</f>
        <v>23085030930</v>
      </c>
      <c r="C3493" s="6">
        <v>91.5</v>
      </c>
      <c r="D3493" s="6">
        <v>117</v>
      </c>
      <c r="E3493" s="6">
        <v>208.5</v>
      </c>
      <c r="F3493" s="11"/>
    </row>
    <row r="3494" spans="1:6">
      <c r="A3494" s="5" t="str">
        <f t="shared" si="62"/>
        <v>202315</v>
      </c>
      <c r="B3494" s="5" t="str">
        <f>"23085031009"</f>
        <v>23085031009</v>
      </c>
      <c r="C3494" s="6">
        <v>97.5</v>
      </c>
      <c r="D3494" s="6">
        <v>110.5</v>
      </c>
      <c r="E3494" s="6">
        <v>208</v>
      </c>
      <c r="F3494" s="11"/>
    </row>
    <row r="3495" spans="1:6">
      <c r="A3495" s="5" t="str">
        <f t="shared" si="62"/>
        <v>202315</v>
      </c>
      <c r="B3495" s="5" t="str">
        <f>"23085031004"</f>
        <v>23085031004</v>
      </c>
      <c r="C3495" s="6">
        <v>93</v>
      </c>
      <c r="D3495" s="6">
        <v>115</v>
      </c>
      <c r="E3495" s="6">
        <v>208</v>
      </c>
      <c r="F3495" s="11"/>
    </row>
    <row r="3496" spans="1:6">
      <c r="A3496" s="5" t="str">
        <f t="shared" si="62"/>
        <v>202315</v>
      </c>
      <c r="B3496" s="5" t="str">
        <f>"23085030906"</f>
        <v>23085030906</v>
      </c>
      <c r="C3496" s="6">
        <v>90</v>
      </c>
      <c r="D3496" s="6">
        <v>117</v>
      </c>
      <c r="E3496" s="6">
        <v>207</v>
      </c>
      <c r="F3496" s="11"/>
    </row>
    <row r="3497" spans="1:6">
      <c r="A3497" s="5" t="str">
        <f t="shared" si="62"/>
        <v>202315</v>
      </c>
      <c r="B3497" s="5" t="str">
        <f>"23085030818"</f>
        <v>23085030818</v>
      </c>
      <c r="C3497" s="6">
        <v>93</v>
      </c>
      <c r="D3497" s="6">
        <v>113</v>
      </c>
      <c r="E3497" s="6">
        <v>206</v>
      </c>
      <c r="F3497" s="11"/>
    </row>
    <row r="3498" spans="1:6">
      <c r="A3498" s="5" t="str">
        <f t="shared" si="62"/>
        <v>202315</v>
      </c>
      <c r="B3498" s="5" t="str">
        <f>"23085030908"</f>
        <v>23085030908</v>
      </c>
      <c r="C3498" s="6">
        <v>88.5</v>
      </c>
      <c r="D3498" s="6">
        <v>117.5</v>
      </c>
      <c r="E3498" s="6">
        <v>206</v>
      </c>
      <c r="F3498" s="11"/>
    </row>
    <row r="3499" spans="1:6">
      <c r="A3499" s="5" t="str">
        <f t="shared" si="62"/>
        <v>202315</v>
      </c>
      <c r="B3499" s="5" t="str">
        <f>"23085031103"</f>
        <v>23085031103</v>
      </c>
      <c r="C3499" s="6">
        <v>96</v>
      </c>
      <c r="D3499" s="6">
        <v>109</v>
      </c>
      <c r="E3499" s="6">
        <v>205</v>
      </c>
      <c r="F3499" s="11"/>
    </row>
    <row r="3500" spans="1:6">
      <c r="A3500" s="5" t="str">
        <f t="shared" si="62"/>
        <v>202315</v>
      </c>
      <c r="B3500" s="5" t="str">
        <f>"23085030823"</f>
        <v>23085030823</v>
      </c>
      <c r="C3500" s="6">
        <v>94.5</v>
      </c>
      <c r="D3500" s="6">
        <v>109</v>
      </c>
      <c r="E3500" s="6">
        <v>203.5</v>
      </c>
      <c r="F3500" s="11"/>
    </row>
    <row r="3501" spans="1:6">
      <c r="A3501" s="5" t="str">
        <f t="shared" si="62"/>
        <v>202315</v>
      </c>
      <c r="B3501" s="5" t="str">
        <f>"23085030808"</f>
        <v>23085030808</v>
      </c>
      <c r="C3501" s="6">
        <v>97.5</v>
      </c>
      <c r="D3501" s="6">
        <v>104.5</v>
      </c>
      <c r="E3501" s="6">
        <v>202</v>
      </c>
      <c r="F3501" s="11"/>
    </row>
    <row r="3502" spans="1:6">
      <c r="A3502" s="5" t="str">
        <f t="shared" si="62"/>
        <v>202315</v>
      </c>
      <c r="B3502" s="5" t="str">
        <f>"23085031015"</f>
        <v>23085031015</v>
      </c>
      <c r="C3502" s="6">
        <v>82.5</v>
      </c>
      <c r="D3502" s="6">
        <v>119</v>
      </c>
      <c r="E3502" s="6">
        <v>201.5</v>
      </c>
      <c r="F3502" s="11"/>
    </row>
    <row r="3503" spans="1:6">
      <c r="A3503" s="5" t="str">
        <f t="shared" si="62"/>
        <v>202315</v>
      </c>
      <c r="B3503" s="5" t="str">
        <f>"23085030918"</f>
        <v>23085030918</v>
      </c>
      <c r="C3503" s="6">
        <v>81</v>
      </c>
      <c r="D3503" s="6">
        <v>120.5</v>
      </c>
      <c r="E3503" s="6">
        <v>201.5</v>
      </c>
      <c r="F3503" s="11"/>
    </row>
    <row r="3504" spans="1:6">
      <c r="A3504" s="5" t="str">
        <f t="shared" si="62"/>
        <v>202315</v>
      </c>
      <c r="B3504" s="5" t="str">
        <f>"23085031007"</f>
        <v>23085031007</v>
      </c>
      <c r="C3504" s="6">
        <v>85.5</v>
      </c>
      <c r="D3504" s="6">
        <v>116</v>
      </c>
      <c r="E3504" s="6">
        <v>201.5</v>
      </c>
      <c r="F3504" s="11"/>
    </row>
    <row r="3505" spans="1:6">
      <c r="A3505" s="5" t="str">
        <f t="shared" si="62"/>
        <v>202315</v>
      </c>
      <c r="B3505" s="5" t="str">
        <f>"23085030829"</f>
        <v>23085030829</v>
      </c>
      <c r="C3505" s="6">
        <v>100.5</v>
      </c>
      <c r="D3505" s="6">
        <v>100.5</v>
      </c>
      <c r="E3505" s="6">
        <v>201</v>
      </c>
      <c r="F3505" s="11"/>
    </row>
    <row r="3506" spans="1:6">
      <c r="A3506" s="5" t="str">
        <f t="shared" si="62"/>
        <v>202315</v>
      </c>
      <c r="B3506" s="5" t="str">
        <f>"23085030907"</f>
        <v>23085030907</v>
      </c>
      <c r="C3506" s="6">
        <v>76.5</v>
      </c>
      <c r="D3506" s="6">
        <v>122.5</v>
      </c>
      <c r="E3506" s="6">
        <v>199</v>
      </c>
      <c r="F3506" s="11"/>
    </row>
    <row r="3507" spans="1:6">
      <c r="A3507" s="5" t="str">
        <f t="shared" si="62"/>
        <v>202315</v>
      </c>
      <c r="B3507" s="5" t="str">
        <f>"23085030813"</f>
        <v>23085030813</v>
      </c>
      <c r="C3507" s="6">
        <v>85.5</v>
      </c>
      <c r="D3507" s="6">
        <v>113.5</v>
      </c>
      <c r="E3507" s="6">
        <v>199</v>
      </c>
      <c r="F3507" s="11"/>
    </row>
    <row r="3508" spans="1:6">
      <c r="A3508" s="5" t="str">
        <f t="shared" si="62"/>
        <v>202315</v>
      </c>
      <c r="B3508" s="5" t="str">
        <f>"23085031027"</f>
        <v>23085031027</v>
      </c>
      <c r="C3508" s="6">
        <v>81</v>
      </c>
      <c r="D3508" s="6">
        <v>117.5</v>
      </c>
      <c r="E3508" s="6">
        <v>198.5</v>
      </c>
      <c r="F3508" s="11"/>
    </row>
    <row r="3509" spans="1:6">
      <c r="A3509" s="5" t="str">
        <f t="shared" si="62"/>
        <v>202315</v>
      </c>
      <c r="B3509" s="5" t="str">
        <f>"23085030811"</f>
        <v>23085030811</v>
      </c>
      <c r="C3509" s="6">
        <v>82.5</v>
      </c>
      <c r="D3509" s="6">
        <v>116</v>
      </c>
      <c r="E3509" s="6">
        <v>198.5</v>
      </c>
      <c r="F3509" s="11"/>
    </row>
    <row r="3510" spans="1:6">
      <c r="A3510" s="5" t="str">
        <f t="shared" si="62"/>
        <v>202315</v>
      </c>
      <c r="B3510" s="5" t="str">
        <f>"23085031019"</f>
        <v>23085031019</v>
      </c>
      <c r="C3510" s="6">
        <v>82.5</v>
      </c>
      <c r="D3510" s="6">
        <v>115.5</v>
      </c>
      <c r="E3510" s="6">
        <v>198</v>
      </c>
      <c r="F3510" s="11"/>
    </row>
    <row r="3511" spans="1:6">
      <c r="A3511" s="5" t="str">
        <f t="shared" si="62"/>
        <v>202315</v>
      </c>
      <c r="B3511" s="5" t="str">
        <f>"23085030826"</f>
        <v>23085030826</v>
      </c>
      <c r="C3511" s="6">
        <v>81</v>
      </c>
      <c r="D3511" s="6">
        <v>116</v>
      </c>
      <c r="E3511" s="6">
        <v>197</v>
      </c>
      <c r="F3511" s="11"/>
    </row>
    <row r="3512" spans="1:6">
      <c r="A3512" s="5" t="str">
        <f t="shared" si="62"/>
        <v>202315</v>
      </c>
      <c r="B3512" s="5" t="str">
        <f>"23085030815"</f>
        <v>23085030815</v>
      </c>
      <c r="C3512" s="6">
        <v>88.5</v>
      </c>
      <c r="D3512" s="6">
        <v>108.5</v>
      </c>
      <c r="E3512" s="6">
        <v>197</v>
      </c>
      <c r="F3512" s="11"/>
    </row>
    <row r="3513" spans="1:6">
      <c r="A3513" s="5" t="str">
        <f t="shared" si="62"/>
        <v>202315</v>
      </c>
      <c r="B3513" s="5" t="str">
        <f>"23085030821"</f>
        <v>23085030821</v>
      </c>
      <c r="C3513" s="6">
        <v>76.5</v>
      </c>
      <c r="D3513" s="6">
        <v>120.5</v>
      </c>
      <c r="E3513" s="6">
        <v>197</v>
      </c>
      <c r="F3513" s="11"/>
    </row>
    <row r="3514" spans="1:6">
      <c r="A3514" s="5" t="str">
        <f t="shared" si="62"/>
        <v>202315</v>
      </c>
      <c r="B3514" s="5" t="str">
        <f>"23085030825"</f>
        <v>23085030825</v>
      </c>
      <c r="C3514" s="6">
        <v>81</v>
      </c>
      <c r="D3514" s="6">
        <v>114.5</v>
      </c>
      <c r="E3514" s="6">
        <v>195.5</v>
      </c>
      <c r="F3514" s="11"/>
    </row>
    <row r="3515" spans="1:6">
      <c r="A3515" s="5" t="str">
        <f t="shared" si="62"/>
        <v>202315</v>
      </c>
      <c r="B3515" s="5" t="str">
        <f>"23085030803"</f>
        <v>23085030803</v>
      </c>
      <c r="C3515" s="6">
        <v>94.5</v>
      </c>
      <c r="D3515" s="6">
        <v>100</v>
      </c>
      <c r="E3515" s="6">
        <v>194.5</v>
      </c>
      <c r="F3515" s="11"/>
    </row>
    <row r="3516" spans="1:6">
      <c r="A3516" s="5" t="str">
        <f t="shared" si="62"/>
        <v>202315</v>
      </c>
      <c r="B3516" s="5" t="str">
        <f>"23085031111"</f>
        <v>23085031111</v>
      </c>
      <c r="C3516" s="6">
        <v>81</v>
      </c>
      <c r="D3516" s="6">
        <v>112.5</v>
      </c>
      <c r="E3516" s="6">
        <v>193.5</v>
      </c>
      <c r="F3516" s="11"/>
    </row>
    <row r="3517" spans="1:6">
      <c r="A3517" s="5" t="str">
        <f t="shared" si="62"/>
        <v>202315</v>
      </c>
      <c r="B3517" s="5" t="str">
        <f>"23085031120"</f>
        <v>23085031120</v>
      </c>
      <c r="C3517" s="6">
        <v>78</v>
      </c>
      <c r="D3517" s="6">
        <v>115.5</v>
      </c>
      <c r="E3517" s="6">
        <v>193.5</v>
      </c>
      <c r="F3517" s="11"/>
    </row>
    <row r="3518" spans="1:6">
      <c r="A3518" s="5" t="str">
        <f t="shared" si="62"/>
        <v>202315</v>
      </c>
      <c r="B3518" s="5" t="str">
        <f>"23085031025"</f>
        <v>23085031025</v>
      </c>
      <c r="C3518" s="6">
        <v>81</v>
      </c>
      <c r="D3518" s="6">
        <v>111.5</v>
      </c>
      <c r="E3518" s="6">
        <v>192.5</v>
      </c>
      <c r="F3518" s="11"/>
    </row>
    <row r="3519" spans="1:6">
      <c r="A3519" s="5" t="str">
        <f t="shared" ref="A3519:A3565" si="63">"202315"</f>
        <v>202315</v>
      </c>
      <c r="B3519" s="5" t="str">
        <f>"23085031011"</f>
        <v>23085031011</v>
      </c>
      <c r="C3519" s="6">
        <v>78</v>
      </c>
      <c r="D3519" s="6">
        <v>112.5</v>
      </c>
      <c r="E3519" s="6">
        <v>190.5</v>
      </c>
      <c r="F3519" s="11"/>
    </row>
    <row r="3520" spans="1:6">
      <c r="A3520" s="5" t="str">
        <f t="shared" si="63"/>
        <v>202315</v>
      </c>
      <c r="B3520" s="5" t="str">
        <f>"23085031110"</f>
        <v>23085031110</v>
      </c>
      <c r="C3520" s="6">
        <v>94.5</v>
      </c>
      <c r="D3520" s="6">
        <v>96</v>
      </c>
      <c r="E3520" s="6">
        <v>190.5</v>
      </c>
      <c r="F3520" s="11"/>
    </row>
    <row r="3521" spans="1:6">
      <c r="A3521" s="5" t="str">
        <f t="shared" si="63"/>
        <v>202315</v>
      </c>
      <c r="B3521" s="5" t="str">
        <f>"23085030921"</f>
        <v>23085030921</v>
      </c>
      <c r="C3521" s="6">
        <v>70.5</v>
      </c>
      <c r="D3521" s="6">
        <v>119.5</v>
      </c>
      <c r="E3521" s="6">
        <v>190</v>
      </c>
      <c r="F3521" s="11"/>
    </row>
    <row r="3522" spans="1:6">
      <c r="A3522" s="5" t="str">
        <f t="shared" si="63"/>
        <v>202315</v>
      </c>
      <c r="B3522" s="5" t="str">
        <f>"23085030824"</f>
        <v>23085030824</v>
      </c>
      <c r="C3522" s="6">
        <v>81</v>
      </c>
      <c r="D3522" s="6">
        <v>109</v>
      </c>
      <c r="E3522" s="6">
        <v>190</v>
      </c>
      <c r="F3522" s="11"/>
    </row>
    <row r="3523" spans="1:6">
      <c r="A3523" s="5" t="str">
        <f t="shared" si="63"/>
        <v>202315</v>
      </c>
      <c r="B3523" s="5" t="str">
        <f>"23085030919"</f>
        <v>23085030919</v>
      </c>
      <c r="C3523" s="6">
        <v>76.5</v>
      </c>
      <c r="D3523" s="6">
        <v>113</v>
      </c>
      <c r="E3523" s="6">
        <v>189.5</v>
      </c>
      <c r="F3523" s="11"/>
    </row>
    <row r="3524" spans="1:6">
      <c r="A3524" s="5" t="str">
        <f t="shared" si="63"/>
        <v>202315</v>
      </c>
      <c r="B3524" s="5" t="str">
        <f>"23085031112"</f>
        <v>23085031112</v>
      </c>
      <c r="C3524" s="6">
        <v>78</v>
      </c>
      <c r="D3524" s="6">
        <v>110</v>
      </c>
      <c r="E3524" s="6">
        <v>188</v>
      </c>
      <c r="F3524" s="11"/>
    </row>
    <row r="3525" spans="1:6">
      <c r="A3525" s="5" t="str">
        <f t="shared" si="63"/>
        <v>202315</v>
      </c>
      <c r="B3525" s="5" t="str">
        <f>"23085031017"</f>
        <v>23085031017</v>
      </c>
      <c r="C3525" s="6">
        <v>76.5</v>
      </c>
      <c r="D3525" s="6">
        <v>111.5</v>
      </c>
      <c r="E3525" s="6">
        <v>188</v>
      </c>
      <c r="F3525" s="11"/>
    </row>
    <row r="3526" spans="1:6">
      <c r="A3526" s="5" t="str">
        <f t="shared" si="63"/>
        <v>202315</v>
      </c>
      <c r="B3526" s="5" t="str">
        <f>"23085031114"</f>
        <v>23085031114</v>
      </c>
      <c r="C3526" s="6">
        <v>70.5</v>
      </c>
      <c r="D3526" s="6">
        <v>117</v>
      </c>
      <c r="E3526" s="6">
        <v>187.5</v>
      </c>
      <c r="F3526" s="11"/>
    </row>
    <row r="3527" spans="1:6">
      <c r="A3527" s="5" t="str">
        <f t="shared" si="63"/>
        <v>202315</v>
      </c>
      <c r="B3527" s="5" t="str">
        <f>"23085031026"</f>
        <v>23085031026</v>
      </c>
      <c r="C3527" s="6">
        <v>79.5</v>
      </c>
      <c r="D3527" s="6">
        <v>107.5</v>
      </c>
      <c r="E3527" s="6">
        <v>187</v>
      </c>
      <c r="F3527" s="11"/>
    </row>
    <row r="3528" spans="1:6">
      <c r="A3528" s="5" t="str">
        <f t="shared" si="63"/>
        <v>202315</v>
      </c>
      <c r="B3528" s="5" t="str">
        <f>"23085030929"</f>
        <v>23085030929</v>
      </c>
      <c r="C3528" s="6">
        <v>87</v>
      </c>
      <c r="D3528" s="6">
        <v>99.5</v>
      </c>
      <c r="E3528" s="6">
        <v>186.5</v>
      </c>
      <c r="F3528" s="11"/>
    </row>
    <row r="3529" spans="1:6">
      <c r="A3529" s="5" t="str">
        <f t="shared" si="63"/>
        <v>202315</v>
      </c>
      <c r="B3529" s="5" t="str">
        <f>"23085030916"</f>
        <v>23085030916</v>
      </c>
      <c r="C3529" s="6">
        <v>85.5</v>
      </c>
      <c r="D3529" s="6">
        <v>100</v>
      </c>
      <c r="E3529" s="6">
        <v>185.5</v>
      </c>
      <c r="F3529" s="11"/>
    </row>
    <row r="3530" spans="1:6">
      <c r="A3530" s="5" t="str">
        <f t="shared" si="63"/>
        <v>202315</v>
      </c>
      <c r="B3530" s="5" t="str">
        <f>"23085031012"</f>
        <v>23085031012</v>
      </c>
      <c r="C3530" s="6">
        <v>78</v>
      </c>
      <c r="D3530" s="6">
        <v>105.5</v>
      </c>
      <c r="E3530" s="6">
        <v>183.5</v>
      </c>
      <c r="F3530" s="11"/>
    </row>
    <row r="3531" spans="1:6">
      <c r="A3531" s="5" t="str">
        <f t="shared" si="63"/>
        <v>202315</v>
      </c>
      <c r="B3531" s="5" t="str">
        <f>"23085031013"</f>
        <v>23085031013</v>
      </c>
      <c r="C3531" s="6">
        <v>88.5</v>
      </c>
      <c r="D3531" s="6">
        <v>94</v>
      </c>
      <c r="E3531" s="6">
        <v>182.5</v>
      </c>
      <c r="F3531" s="11"/>
    </row>
    <row r="3532" spans="1:6">
      <c r="A3532" s="5" t="str">
        <f t="shared" si="63"/>
        <v>202315</v>
      </c>
      <c r="B3532" s="5" t="str">
        <f>"23085030922"</f>
        <v>23085030922</v>
      </c>
      <c r="C3532" s="6">
        <v>67.5</v>
      </c>
      <c r="D3532" s="6">
        <v>113</v>
      </c>
      <c r="E3532" s="6">
        <v>180.5</v>
      </c>
      <c r="F3532" s="11"/>
    </row>
    <row r="3533" spans="1:6">
      <c r="A3533" s="5" t="str">
        <f t="shared" si="63"/>
        <v>202315</v>
      </c>
      <c r="B3533" s="5" t="str">
        <f>"23085031022"</f>
        <v>23085031022</v>
      </c>
      <c r="C3533" s="6">
        <v>75</v>
      </c>
      <c r="D3533" s="6">
        <v>105</v>
      </c>
      <c r="E3533" s="6">
        <v>180</v>
      </c>
      <c r="F3533" s="11"/>
    </row>
    <row r="3534" spans="1:6">
      <c r="A3534" s="5" t="str">
        <f t="shared" si="63"/>
        <v>202315</v>
      </c>
      <c r="B3534" s="5" t="str">
        <f>"23085030806"</f>
        <v>23085030806</v>
      </c>
      <c r="C3534" s="6">
        <v>55.5</v>
      </c>
      <c r="D3534" s="6">
        <v>114.5</v>
      </c>
      <c r="E3534" s="6">
        <v>170</v>
      </c>
      <c r="F3534" s="11"/>
    </row>
    <row r="3535" spans="1:6">
      <c r="A3535" s="5" t="str">
        <f t="shared" si="63"/>
        <v>202315</v>
      </c>
      <c r="B3535" s="5" t="str">
        <f>"23085031005"</f>
        <v>23085031005</v>
      </c>
      <c r="C3535" s="6">
        <v>66</v>
      </c>
      <c r="D3535" s="6">
        <v>97</v>
      </c>
      <c r="E3535" s="6">
        <v>163</v>
      </c>
      <c r="F3535" s="11"/>
    </row>
    <row r="3536" spans="1:6">
      <c r="A3536" s="5" t="str">
        <f t="shared" si="63"/>
        <v>202315</v>
      </c>
      <c r="B3536" s="5" t="str">
        <f>"23085031105"</f>
        <v>23085031105</v>
      </c>
      <c r="C3536" s="6">
        <v>61.5</v>
      </c>
      <c r="D3536" s="6">
        <v>76</v>
      </c>
      <c r="E3536" s="6">
        <v>137.5</v>
      </c>
      <c r="F3536" s="11"/>
    </row>
    <row r="3537" spans="1:6">
      <c r="A3537" s="5" t="str">
        <f t="shared" si="63"/>
        <v>202315</v>
      </c>
      <c r="B3537" s="5" t="str">
        <f>"23085031002"</f>
        <v>23085031002</v>
      </c>
      <c r="C3537" s="6">
        <v>0</v>
      </c>
      <c r="D3537" s="6">
        <v>0</v>
      </c>
      <c r="E3537" s="6">
        <v>0</v>
      </c>
      <c r="F3537" s="11" t="s">
        <v>7</v>
      </c>
    </row>
    <row r="3538" spans="1:6">
      <c r="A3538" s="5" t="str">
        <f t="shared" si="63"/>
        <v>202315</v>
      </c>
      <c r="B3538" s="5" t="str">
        <f>"23085031024"</f>
        <v>23085031024</v>
      </c>
      <c r="C3538" s="6">
        <v>0</v>
      </c>
      <c r="D3538" s="6">
        <v>0</v>
      </c>
      <c r="E3538" s="6">
        <v>0</v>
      </c>
      <c r="F3538" s="11" t="s">
        <v>7</v>
      </c>
    </row>
    <row r="3539" spans="1:6">
      <c r="A3539" s="5" t="str">
        <f t="shared" si="63"/>
        <v>202315</v>
      </c>
      <c r="B3539" s="5" t="str">
        <f>"23085030816"</f>
        <v>23085030816</v>
      </c>
      <c r="C3539" s="6">
        <v>0</v>
      </c>
      <c r="D3539" s="6">
        <v>0</v>
      </c>
      <c r="E3539" s="6">
        <v>0</v>
      </c>
      <c r="F3539" s="11" t="s">
        <v>7</v>
      </c>
    </row>
    <row r="3540" spans="1:6">
      <c r="A3540" s="5" t="str">
        <f t="shared" si="63"/>
        <v>202315</v>
      </c>
      <c r="B3540" s="5" t="str">
        <f>"23085031016"</f>
        <v>23085031016</v>
      </c>
      <c r="C3540" s="6">
        <v>0</v>
      </c>
      <c r="D3540" s="6">
        <v>0</v>
      </c>
      <c r="E3540" s="6">
        <v>0</v>
      </c>
      <c r="F3540" s="11" t="s">
        <v>7</v>
      </c>
    </row>
    <row r="3541" spans="1:6">
      <c r="A3541" s="5" t="str">
        <f t="shared" si="63"/>
        <v>202315</v>
      </c>
      <c r="B3541" s="5" t="str">
        <f>"23085031014"</f>
        <v>23085031014</v>
      </c>
      <c r="C3541" s="6">
        <v>0</v>
      </c>
      <c r="D3541" s="6">
        <v>0</v>
      </c>
      <c r="E3541" s="6">
        <v>0</v>
      </c>
      <c r="F3541" s="11" t="s">
        <v>7</v>
      </c>
    </row>
    <row r="3542" spans="1:6">
      <c r="A3542" s="5" t="str">
        <f t="shared" si="63"/>
        <v>202315</v>
      </c>
      <c r="B3542" s="5" t="str">
        <f>"23085030917"</f>
        <v>23085030917</v>
      </c>
      <c r="C3542" s="6">
        <v>0</v>
      </c>
      <c r="D3542" s="6">
        <v>0</v>
      </c>
      <c r="E3542" s="6">
        <v>0</v>
      </c>
      <c r="F3542" s="11" t="s">
        <v>7</v>
      </c>
    </row>
    <row r="3543" spans="1:6">
      <c r="A3543" s="5" t="str">
        <f t="shared" si="63"/>
        <v>202315</v>
      </c>
      <c r="B3543" s="5" t="str">
        <f>"23085030819"</f>
        <v>23085030819</v>
      </c>
      <c r="C3543" s="6">
        <v>0</v>
      </c>
      <c r="D3543" s="6">
        <v>0</v>
      </c>
      <c r="E3543" s="6">
        <v>0</v>
      </c>
      <c r="F3543" s="11" t="s">
        <v>7</v>
      </c>
    </row>
    <row r="3544" spans="1:6">
      <c r="A3544" s="5" t="str">
        <f t="shared" si="63"/>
        <v>202315</v>
      </c>
      <c r="B3544" s="5" t="str">
        <f>"23085031020"</f>
        <v>23085031020</v>
      </c>
      <c r="C3544" s="6">
        <v>0</v>
      </c>
      <c r="D3544" s="6">
        <v>0</v>
      </c>
      <c r="E3544" s="6">
        <v>0</v>
      </c>
      <c r="F3544" s="11" t="s">
        <v>7</v>
      </c>
    </row>
    <row r="3545" spans="1:6">
      <c r="A3545" s="5" t="str">
        <f t="shared" si="63"/>
        <v>202315</v>
      </c>
      <c r="B3545" s="5" t="str">
        <f>"23085031122"</f>
        <v>23085031122</v>
      </c>
      <c r="C3545" s="6">
        <v>0</v>
      </c>
      <c r="D3545" s="6">
        <v>0</v>
      </c>
      <c r="E3545" s="6">
        <v>0</v>
      </c>
      <c r="F3545" s="11" t="s">
        <v>7</v>
      </c>
    </row>
    <row r="3546" spans="1:6">
      <c r="A3546" s="5" t="str">
        <f t="shared" si="63"/>
        <v>202315</v>
      </c>
      <c r="B3546" s="5" t="str">
        <f>"23085030914"</f>
        <v>23085030914</v>
      </c>
      <c r="C3546" s="6">
        <v>0</v>
      </c>
      <c r="D3546" s="6">
        <v>0</v>
      </c>
      <c r="E3546" s="6">
        <v>0</v>
      </c>
      <c r="F3546" s="11" t="s">
        <v>7</v>
      </c>
    </row>
    <row r="3547" spans="1:6">
      <c r="A3547" s="5" t="str">
        <f t="shared" si="63"/>
        <v>202315</v>
      </c>
      <c r="B3547" s="5" t="str">
        <f>"23085031119"</f>
        <v>23085031119</v>
      </c>
      <c r="C3547" s="6">
        <v>0</v>
      </c>
      <c r="D3547" s="6">
        <v>0</v>
      </c>
      <c r="E3547" s="6">
        <v>0</v>
      </c>
      <c r="F3547" s="11" t="s">
        <v>7</v>
      </c>
    </row>
    <row r="3548" spans="1:6">
      <c r="A3548" s="5" t="str">
        <f t="shared" si="63"/>
        <v>202315</v>
      </c>
      <c r="B3548" s="5" t="str">
        <f>"23085030814"</f>
        <v>23085030814</v>
      </c>
      <c r="C3548" s="6">
        <v>0</v>
      </c>
      <c r="D3548" s="6">
        <v>0</v>
      </c>
      <c r="E3548" s="6">
        <v>0</v>
      </c>
      <c r="F3548" s="11" t="s">
        <v>7</v>
      </c>
    </row>
    <row r="3549" spans="1:6">
      <c r="A3549" s="5" t="str">
        <f t="shared" si="63"/>
        <v>202315</v>
      </c>
      <c r="B3549" s="5" t="str">
        <f>"23085031006"</f>
        <v>23085031006</v>
      </c>
      <c r="C3549" s="6">
        <v>0</v>
      </c>
      <c r="D3549" s="6">
        <v>0</v>
      </c>
      <c r="E3549" s="6">
        <v>0</v>
      </c>
      <c r="F3549" s="11" t="s">
        <v>7</v>
      </c>
    </row>
    <row r="3550" spans="1:6">
      <c r="A3550" s="5" t="str">
        <f t="shared" si="63"/>
        <v>202315</v>
      </c>
      <c r="B3550" s="5" t="str">
        <f>"23085031102"</f>
        <v>23085031102</v>
      </c>
      <c r="C3550" s="6">
        <v>0</v>
      </c>
      <c r="D3550" s="6">
        <v>0</v>
      </c>
      <c r="E3550" s="6">
        <v>0</v>
      </c>
      <c r="F3550" s="11" t="s">
        <v>7</v>
      </c>
    </row>
    <row r="3551" spans="1:6">
      <c r="A3551" s="5" t="str">
        <f t="shared" si="63"/>
        <v>202315</v>
      </c>
      <c r="B3551" s="5" t="str">
        <f>"23085030904"</f>
        <v>23085030904</v>
      </c>
      <c r="C3551" s="6">
        <v>0</v>
      </c>
      <c r="D3551" s="6">
        <v>0</v>
      </c>
      <c r="E3551" s="6">
        <v>0</v>
      </c>
      <c r="F3551" s="11" t="s">
        <v>7</v>
      </c>
    </row>
    <row r="3552" spans="1:6">
      <c r="A3552" s="5" t="str">
        <f t="shared" si="63"/>
        <v>202315</v>
      </c>
      <c r="B3552" s="5" t="str">
        <f>"23085031008"</f>
        <v>23085031008</v>
      </c>
      <c r="C3552" s="6">
        <v>0</v>
      </c>
      <c r="D3552" s="6">
        <v>0</v>
      </c>
      <c r="E3552" s="6">
        <v>0</v>
      </c>
      <c r="F3552" s="11" t="s">
        <v>7</v>
      </c>
    </row>
    <row r="3553" spans="1:6">
      <c r="A3553" s="5" t="str">
        <f t="shared" si="63"/>
        <v>202315</v>
      </c>
      <c r="B3553" s="5" t="str">
        <f>"23085030809"</f>
        <v>23085030809</v>
      </c>
      <c r="C3553" s="6">
        <v>0</v>
      </c>
      <c r="D3553" s="6">
        <v>0</v>
      </c>
      <c r="E3553" s="6">
        <v>0</v>
      </c>
      <c r="F3553" s="11" t="s">
        <v>7</v>
      </c>
    </row>
    <row r="3554" spans="1:6">
      <c r="A3554" s="5" t="str">
        <f t="shared" si="63"/>
        <v>202315</v>
      </c>
      <c r="B3554" s="5" t="str">
        <f>"23085030923"</f>
        <v>23085030923</v>
      </c>
      <c r="C3554" s="6">
        <v>0</v>
      </c>
      <c r="D3554" s="6">
        <v>0</v>
      </c>
      <c r="E3554" s="6">
        <v>0</v>
      </c>
      <c r="F3554" s="11" t="s">
        <v>7</v>
      </c>
    </row>
    <row r="3555" spans="1:6">
      <c r="A3555" s="5" t="str">
        <f t="shared" si="63"/>
        <v>202315</v>
      </c>
      <c r="B3555" s="5" t="str">
        <f>"23085031107"</f>
        <v>23085031107</v>
      </c>
      <c r="C3555" s="6">
        <v>0</v>
      </c>
      <c r="D3555" s="6">
        <v>0</v>
      </c>
      <c r="E3555" s="6">
        <v>0</v>
      </c>
      <c r="F3555" s="11" t="s">
        <v>7</v>
      </c>
    </row>
    <row r="3556" spans="1:6">
      <c r="A3556" s="5" t="str">
        <f t="shared" si="63"/>
        <v>202315</v>
      </c>
      <c r="B3556" s="5" t="str">
        <f>"23085031021"</f>
        <v>23085031021</v>
      </c>
      <c r="C3556" s="6">
        <v>0</v>
      </c>
      <c r="D3556" s="6">
        <v>0</v>
      </c>
      <c r="E3556" s="6">
        <v>0</v>
      </c>
      <c r="F3556" s="11" t="s">
        <v>7</v>
      </c>
    </row>
    <row r="3557" spans="1:6">
      <c r="A3557" s="5" t="str">
        <f t="shared" si="63"/>
        <v>202315</v>
      </c>
      <c r="B3557" s="5" t="str">
        <f>"23085031116"</f>
        <v>23085031116</v>
      </c>
      <c r="C3557" s="6">
        <v>0</v>
      </c>
      <c r="D3557" s="6">
        <v>0</v>
      </c>
      <c r="E3557" s="6">
        <v>0</v>
      </c>
      <c r="F3557" s="11" t="s">
        <v>7</v>
      </c>
    </row>
    <row r="3558" spans="1:6">
      <c r="A3558" s="5" t="str">
        <f t="shared" si="63"/>
        <v>202315</v>
      </c>
      <c r="B3558" s="5" t="str">
        <f>"23085030820"</f>
        <v>23085030820</v>
      </c>
      <c r="C3558" s="6">
        <v>0</v>
      </c>
      <c r="D3558" s="6">
        <v>0</v>
      </c>
      <c r="E3558" s="6">
        <v>0</v>
      </c>
      <c r="F3558" s="11" t="s">
        <v>7</v>
      </c>
    </row>
    <row r="3559" spans="1:6">
      <c r="A3559" s="5" t="str">
        <f t="shared" si="63"/>
        <v>202315</v>
      </c>
      <c r="B3559" s="5" t="str">
        <f>"23085030925"</f>
        <v>23085030925</v>
      </c>
      <c r="C3559" s="6">
        <v>0</v>
      </c>
      <c r="D3559" s="6">
        <v>0</v>
      </c>
      <c r="E3559" s="6">
        <v>0</v>
      </c>
      <c r="F3559" s="11" t="s">
        <v>7</v>
      </c>
    </row>
    <row r="3560" spans="1:6">
      <c r="A3560" s="5" t="str">
        <f t="shared" si="63"/>
        <v>202315</v>
      </c>
      <c r="B3560" s="5" t="str">
        <f>"23085031108"</f>
        <v>23085031108</v>
      </c>
      <c r="C3560" s="6">
        <v>0</v>
      </c>
      <c r="D3560" s="6">
        <v>0</v>
      </c>
      <c r="E3560" s="6">
        <v>0</v>
      </c>
      <c r="F3560" s="11" t="s">
        <v>7</v>
      </c>
    </row>
    <row r="3561" spans="1:6">
      <c r="A3561" s="5" t="str">
        <f t="shared" si="63"/>
        <v>202315</v>
      </c>
      <c r="B3561" s="5" t="str">
        <f>"23085030911"</f>
        <v>23085030911</v>
      </c>
      <c r="C3561" s="6">
        <v>0</v>
      </c>
      <c r="D3561" s="6">
        <v>0</v>
      </c>
      <c r="E3561" s="6">
        <v>0</v>
      </c>
      <c r="F3561" s="11" t="s">
        <v>7</v>
      </c>
    </row>
    <row r="3562" spans="1:6">
      <c r="A3562" s="5" t="str">
        <f t="shared" si="63"/>
        <v>202315</v>
      </c>
      <c r="B3562" s="5" t="str">
        <f>"23085031101"</f>
        <v>23085031101</v>
      </c>
      <c r="C3562" s="6">
        <v>0</v>
      </c>
      <c r="D3562" s="6">
        <v>0</v>
      </c>
      <c r="E3562" s="6">
        <v>0</v>
      </c>
      <c r="F3562" s="11" t="s">
        <v>7</v>
      </c>
    </row>
    <row r="3563" spans="1:6">
      <c r="A3563" s="5" t="str">
        <f t="shared" si="63"/>
        <v>202315</v>
      </c>
      <c r="B3563" s="5" t="str">
        <f>"23085031028"</f>
        <v>23085031028</v>
      </c>
      <c r="C3563" s="6">
        <v>0</v>
      </c>
      <c r="D3563" s="6">
        <v>0</v>
      </c>
      <c r="E3563" s="6">
        <v>0</v>
      </c>
      <c r="F3563" s="11" t="s">
        <v>7</v>
      </c>
    </row>
    <row r="3564" spans="1:6">
      <c r="A3564" s="5" t="str">
        <f t="shared" si="63"/>
        <v>202315</v>
      </c>
      <c r="B3564" s="5" t="str">
        <f>"23085030909"</f>
        <v>23085030909</v>
      </c>
      <c r="C3564" s="6">
        <v>0</v>
      </c>
      <c r="D3564" s="6">
        <v>0</v>
      </c>
      <c r="E3564" s="6">
        <v>0</v>
      </c>
      <c r="F3564" s="11" t="s">
        <v>7</v>
      </c>
    </row>
    <row r="3565" spans="1:6">
      <c r="A3565" s="5" t="str">
        <f t="shared" si="63"/>
        <v>202315</v>
      </c>
      <c r="B3565" s="5" t="str">
        <f>"23085030928"</f>
        <v>23085030928</v>
      </c>
      <c r="C3565" s="6">
        <v>0</v>
      </c>
      <c r="D3565" s="6">
        <v>0</v>
      </c>
      <c r="E3565" s="6">
        <v>0</v>
      </c>
      <c r="F3565" s="11" t="s">
        <v>7</v>
      </c>
    </row>
    <row r="3566" spans="1:6">
      <c r="A3566" s="5" t="str">
        <f t="shared" ref="A3566:A3629" si="64">"202316"</f>
        <v>202316</v>
      </c>
      <c r="B3566" s="5" t="str">
        <f>"23085031808"</f>
        <v>23085031808</v>
      </c>
      <c r="C3566" s="6">
        <v>124.5</v>
      </c>
      <c r="D3566" s="6">
        <v>116</v>
      </c>
      <c r="E3566" s="6">
        <v>240.5</v>
      </c>
      <c r="F3566" s="11"/>
    </row>
    <row r="3567" spans="1:6">
      <c r="A3567" s="5" t="str">
        <f t="shared" si="64"/>
        <v>202316</v>
      </c>
      <c r="B3567" s="5" t="str">
        <f>"23085031224"</f>
        <v>23085031224</v>
      </c>
      <c r="C3567" s="6">
        <v>115.5</v>
      </c>
      <c r="D3567" s="6">
        <v>122.5</v>
      </c>
      <c r="E3567" s="6">
        <v>238</v>
      </c>
      <c r="F3567" s="11"/>
    </row>
    <row r="3568" spans="1:6">
      <c r="A3568" s="5" t="str">
        <f t="shared" si="64"/>
        <v>202316</v>
      </c>
      <c r="B3568" s="5" t="str">
        <f>"23085031426"</f>
        <v>23085031426</v>
      </c>
      <c r="C3568" s="6">
        <v>117</v>
      </c>
      <c r="D3568" s="6">
        <v>119</v>
      </c>
      <c r="E3568" s="6">
        <v>236</v>
      </c>
      <c r="F3568" s="11"/>
    </row>
    <row r="3569" spans="1:6">
      <c r="A3569" s="5" t="str">
        <f t="shared" si="64"/>
        <v>202316</v>
      </c>
      <c r="B3569" s="5" t="str">
        <f>"23085031423"</f>
        <v>23085031423</v>
      </c>
      <c r="C3569" s="6">
        <v>121.5</v>
      </c>
      <c r="D3569" s="6">
        <v>114.5</v>
      </c>
      <c r="E3569" s="6">
        <v>236</v>
      </c>
      <c r="F3569" s="11"/>
    </row>
    <row r="3570" spans="1:6">
      <c r="A3570" s="5" t="str">
        <f t="shared" si="64"/>
        <v>202316</v>
      </c>
      <c r="B3570" s="5" t="str">
        <f>"23085031206"</f>
        <v>23085031206</v>
      </c>
      <c r="C3570" s="6">
        <v>120</v>
      </c>
      <c r="D3570" s="6">
        <v>116</v>
      </c>
      <c r="E3570" s="6">
        <v>236</v>
      </c>
      <c r="F3570" s="11"/>
    </row>
    <row r="3571" spans="1:6">
      <c r="A3571" s="5" t="str">
        <f t="shared" si="64"/>
        <v>202316</v>
      </c>
      <c r="B3571" s="5" t="str">
        <f>"23085031626"</f>
        <v>23085031626</v>
      </c>
      <c r="C3571" s="6">
        <v>117</v>
      </c>
      <c r="D3571" s="6">
        <v>118.5</v>
      </c>
      <c r="E3571" s="6">
        <v>235.5</v>
      </c>
      <c r="F3571" s="11"/>
    </row>
    <row r="3572" spans="1:6">
      <c r="A3572" s="5" t="str">
        <f t="shared" si="64"/>
        <v>202316</v>
      </c>
      <c r="B3572" s="5" t="str">
        <f>"23085031319"</f>
        <v>23085031319</v>
      </c>
      <c r="C3572" s="6">
        <v>111</v>
      </c>
      <c r="D3572" s="6">
        <v>124.5</v>
      </c>
      <c r="E3572" s="6">
        <v>235.5</v>
      </c>
      <c r="F3572" s="11"/>
    </row>
    <row r="3573" spans="1:6">
      <c r="A3573" s="5" t="str">
        <f t="shared" si="64"/>
        <v>202316</v>
      </c>
      <c r="B3573" s="5" t="str">
        <f>"23085031818"</f>
        <v>23085031818</v>
      </c>
      <c r="C3573" s="6">
        <v>115.5</v>
      </c>
      <c r="D3573" s="6">
        <v>119.5</v>
      </c>
      <c r="E3573" s="6">
        <v>235</v>
      </c>
      <c r="F3573" s="11"/>
    </row>
    <row r="3574" spans="1:6">
      <c r="A3574" s="5" t="str">
        <f t="shared" si="64"/>
        <v>202316</v>
      </c>
      <c r="B3574" s="5" t="str">
        <f>"23085031411"</f>
        <v>23085031411</v>
      </c>
      <c r="C3574" s="6">
        <v>114</v>
      </c>
      <c r="D3574" s="6">
        <v>120.5</v>
      </c>
      <c r="E3574" s="6">
        <v>234.5</v>
      </c>
      <c r="F3574" s="11"/>
    </row>
    <row r="3575" spans="1:6">
      <c r="A3575" s="5" t="str">
        <f t="shared" si="64"/>
        <v>202316</v>
      </c>
      <c r="B3575" s="5" t="str">
        <f>"23085031724"</f>
        <v>23085031724</v>
      </c>
      <c r="C3575" s="6">
        <v>112.5</v>
      </c>
      <c r="D3575" s="6">
        <v>120.5</v>
      </c>
      <c r="E3575" s="6">
        <v>233</v>
      </c>
      <c r="F3575" s="11"/>
    </row>
    <row r="3576" spans="1:6">
      <c r="A3576" s="5" t="str">
        <f t="shared" si="64"/>
        <v>202316</v>
      </c>
      <c r="B3576" s="5" t="str">
        <f>"23085031229"</f>
        <v>23085031229</v>
      </c>
      <c r="C3576" s="6">
        <v>124.5</v>
      </c>
      <c r="D3576" s="6">
        <v>108.5</v>
      </c>
      <c r="E3576" s="6">
        <v>233</v>
      </c>
      <c r="F3576" s="11"/>
    </row>
    <row r="3577" spans="1:6">
      <c r="A3577" s="5" t="str">
        <f t="shared" si="64"/>
        <v>202316</v>
      </c>
      <c r="B3577" s="5" t="str">
        <f>"23085031805"</f>
        <v>23085031805</v>
      </c>
      <c r="C3577" s="6">
        <v>117</v>
      </c>
      <c r="D3577" s="6">
        <v>116</v>
      </c>
      <c r="E3577" s="6">
        <v>233</v>
      </c>
      <c r="F3577" s="11"/>
    </row>
    <row r="3578" spans="1:6">
      <c r="A3578" s="5" t="str">
        <f t="shared" si="64"/>
        <v>202316</v>
      </c>
      <c r="B3578" s="5" t="str">
        <f>"23085031721"</f>
        <v>23085031721</v>
      </c>
      <c r="C3578" s="6">
        <v>118.5</v>
      </c>
      <c r="D3578" s="6">
        <v>113</v>
      </c>
      <c r="E3578" s="6">
        <v>231.5</v>
      </c>
      <c r="F3578" s="11"/>
    </row>
    <row r="3579" spans="1:6">
      <c r="A3579" s="5" t="str">
        <f t="shared" si="64"/>
        <v>202316</v>
      </c>
      <c r="B3579" s="5" t="str">
        <f>"23085031815"</f>
        <v>23085031815</v>
      </c>
      <c r="C3579" s="6">
        <v>118.5</v>
      </c>
      <c r="D3579" s="6">
        <v>113</v>
      </c>
      <c r="E3579" s="6">
        <v>231.5</v>
      </c>
      <c r="F3579" s="11"/>
    </row>
    <row r="3580" spans="1:6">
      <c r="A3580" s="5" t="str">
        <f t="shared" si="64"/>
        <v>202316</v>
      </c>
      <c r="B3580" s="5" t="str">
        <f>"23085031429"</f>
        <v>23085031429</v>
      </c>
      <c r="C3580" s="6">
        <v>120</v>
      </c>
      <c r="D3580" s="6">
        <v>111</v>
      </c>
      <c r="E3580" s="6">
        <v>231</v>
      </c>
      <c r="F3580" s="11"/>
    </row>
    <row r="3581" spans="1:6">
      <c r="A3581" s="5" t="str">
        <f t="shared" si="64"/>
        <v>202316</v>
      </c>
      <c r="B3581" s="5" t="str">
        <f>"23085031216"</f>
        <v>23085031216</v>
      </c>
      <c r="C3581" s="6">
        <v>108</v>
      </c>
      <c r="D3581" s="6">
        <v>122.5</v>
      </c>
      <c r="E3581" s="6">
        <v>230.5</v>
      </c>
      <c r="F3581" s="11"/>
    </row>
    <row r="3582" spans="1:6">
      <c r="A3582" s="5" t="str">
        <f t="shared" si="64"/>
        <v>202316</v>
      </c>
      <c r="B3582" s="5" t="str">
        <f>"23085031504"</f>
        <v>23085031504</v>
      </c>
      <c r="C3582" s="6">
        <v>114</v>
      </c>
      <c r="D3582" s="6">
        <v>116</v>
      </c>
      <c r="E3582" s="6">
        <v>230</v>
      </c>
      <c r="F3582" s="11"/>
    </row>
    <row r="3583" spans="1:6">
      <c r="A3583" s="5" t="str">
        <f t="shared" si="64"/>
        <v>202316</v>
      </c>
      <c r="B3583" s="5" t="str">
        <f>"23085031326"</f>
        <v>23085031326</v>
      </c>
      <c r="C3583" s="6">
        <v>114</v>
      </c>
      <c r="D3583" s="6">
        <v>116</v>
      </c>
      <c r="E3583" s="6">
        <v>230</v>
      </c>
      <c r="F3583" s="11"/>
    </row>
    <row r="3584" spans="1:6">
      <c r="A3584" s="5" t="str">
        <f t="shared" si="64"/>
        <v>202316</v>
      </c>
      <c r="B3584" s="5" t="str">
        <f>"23085031508"</f>
        <v>23085031508</v>
      </c>
      <c r="C3584" s="6">
        <v>117</v>
      </c>
      <c r="D3584" s="6">
        <v>113</v>
      </c>
      <c r="E3584" s="6">
        <v>230</v>
      </c>
      <c r="F3584" s="11"/>
    </row>
    <row r="3585" spans="1:6">
      <c r="A3585" s="5" t="str">
        <f t="shared" si="64"/>
        <v>202316</v>
      </c>
      <c r="B3585" s="5" t="str">
        <f>"23085031713"</f>
        <v>23085031713</v>
      </c>
      <c r="C3585" s="6">
        <v>112.5</v>
      </c>
      <c r="D3585" s="6">
        <v>117</v>
      </c>
      <c r="E3585" s="6">
        <v>229.5</v>
      </c>
      <c r="F3585" s="11"/>
    </row>
    <row r="3586" spans="1:6">
      <c r="A3586" s="5" t="str">
        <f t="shared" si="64"/>
        <v>202316</v>
      </c>
      <c r="B3586" s="5" t="str">
        <f>"23085031530"</f>
        <v>23085031530</v>
      </c>
      <c r="C3586" s="6">
        <v>118.5</v>
      </c>
      <c r="D3586" s="6">
        <v>111</v>
      </c>
      <c r="E3586" s="6">
        <v>229.5</v>
      </c>
      <c r="F3586" s="11"/>
    </row>
    <row r="3587" spans="1:6">
      <c r="A3587" s="5" t="str">
        <f t="shared" si="64"/>
        <v>202316</v>
      </c>
      <c r="B3587" s="5" t="str">
        <f>"23085031620"</f>
        <v>23085031620</v>
      </c>
      <c r="C3587" s="6">
        <v>112.5</v>
      </c>
      <c r="D3587" s="6">
        <v>116.5</v>
      </c>
      <c r="E3587" s="6">
        <v>229</v>
      </c>
      <c r="F3587" s="11"/>
    </row>
    <row r="3588" spans="1:6">
      <c r="A3588" s="5" t="str">
        <f t="shared" si="64"/>
        <v>202316</v>
      </c>
      <c r="B3588" s="5" t="str">
        <f>"23085031129"</f>
        <v>23085031129</v>
      </c>
      <c r="C3588" s="6">
        <v>112.5</v>
      </c>
      <c r="D3588" s="6">
        <v>116</v>
      </c>
      <c r="E3588" s="6">
        <v>228.5</v>
      </c>
      <c r="F3588" s="11"/>
    </row>
    <row r="3589" spans="1:6">
      <c r="A3589" s="5" t="str">
        <f t="shared" si="64"/>
        <v>202316</v>
      </c>
      <c r="B3589" s="5" t="str">
        <f>"23085031519"</f>
        <v>23085031519</v>
      </c>
      <c r="C3589" s="6">
        <v>115.5</v>
      </c>
      <c r="D3589" s="6">
        <v>113</v>
      </c>
      <c r="E3589" s="6">
        <v>228.5</v>
      </c>
      <c r="F3589" s="11"/>
    </row>
    <row r="3590" spans="1:6">
      <c r="A3590" s="5" t="str">
        <f t="shared" si="64"/>
        <v>202316</v>
      </c>
      <c r="B3590" s="5" t="str">
        <f>"23085031210"</f>
        <v>23085031210</v>
      </c>
      <c r="C3590" s="6">
        <v>114</v>
      </c>
      <c r="D3590" s="6">
        <v>114</v>
      </c>
      <c r="E3590" s="6">
        <v>228</v>
      </c>
      <c r="F3590" s="11"/>
    </row>
    <row r="3591" spans="1:6">
      <c r="A3591" s="5" t="str">
        <f t="shared" si="64"/>
        <v>202316</v>
      </c>
      <c r="B3591" s="5" t="str">
        <f>"23085031816"</f>
        <v>23085031816</v>
      </c>
      <c r="C3591" s="6">
        <v>108</v>
      </c>
      <c r="D3591" s="6">
        <v>120</v>
      </c>
      <c r="E3591" s="6">
        <v>228</v>
      </c>
      <c r="F3591" s="11"/>
    </row>
    <row r="3592" spans="1:6">
      <c r="A3592" s="5" t="str">
        <f t="shared" si="64"/>
        <v>202316</v>
      </c>
      <c r="B3592" s="5" t="str">
        <f>"23085031807"</f>
        <v>23085031807</v>
      </c>
      <c r="C3592" s="6">
        <v>109.5</v>
      </c>
      <c r="D3592" s="6">
        <v>117.5</v>
      </c>
      <c r="E3592" s="6">
        <v>227</v>
      </c>
      <c r="F3592" s="11"/>
    </row>
    <row r="3593" spans="1:6">
      <c r="A3593" s="5" t="str">
        <f t="shared" si="64"/>
        <v>202316</v>
      </c>
      <c r="B3593" s="5" t="str">
        <f>"23085031401"</f>
        <v>23085031401</v>
      </c>
      <c r="C3593" s="6">
        <v>112.5</v>
      </c>
      <c r="D3593" s="6">
        <v>114</v>
      </c>
      <c r="E3593" s="6">
        <v>226.5</v>
      </c>
      <c r="F3593" s="11"/>
    </row>
    <row r="3594" spans="1:6">
      <c r="A3594" s="5" t="str">
        <f t="shared" si="64"/>
        <v>202316</v>
      </c>
      <c r="B3594" s="5" t="str">
        <f>"23085031709"</f>
        <v>23085031709</v>
      </c>
      <c r="C3594" s="6">
        <v>106.5</v>
      </c>
      <c r="D3594" s="6">
        <v>120</v>
      </c>
      <c r="E3594" s="6">
        <v>226.5</v>
      </c>
      <c r="F3594" s="11"/>
    </row>
    <row r="3595" spans="1:6">
      <c r="A3595" s="5" t="str">
        <f t="shared" si="64"/>
        <v>202316</v>
      </c>
      <c r="B3595" s="5" t="str">
        <f>"23085031314"</f>
        <v>23085031314</v>
      </c>
      <c r="C3595" s="6">
        <v>103.5</v>
      </c>
      <c r="D3595" s="6">
        <v>123</v>
      </c>
      <c r="E3595" s="6">
        <v>226.5</v>
      </c>
      <c r="F3595" s="11"/>
    </row>
    <row r="3596" spans="1:6">
      <c r="A3596" s="5" t="str">
        <f t="shared" si="64"/>
        <v>202316</v>
      </c>
      <c r="B3596" s="5" t="str">
        <f>"23085031723"</f>
        <v>23085031723</v>
      </c>
      <c r="C3596" s="6">
        <v>106.5</v>
      </c>
      <c r="D3596" s="6">
        <v>119.5</v>
      </c>
      <c r="E3596" s="6">
        <v>226</v>
      </c>
      <c r="F3596" s="11"/>
    </row>
    <row r="3597" spans="1:6">
      <c r="A3597" s="5" t="str">
        <f t="shared" si="64"/>
        <v>202316</v>
      </c>
      <c r="B3597" s="5" t="str">
        <f>"23085031817"</f>
        <v>23085031817</v>
      </c>
      <c r="C3597" s="6">
        <v>118.5</v>
      </c>
      <c r="D3597" s="6">
        <v>107.5</v>
      </c>
      <c r="E3597" s="6">
        <v>226</v>
      </c>
      <c r="F3597" s="11"/>
    </row>
    <row r="3598" spans="1:6">
      <c r="A3598" s="5" t="str">
        <f t="shared" si="64"/>
        <v>202316</v>
      </c>
      <c r="B3598" s="5" t="str">
        <f>"23085031521"</f>
        <v>23085031521</v>
      </c>
      <c r="C3598" s="6">
        <v>111</v>
      </c>
      <c r="D3598" s="6">
        <v>114.5</v>
      </c>
      <c r="E3598" s="6">
        <v>225.5</v>
      </c>
      <c r="F3598" s="11"/>
    </row>
    <row r="3599" spans="1:6">
      <c r="A3599" s="5" t="str">
        <f t="shared" si="64"/>
        <v>202316</v>
      </c>
      <c r="B3599" s="5" t="str">
        <f>"23085031516"</f>
        <v>23085031516</v>
      </c>
      <c r="C3599" s="6">
        <v>105</v>
      </c>
      <c r="D3599" s="6">
        <v>120</v>
      </c>
      <c r="E3599" s="6">
        <v>225</v>
      </c>
      <c r="F3599" s="11"/>
    </row>
    <row r="3600" spans="1:6">
      <c r="A3600" s="5" t="str">
        <f t="shared" si="64"/>
        <v>202316</v>
      </c>
      <c r="B3600" s="5" t="str">
        <f>"23085031427"</f>
        <v>23085031427</v>
      </c>
      <c r="C3600" s="6">
        <v>108</v>
      </c>
      <c r="D3600" s="6">
        <v>117</v>
      </c>
      <c r="E3600" s="6">
        <v>225</v>
      </c>
      <c r="F3600" s="11"/>
    </row>
    <row r="3601" spans="1:6">
      <c r="A3601" s="5" t="str">
        <f t="shared" si="64"/>
        <v>202316</v>
      </c>
      <c r="B3601" s="5" t="str">
        <f>"23085031207"</f>
        <v>23085031207</v>
      </c>
      <c r="C3601" s="6">
        <v>120</v>
      </c>
      <c r="D3601" s="6">
        <v>104.5</v>
      </c>
      <c r="E3601" s="6">
        <v>224.5</v>
      </c>
      <c r="F3601" s="11"/>
    </row>
    <row r="3602" spans="1:6">
      <c r="A3602" s="5" t="str">
        <f t="shared" si="64"/>
        <v>202316</v>
      </c>
      <c r="B3602" s="5" t="str">
        <f>"23085031428"</f>
        <v>23085031428</v>
      </c>
      <c r="C3602" s="6">
        <v>109.5</v>
      </c>
      <c r="D3602" s="6">
        <v>115</v>
      </c>
      <c r="E3602" s="6">
        <v>224.5</v>
      </c>
      <c r="F3602" s="11"/>
    </row>
    <row r="3603" spans="1:6">
      <c r="A3603" s="5" t="str">
        <f t="shared" si="64"/>
        <v>202316</v>
      </c>
      <c r="B3603" s="5" t="str">
        <f>"23085031810"</f>
        <v>23085031810</v>
      </c>
      <c r="C3603" s="6">
        <v>114</v>
      </c>
      <c r="D3603" s="6">
        <v>110</v>
      </c>
      <c r="E3603" s="6">
        <v>224</v>
      </c>
      <c r="F3603" s="11"/>
    </row>
    <row r="3604" spans="1:6">
      <c r="A3604" s="5" t="str">
        <f t="shared" si="64"/>
        <v>202316</v>
      </c>
      <c r="B3604" s="5" t="str">
        <f>"23085031223"</f>
        <v>23085031223</v>
      </c>
      <c r="C3604" s="6">
        <v>111</v>
      </c>
      <c r="D3604" s="6">
        <v>113</v>
      </c>
      <c r="E3604" s="6">
        <v>224</v>
      </c>
      <c r="F3604" s="11"/>
    </row>
    <row r="3605" spans="1:6">
      <c r="A3605" s="5" t="str">
        <f t="shared" si="64"/>
        <v>202316</v>
      </c>
      <c r="B3605" s="5" t="str">
        <f>"23085031219"</f>
        <v>23085031219</v>
      </c>
      <c r="C3605" s="6">
        <v>108</v>
      </c>
      <c r="D3605" s="6">
        <v>115.5</v>
      </c>
      <c r="E3605" s="6">
        <v>223.5</v>
      </c>
      <c r="F3605" s="11"/>
    </row>
    <row r="3606" spans="1:6">
      <c r="A3606" s="5" t="str">
        <f t="shared" si="64"/>
        <v>202316</v>
      </c>
      <c r="B3606" s="5" t="str">
        <f>"23085031717"</f>
        <v>23085031717</v>
      </c>
      <c r="C3606" s="6">
        <v>106.5</v>
      </c>
      <c r="D3606" s="6">
        <v>116.5</v>
      </c>
      <c r="E3606" s="6">
        <v>223</v>
      </c>
      <c r="F3606" s="11"/>
    </row>
    <row r="3607" spans="1:6">
      <c r="A3607" s="5" t="str">
        <f t="shared" si="64"/>
        <v>202316</v>
      </c>
      <c r="B3607" s="5" t="str">
        <f>"23085031701"</f>
        <v>23085031701</v>
      </c>
      <c r="C3607" s="6">
        <v>108</v>
      </c>
      <c r="D3607" s="6">
        <v>115</v>
      </c>
      <c r="E3607" s="6">
        <v>223</v>
      </c>
      <c r="F3607" s="11"/>
    </row>
    <row r="3608" spans="1:6">
      <c r="A3608" s="5" t="str">
        <f t="shared" si="64"/>
        <v>202316</v>
      </c>
      <c r="B3608" s="5" t="str">
        <f>"23085031430"</f>
        <v>23085031430</v>
      </c>
      <c r="C3608" s="6">
        <v>109.5</v>
      </c>
      <c r="D3608" s="6">
        <v>113</v>
      </c>
      <c r="E3608" s="6">
        <v>222.5</v>
      </c>
      <c r="F3608" s="11"/>
    </row>
    <row r="3609" spans="1:6">
      <c r="A3609" s="5" t="str">
        <f t="shared" si="64"/>
        <v>202316</v>
      </c>
      <c r="B3609" s="5" t="str">
        <f>"23085031425"</f>
        <v>23085031425</v>
      </c>
      <c r="C3609" s="6">
        <v>105</v>
      </c>
      <c r="D3609" s="6">
        <v>117.5</v>
      </c>
      <c r="E3609" s="6">
        <v>222.5</v>
      </c>
      <c r="F3609" s="11"/>
    </row>
    <row r="3610" spans="1:6">
      <c r="A3610" s="5" t="str">
        <f t="shared" si="64"/>
        <v>202316</v>
      </c>
      <c r="B3610" s="5" t="str">
        <f>"23085031602"</f>
        <v>23085031602</v>
      </c>
      <c r="C3610" s="6">
        <v>99</v>
      </c>
      <c r="D3610" s="6">
        <v>123</v>
      </c>
      <c r="E3610" s="6">
        <v>222</v>
      </c>
      <c r="F3610" s="11"/>
    </row>
    <row r="3611" spans="1:6">
      <c r="A3611" s="5" t="str">
        <f t="shared" si="64"/>
        <v>202316</v>
      </c>
      <c r="B3611" s="5" t="str">
        <f>"23085031227"</f>
        <v>23085031227</v>
      </c>
      <c r="C3611" s="6">
        <v>108</v>
      </c>
      <c r="D3611" s="6">
        <v>114</v>
      </c>
      <c r="E3611" s="6">
        <v>222</v>
      </c>
      <c r="F3611" s="11"/>
    </row>
    <row r="3612" spans="1:6">
      <c r="A3612" s="5" t="str">
        <f t="shared" si="64"/>
        <v>202316</v>
      </c>
      <c r="B3612" s="5" t="str">
        <f>"23085031511"</f>
        <v>23085031511</v>
      </c>
      <c r="C3612" s="6">
        <v>112.5</v>
      </c>
      <c r="D3612" s="6">
        <v>109</v>
      </c>
      <c r="E3612" s="6">
        <v>221.5</v>
      </c>
      <c r="F3612" s="11"/>
    </row>
    <row r="3613" spans="1:6">
      <c r="A3613" s="5" t="str">
        <f t="shared" si="64"/>
        <v>202316</v>
      </c>
      <c r="B3613" s="5" t="str">
        <f>"23085031728"</f>
        <v>23085031728</v>
      </c>
      <c r="C3613" s="6">
        <v>103.5</v>
      </c>
      <c r="D3613" s="6">
        <v>118</v>
      </c>
      <c r="E3613" s="6">
        <v>221.5</v>
      </c>
      <c r="F3613" s="11"/>
    </row>
    <row r="3614" spans="1:6">
      <c r="A3614" s="5" t="str">
        <f t="shared" si="64"/>
        <v>202316</v>
      </c>
      <c r="B3614" s="5" t="str">
        <f>"23085031628"</f>
        <v>23085031628</v>
      </c>
      <c r="C3614" s="6">
        <v>103.5</v>
      </c>
      <c r="D3614" s="6">
        <v>118</v>
      </c>
      <c r="E3614" s="6">
        <v>221.5</v>
      </c>
      <c r="F3614" s="11"/>
    </row>
    <row r="3615" spans="1:6">
      <c r="A3615" s="5" t="str">
        <f t="shared" si="64"/>
        <v>202316</v>
      </c>
      <c r="B3615" s="5" t="str">
        <f>"23085031609"</f>
        <v>23085031609</v>
      </c>
      <c r="C3615" s="6">
        <v>108</v>
      </c>
      <c r="D3615" s="6">
        <v>113</v>
      </c>
      <c r="E3615" s="6">
        <v>221</v>
      </c>
      <c r="F3615" s="11"/>
    </row>
    <row r="3616" spans="1:6">
      <c r="A3616" s="5" t="str">
        <f t="shared" si="64"/>
        <v>202316</v>
      </c>
      <c r="B3616" s="5" t="str">
        <f>"23085031305"</f>
        <v>23085031305</v>
      </c>
      <c r="C3616" s="6">
        <v>105</v>
      </c>
      <c r="D3616" s="6">
        <v>116</v>
      </c>
      <c r="E3616" s="6">
        <v>221</v>
      </c>
      <c r="F3616" s="11"/>
    </row>
    <row r="3617" spans="1:6">
      <c r="A3617" s="5" t="str">
        <f t="shared" si="64"/>
        <v>202316</v>
      </c>
      <c r="B3617" s="5" t="str">
        <f>"23085031301"</f>
        <v>23085031301</v>
      </c>
      <c r="C3617" s="6">
        <v>100.5</v>
      </c>
      <c r="D3617" s="6">
        <v>120.5</v>
      </c>
      <c r="E3617" s="6">
        <v>221</v>
      </c>
      <c r="F3617" s="11"/>
    </row>
    <row r="3618" spans="1:6">
      <c r="A3618" s="5" t="str">
        <f t="shared" si="64"/>
        <v>202316</v>
      </c>
      <c r="B3618" s="5" t="str">
        <f>"23085031607"</f>
        <v>23085031607</v>
      </c>
      <c r="C3618" s="6">
        <v>100.5</v>
      </c>
      <c r="D3618" s="6">
        <v>120.5</v>
      </c>
      <c r="E3618" s="6">
        <v>221</v>
      </c>
      <c r="F3618" s="11"/>
    </row>
    <row r="3619" spans="1:6">
      <c r="A3619" s="5" t="str">
        <f t="shared" si="64"/>
        <v>202316</v>
      </c>
      <c r="B3619" s="5" t="str">
        <f>"23085031509"</f>
        <v>23085031509</v>
      </c>
      <c r="C3619" s="6">
        <v>106.5</v>
      </c>
      <c r="D3619" s="6">
        <v>114</v>
      </c>
      <c r="E3619" s="6">
        <v>220.5</v>
      </c>
      <c r="F3619" s="11"/>
    </row>
    <row r="3620" spans="1:6">
      <c r="A3620" s="5" t="str">
        <f t="shared" si="64"/>
        <v>202316</v>
      </c>
      <c r="B3620" s="5" t="str">
        <f>"23085031126"</f>
        <v>23085031126</v>
      </c>
      <c r="C3620" s="6">
        <v>100.5</v>
      </c>
      <c r="D3620" s="6">
        <v>118.5</v>
      </c>
      <c r="E3620" s="6">
        <v>219</v>
      </c>
      <c r="F3620" s="11"/>
    </row>
    <row r="3621" spans="1:6">
      <c r="A3621" s="5" t="str">
        <f t="shared" si="64"/>
        <v>202316</v>
      </c>
      <c r="B3621" s="5" t="str">
        <f>"23085031201"</f>
        <v>23085031201</v>
      </c>
      <c r="C3621" s="6">
        <v>100.5</v>
      </c>
      <c r="D3621" s="6">
        <v>118.5</v>
      </c>
      <c r="E3621" s="6">
        <v>219</v>
      </c>
      <c r="F3621" s="11"/>
    </row>
    <row r="3622" spans="1:6">
      <c r="A3622" s="5" t="str">
        <f t="shared" si="64"/>
        <v>202316</v>
      </c>
      <c r="B3622" s="5" t="str">
        <f>"23085031719"</f>
        <v>23085031719</v>
      </c>
      <c r="C3622" s="6">
        <v>105</v>
      </c>
      <c r="D3622" s="6">
        <v>113.5</v>
      </c>
      <c r="E3622" s="6">
        <v>218.5</v>
      </c>
      <c r="F3622" s="11"/>
    </row>
    <row r="3623" spans="1:6">
      <c r="A3623" s="5" t="str">
        <f t="shared" si="64"/>
        <v>202316</v>
      </c>
      <c r="B3623" s="5" t="str">
        <f>"23085031614"</f>
        <v>23085031614</v>
      </c>
      <c r="C3623" s="6">
        <v>100.5</v>
      </c>
      <c r="D3623" s="6">
        <v>117.5</v>
      </c>
      <c r="E3623" s="6">
        <v>218</v>
      </c>
      <c r="F3623" s="11"/>
    </row>
    <row r="3624" spans="1:6">
      <c r="A3624" s="5" t="str">
        <f t="shared" si="64"/>
        <v>202316</v>
      </c>
      <c r="B3624" s="5" t="str">
        <f>"23085031601"</f>
        <v>23085031601</v>
      </c>
      <c r="C3624" s="6">
        <v>108</v>
      </c>
      <c r="D3624" s="6">
        <v>110</v>
      </c>
      <c r="E3624" s="6">
        <v>218</v>
      </c>
      <c r="F3624" s="11"/>
    </row>
    <row r="3625" spans="1:6">
      <c r="A3625" s="5" t="str">
        <f t="shared" si="64"/>
        <v>202316</v>
      </c>
      <c r="B3625" s="5" t="str">
        <f>"23085031729"</f>
        <v>23085031729</v>
      </c>
      <c r="C3625" s="6">
        <v>112.5</v>
      </c>
      <c r="D3625" s="6">
        <v>105</v>
      </c>
      <c r="E3625" s="6">
        <v>217.5</v>
      </c>
      <c r="F3625" s="11"/>
    </row>
    <row r="3626" spans="1:6">
      <c r="A3626" s="5" t="str">
        <f t="shared" si="64"/>
        <v>202316</v>
      </c>
      <c r="B3626" s="5" t="str">
        <f>"23085031606"</f>
        <v>23085031606</v>
      </c>
      <c r="C3626" s="6">
        <v>106.5</v>
      </c>
      <c r="D3626" s="6">
        <v>111</v>
      </c>
      <c r="E3626" s="6">
        <v>217.5</v>
      </c>
      <c r="F3626" s="11"/>
    </row>
    <row r="3627" spans="1:6">
      <c r="A3627" s="5" t="str">
        <f t="shared" si="64"/>
        <v>202316</v>
      </c>
      <c r="B3627" s="5" t="str">
        <f>"23085031712"</f>
        <v>23085031712</v>
      </c>
      <c r="C3627" s="6">
        <v>99</v>
      </c>
      <c r="D3627" s="6">
        <v>118.5</v>
      </c>
      <c r="E3627" s="6">
        <v>217.5</v>
      </c>
      <c r="F3627" s="11"/>
    </row>
    <row r="3628" spans="1:6">
      <c r="A3628" s="5" t="str">
        <f t="shared" si="64"/>
        <v>202316</v>
      </c>
      <c r="B3628" s="5" t="str">
        <f>"23085031419"</f>
        <v>23085031419</v>
      </c>
      <c r="C3628" s="6">
        <v>108</v>
      </c>
      <c r="D3628" s="6">
        <v>109.5</v>
      </c>
      <c r="E3628" s="6">
        <v>217.5</v>
      </c>
      <c r="F3628" s="11"/>
    </row>
    <row r="3629" spans="1:6">
      <c r="A3629" s="5" t="str">
        <f t="shared" si="64"/>
        <v>202316</v>
      </c>
      <c r="B3629" s="5" t="str">
        <f>"23085031622"</f>
        <v>23085031622</v>
      </c>
      <c r="C3629" s="6">
        <v>100.5</v>
      </c>
      <c r="D3629" s="6">
        <v>116.5</v>
      </c>
      <c r="E3629" s="6">
        <v>217</v>
      </c>
      <c r="F3629" s="11"/>
    </row>
    <row r="3630" spans="1:6">
      <c r="A3630" s="5" t="str">
        <f t="shared" ref="A3630:A3693" si="65">"202316"</f>
        <v>202316</v>
      </c>
      <c r="B3630" s="5" t="str">
        <f>"23085031705"</f>
        <v>23085031705</v>
      </c>
      <c r="C3630" s="6">
        <v>100.5</v>
      </c>
      <c r="D3630" s="6">
        <v>116.5</v>
      </c>
      <c r="E3630" s="6">
        <v>217</v>
      </c>
      <c r="F3630" s="11"/>
    </row>
    <row r="3631" spans="1:6">
      <c r="A3631" s="5" t="str">
        <f t="shared" si="65"/>
        <v>202316</v>
      </c>
      <c r="B3631" s="5" t="str">
        <f>"23085031324"</f>
        <v>23085031324</v>
      </c>
      <c r="C3631" s="6">
        <v>102</v>
      </c>
      <c r="D3631" s="6">
        <v>115</v>
      </c>
      <c r="E3631" s="6">
        <v>217</v>
      </c>
      <c r="F3631" s="11"/>
    </row>
    <row r="3632" spans="1:6">
      <c r="A3632" s="5" t="str">
        <f t="shared" si="65"/>
        <v>202316</v>
      </c>
      <c r="B3632" s="5" t="str">
        <f>"23085031309"</f>
        <v>23085031309</v>
      </c>
      <c r="C3632" s="6">
        <v>102</v>
      </c>
      <c r="D3632" s="6">
        <v>114.5</v>
      </c>
      <c r="E3632" s="6">
        <v>216.5</v>
      </c>
      <c r="F3632" s="11"/>
    </row>
    <row r="3633" spans="1:6">
      <c r="A3633" s="5" t="str">
        <f t="shared" si="65"/>
        <v>202316</v>
      </c>
      <c r="B3633" s="5" t="str">
        <f>"23085031217"</f>
        <v>23085031217</v>
      </c>
      <c r="C3633" s="6">
        <v>96</v>
      </c>
      <c r="D3633" s="6">
        <v>120.5</v>
      </c>
      <c r="E3633" s="6">
        <v>216.5</v>
      </c>
      <c r="F3633" s="11"/>
    </row>
    <row r="3634" spans="1:6">
      <c r="A3634" s="5" t="str">
        <f t="shared" si="65"/>
        <v>202316</v>
      </c>
      <c r="B3634" s="5" t="str">
        <f>"23085031725"</f>
        <v>23085031725</v>
      </c>
      <c r="C3634" s="6">
        <v>106.5</v>
      </c>
      <c r="D3634" s="6">
        <v>109.5</v>
      </c>
      <c r="E3634" s="6">
        <v>216</v>
      </c>
      <c r="F3634" s="11"/>
    </row>
    <row r="3635" spans="1:6">
      <c r="A3635" s="5" t="str">
        <f t="shared" si="65"/>
        <v>202316</v>
      </c>
      <c r="B3635" s="5" t="str">
        <f>"23085031615"</f>
        <v>23085031615</v>
      </c>
      <c r="C3635" s="6">
        <v>100.5</v>
      </c>
      <c r="D3635" s="6">
        <v>115.5</v>
      </c>
      <c r="E3635" s="6">
        <v>216</v>
      </c>
      <c r="F3635" s="11"/>
    </row>
    <row r="3636" spans="1:6">
      <c r="A3636" s="5" t="str">
        <f t="shared" si="65"/>
        <v>202316</v>
      </c>
      <c r="B3636" s="5" t="str">
        <f>"23085031228"</f>
        <v>23085031228</v>
      </c>
      <c r="C3636" s="6">
        <v>103.5</v>
      </c>
      <c r="D3636" s="6">
        <v>112.5</v>
      </c>
      <c r="E3636" s="6">
        <v>216</v>
      </c>
      <c r="F3636" s="11"/>
    </row>
    <row r="3637" spans="1:6">
      <c r="A3637" s="5" t="str">
        <f t="shared" si="65"/>
        <v>202316</v>
      </c>
      <c r="B3637" s="5" t="str">
        <f>"23085031802"</f>
        <v>23085031802</v>
      </c>
      <c r="C3637" s="6">
        <v>102</v>
      </c>
      <c r="D3637" s="6">
        <v>113.5</v>
      </c>
      <c r="E3637" s="6">
        <v>215.5</v>
      </c>
      <c r="F3637" s="11"/>
    </row>
    <row r="3638" spans="1:6">
      <c r="A3638" s="5" t="str">
        <f t="shared" si="65"/>
        <v>202316</v>
      </c>
      <c r="B3638" s="5" t="str">
        <f>"23085031619"</f>
        <v>23085031619</v>
      </c>
      <c r="C3638" s="6">
        <v>94.5</v>
      </c>
      <c r="D3638" s="6">
        <v>121</v>
      </c>
      <c r="E3638" s="6">
        <v>215.5</v>
      </c>
      <c r="F3638" s="11"/>
    </row>
    <row r="3639" spans="1:6">
      <c r="A3639" s="5" t="str">
        <f t="shared" si="65"/>
        <v>202316</v>
      </c>
      <c r="B3639" s="5" t="str">
        <f>"23085031625"</f>
        <v>23085031625</v>
      </c>
      <c r="C3639" s="6">
        <v>108</v>
      </c>
      <c r="D3639" s="6">
        <v>107.5</v>
      </c>
      <c r="E3639" s="6">
        <v>215.5</v>
      </c>
      <c r="F3639" s="11"/>
    </row>
    <row r="3640" spans="1:6">
      <c r="A3640" s="5" t="str">
        <f t="shared" si="65"/>
        <v>202316</v>
      </c>
      <c r="B3640" s="5" t="str">
        <f>"23085031523"</f>
        <v>23085031523</v>
      </c>
      <c r="C3640" s="6">
        <v>96</v>
      </c>
      <c r="D3640" s="6">
        <v>119.5</v>
      </c>
      <c r="E3640" s="6">
        <v>215.5</v>
      </c>
      <c r="F3640" s="11"/>
    </row>
    <row r="3641" spans="1:6">
      <c r="A3641" s="5" t="str">
        <f t="shared" si="65"/>
        <v>202316</v>
      </c>
      <c r="B3641" s="5" t="str">
        <f>"23085031409"</f>
        <v>23085031409</v>
      </c>
      <c r="C3641" s="6">
        <v>99</v>
      </c>
      <c r="D3641" s="6">
        <v>116.5</v>
      </c>
      <c r="E3641" s="6">
        <v>215.5</v>
      </c>
      <c r="F3641" s="11"/>
    </row>
    <row r="3642" spans="1:6">
      <c r="A3642" s="5" t="str">
        <f t="shared" si="65"/>
        <v>202316</v>
      </c>
      <c r="B3642" s="5" t="str">
        <f>"23085031317"</f>
        <v>23085031317</v>
      </c>
      <c r="C3642" s="6">
        <v>106.5</v>
      </c>
      <c r="D3642" s="6">
        <v>108.5</v>
      </c>
      <c r="E3642" s="6">
        <v>215</v>
      </c>
      <c r="F3642" s="11"/>
    </row>
    <row r="3643" spans="1:6">
      <c r="A3643" s="5" t="str">
        <f t="shared" si="65"/>
        <v>202316</v>
      </c>
      <c r="B3643" s="5" t="str">
        <f>"23085031704"</f>
        <v>23085031704</v>
      </c>
      <c r="C3643" s="6">
        <v>99</v>
      </c>
      <c r="D3643" s="6">
        <v>116</v>
      </c>
      <c r="E3643" s="6">
        <v>215</v>
      </c>
      <c r="F3643" s="11"/>
    </row>
    <row r="3644" spans="1:6">
      <c r="A3644" s="5" t="str">
        <f t="shared" si="65"/>
        <v>202316</v>
      </c>
      <c r="B3644" s="5" t="str">
        <f>"23085031204"</f>
        <v>23085031204</v>
      </c>
      <c r="C3644" s="6">
        <v>94.5</v>
      </c>
      <c r="D3644" s="6">
        <v>120</v>
      </c>
      <c r="E3644" s="6">
        <v>214.5</v>
      </c>
      <c r="F3644" s="11"/>
    </row>
    <row r="3645" spans="1:6">
      <c r="A3645" s="5" t="str">
        <f t="shared" si="65"/>
        <v>202316</v>
      </c>
      <c r="B3645" s="5" t="str">
        <f>"23085031703"</f>
        <v>23085031703</v>
      </c>
      <c r="C3645" s="6">
        <v>99</v>
      </c>
      <c r="D3645" s="6">
        <v>115.5</v>
      </c>
      <c r="E3645" s="6">
        <v>214.5</v>
      </c>
      <c r="F3645" s="11"/>
    </row>
    <row r="3646" spans="1:6">
      <c r="A3646" s="5" t="str">
        <f t="shared" si="65"/>
        <v>202316</v>
      </c>
      <c r="B3646" s="5" t="str">
        <f>"23085031212"</f>
        <v>23085031212</v>
      </c>
      <c r="C3646" s="6">
        <v>100.5</v>
      </c>
      <c r="D3646" s="6">
        <v>114</v>
      </c>
      <c r="E3646" s="6">
        <v>214.5</v>
      </c>
      <c r="F3646" s="11"/>
    </row>
    <row r="3647" spans="1:6">
      <c r="A3647" s="5" t="str">
        <f t="shared" si="65"/>
        <v>202316</v>
      </c>
      <c r="B3647" s="5" t="str">
        <f>"23085031130"</f>
        <v>23085031130</v>
      </c>
      <c r="C3647" s="6">
        <v>100.5</v>
      </c>
      <c r="D3647" s="6">
        <v>113.5</v>
      </c>
      <c r="E3647" s="6">
        <v>214</v>
      </c>
      <c r="F3647" s="11"/>
    </row>
    <row r="3648" spans="1:6">
      <c r="A3648" s="5" t="str">
        <f t="shared" si="65"/>
        <v>202316</v>
      </c>
      <c r="B3648" s="5" t="str">
        <f>"23085031621"</f>
        <v>23085031621</v>
      </c>
      <c r="C3648" s="6">
        <v>99</v>
      </c>
      <c r="D3648" s="6">
        <v>115</v>
      </c>
      <c r="E3648" s="6">
        <v>214</v>
      </c>
      <c r="F3648" s="11"/>
    </row>
    <row r="3649" spans="1:6">
      <c r="A3649" s="5" t="str">
        <f t="shared" si="65"/>
        <v>202316</v>
      </c>
      <c r="B3649" s="5" t="str">
        <f>"23085031812"</f>
        <v>23085031812</v>
      </c>
      <c r="C3649" s="6">
        <v>102</v>
      </c>
      <c r="D3649" s="6">
        <v>112</v>
      </c>
      <c r="E3649" s="6">
        <v>214</v>
      </c>
      <c r="F3649" s="11"/>
    </row>
    <row r="3650" spans="1:6">
      <c r="A3650" s="5" t="str">
        <f t="shared" si="65"/>
        <v>202316</v>
      </c>
      <c r="B3650" s="5" t="str">
        <f>"23085031518"</f>
        <v>23085031518</v>
      </c>
      <c r="C3650" s="6">
        <v>105</v>
      </c>
      <c r="D3650" s="6">
        <v>108.5</v>
      </c>
      <c r="E3650" s="6">
        <v>213.5</v>
      </c>
      <c r="F3650" s="11"/>
    </row>
    <row r="3651" spans="1:6">
      <c r="A3651" s="5" t="str">
        <f t="shared" si="65"/>
        <v>202316</v>
      </c>
      <c r="B3651" s="5" t="str">
        <f>"23085031612"</f>
        <v>23085031612</v>
      </c>
      <c r="C3651" s="6">
        <v>97.5</v>
      </c>
      <c r="D3651" s="6">
        <v>114</v>
      </c>
      <c r="E3651" s="6">
        <v>211.5</v>
      </c>
      <c r="F3651" s="11"/>
    </row>
    <row r="3652" spans="1:6">
      <c r="A3652" s="5" t="str">
        <f t="shared" si="65"/>
        <v>202316</v>
      </c>
      <c r="B3652" s="5" t="str">
        <f>"23085031226"</f>
        <v>23085031226</v>
      </c>
      <c r="C3652" s="6">
        <v>99</v>
      </c>
      <c r="D3652" s="6">
        <v>112</v>
      </c>
      <c r="E3652" s="6">
        <v>211</v>
      </c>
      <c r="F3652" s="11"/>
    </row>
    <row r="3653" spans="1:6">
      <c r="A3653" s="5" t="str">
        <f t="shared" si="65"/>
        <v>202316</v>
      </c>
      <c r="B3653" s="5" t="str">
        <f>"23085031529"</f>
        <v>23085031529</v>
      </c>
      <c r="C3653" s="6">
        <v>99</v>
      </c>
      <c r="D3653" s="6">
        <v>112</v>
      </c>
      <c r="E3653" s="6">
        <v>211</v>
      </c>
      <c r="F3653" s="11"/>
    </row>
    <row r="3654" spans="1:6">
      <c r="A3654" s="5" t="str">
        <f t="shared" si="65"/>
        <v>202316</v>
      </c>
      <c r="B3654" s="5" t="str">
        <f>"23085031715"</f>
        <v>23085031715</v>
      </c>
      <c r="C3654" s="6">
        <v>94.5</v>
      </c>
      <c r="D3654" s="6">
        <v>116.5</v>
      </c>
      <c r="E3654" s="6">
        <v>211</v>
      </c>
      <c r="F3654" s="11"/>
    </row>
    <row r="3655" spans="1:6">
      <c r="A3655" s="5" t="str">
        <f t="shared" si="65"/>
        <v>202316</v>
      </c>
      <c r="B3655" s="5" t="str">
        <f>"23085031708"</f>
        <v>23085031708</v>
      </c>
      <c r="C3655" s="6">
        <v>99</v>
      </c>
      <c r="D3655" s="6">
        <v>111.5</v>
      </c>
      <c r="E3655" s="6">
        <v>210.5</v>
      </c>
      <c r="F3655" s="11"/>
    </row>
    <row r="3656" spans="1:6">
      <c r="A3656" s="5" t="str">
        <f t="shared" si="65"/>
        <v>202316</v>
      </c>
      <c r="B3656" s="5" t="str">
        <f>"23085031629"</f>
        <v>23085031629</v>
      </c>
      <c r="C3656" s="6">
        <v>96</v>
      </c>
      <c r="D3656" s="6">
        <v>114</v>
      </c>
      <c r="E3656" s="6">
        <v>210</v>
      </c>
      <c r="F3656" s="11"/>
    </row>
    <row r="3657" spans="1:6">
      <c r="A3657" s="5" t="str">
        <f t="shared" si="65"/>
        <v>202316</v>
      </c>
      <c r="B3657" s="5" t="str">
        <f>"23085031506"</f>
        <v>23085031506</v>
      </c>
      <c r="C3657" s="6">
        <v>112.5</v>
      </c>
      <c r="D3657" s="6">
        <v>97.5</v>
      </c>
      <c r="E3657" s="6">
        <v>210</v>
      </c>
      <c r="F3657" s="11"/>
    </row>
    <row r="3658" spans="1:6">
      <c r="A3658" s="5" t="str">
        <f t="shared" si="65"/>
        <v>202316</v>
      </c>
      <c r="B3658" s="5" t="str">
        <f>"23085031623"</f>
        <v>23085031623</v>
      </c>
      <c r="C3658" s="6">
        <v>93</v>
      </c>
      <c r="D3658" s="6">
        <v>116.5</v>
      </c>
      <c r="E3658" s="6">
        <v>209.5</v>
      </c>
      <c r="F3658" s="11"/>
    </row>
    <row r="3659" spans="1:6">
      <c r="A3659" s="5" t="str">
        <f t="shared" si="65"/>
        <v>202316</v>
      </c>
      <c r="B3659" s="5" t="str">
        <f>"23085031823"</f>
        <v>23085031823</v>
      </c>
      <c r="C3659" s="6">
        <v>94.5</v>
      </c>
      <c r="D3659" s="6">
        <v>115</v>
      </c>
      <c r="E3659" s="6">
        <v>209.5</v>
      </c>
      <c r="F3659" s="11"/>
    </row>
    <row r="3660" spans="1:6">
      <c r="A3660" s="5" t="str">
        <f t="shared" si="65"/>
        <v>202316</v>
      </c>
      <c r="B3660" s="5" t="str">
        <f>"23085031316"</f>
        <v>23085031316</v>
      </c>
      <c r="C3660" s="6">
        <v>93</v>
      </c>
      <c r="D3660" s="6">
        <v>116.5</v>
      </c>
      <c r="E3660" s="6">
        <v>209.5</v>
      </c>
      <c r="F3660" s="11"/>
    </row>
    <row r="3661" spans="1:6">
      <c r="A3661" s="5" t="str">
        <f t="shared" si="65"/>
        <v>202316</v>
      </c>
      <c r="B3661" s="5" t="str">
        <f>"23085031414"</f>
        <v>23085031414</v>
      </c>
      <c r="C3661" s="6">
        <v>94.5</v>
      </c>
      <c r="D3661" s="6">
        <v>114.5</v>
      </c>
      <c r="E3661" s="6">
        <v>209</v>
      </c>
      <c r="F3661" s="11"/>
    </row>
    <row r="3662" spans="1:6">
      <c r="A3662" s="5" t="str">
        <f t="shared" si="65"/>
        <v>202316</v>
      </c>
      <c r="B3662" s="5" t="str">
        <f>"23085031328"</f>
        <v>23085031328</v>
      </c>
      <c r="C3662" s="6">
        <v>102</v>
      </c>
      <c r="D3662" s="6">
        <v>107</v>
      </c>
      <c r="E3662" s="6">
        <v>209</v>
      </c>
      <c r="F3662" s="11"/>
    </row>
    <row r="3663" spans="1:6">
      <c r="A3663" s="5" t="str">
        <f t="shared" si="65"/>
        <v>202316</v>
      </c>
      <c r="B3663" s="5" t="str">
        <f>"23085031415"</f>
        <v>23085031415</v>
      </c>
      <c r="C3663" s="6">
        <v>96</v>
      </c>
      <c r="D3663" s="6">
        <v>113</v>
      </c>
      <c r="E3663" s="6">
        <v>209</v>
      </c>
      <c r="F3663" s="11"/>
    </row>
    <row r="3664" spans="1:6">
      <c r="A3664" s="5" t="str">
        <f t="shared" si="65"/>
        <v>202316</v>
      </c>
      <c r="B3664" s="5" t="str">
        <f>"23085031320"</f>
        <v>23085031320</v>
      </c>
      <c r="C3664" s="6">
        <v>88.5</v>
      </c>
      <c r="D3664" s="6">
        <v>120</v>
      </c>
      <c r="E3664" s="6">
        <v>208.5</v>
      </c>
      <c r="F3664" s="11"/>
    </row>
    <row r="3665" spans="1:6">
      <c r="A3665" s="5" t="str">
        <f t="shared" si="65"/>
        <v>202316</v>
      </c>
      <c r="B3665" s="5" t="str">
        <f>"23085031726"</f>
        <v>23085031726</v>
      </c>
      <c r="C3665" s="6">
        <v>106.5</v>
      </c>
      <c r="D3665" s="6">
        <v>102</v>
      </c>
      <c r="E3665" s="6">
        <v>208.5</v>
      </c>
      <c r="F3665" s="11"/>
    </row>
    <row r="3666" spans="1:6">
      <c r="A3666" s="5" t="str">
        <f t="shared" si="65"/>
        <v>202316</v>
      </c>
      <c r="B3666" s="5" t="str">
        <f>"23085031811"</f>
        <v>23085031811</v>
      </c>
      <c r="C3666" s="6">
        <v>93</v>
      </c>
      <c r="D3666" s="6">
        <v>115.5</v>
      </c>
      <c r="E3666" s="6">
        <v>208.5</v>
      </c>
      <c r="F3666" s="11"/>
    </row>
    <row r="3667" spans="1:6">
      <c r="A3667" s="5" t="str">
        <f t="shared" si="65"/>
        <v>202316</v>
      </c>
      <c r="B3667" s="5" t="str">
        <f>"23085031308"</f>
        <v>23085031308</v>
      </c>
      <c r="C3667" s="6">
        <v>90</v>
      </c>
      <c r="D3667" s="6">
        <v>118.5</v>
      </c>
      <c r="E3667" s="6">
        <v>208.5</v>
      </c>
      <c r="F3667" s="11"/>
    </row>
    <row r="3668" spans="1:6">
      <c r="A3668" s="5" t="str">
        <f t="shared" si="65"/>
        <v>202316</v>
      </c>
      <c r="B3668" s="5" t="str">
        <f>"23085031306"</f>
        <v>23085031306</v>
      </c>
      <c r="C3668" s="6">
        <v>94.5</v>
      </c>
      <c r="D3668" s="6">
        <v>113</v>
      </c>
      <c r="E3668" s="6">
        <v>207.5</v>
      </c>
      <c r="F3668" s="11"/>
    </row>
    <row r="3669" spans="1:6">
      <c r="A3669" s="5" t="str">
        <f t="shared" si="65"/>
        <v>202316</v>
      </c>
      <c r="B3669" s="5" t="str">
        <f>"23085031125"</f>
        <v>23085031125</v>
      </c>
      <c r="C3669" s="6">
        <v>97.5</v>
      </c>
      <c r="D3669" s="6">
        <v>109</v>
      </c>
      <c r="E3669" s="6">
        <v>206.5</v>
      </c>
      <c r="F3669" s="11"/>
    </row>
    <row r="3670" spans="1:6">
      <c r="A3670" s="5" t="str">
        <f t="shared" si="65"/>
        <v>202316</v>
      </c>
      <c r="B3670" s="5" t="str">
        <f>"23085031417"</f>
        <v>23085031417</v>
      </c>
      <c r="C3670" s="6">
        <v>97.5</v>
      </c>
      <c r="D3670" s="6">
        <v>108.5</v>
      </c>
      <c r="E3670" s="6">
        <v>206</v>
      </c>
      <c r="F3670" s="11"/>
    </row>
    <row r="3671" spans="1:6">
      <c r="A3671" s="5" t="str">
        <f t="shared" si="65"/>
        <v>202316</v>
      </c>
      <c r="B3671" s="5" t="str">
        <f>"23085031408"</f>
        <v>23085031408</v>
      </c>
      <c r="C3671" s="6">
        <v>105</v>
      </c>
      <c r="D3671" s="6">
        <v>101</v>
      </c>
      <c r="E3671" s="6">
        <v>206</v>
      </c>
      <c r="F3671" s="11"/>
    </row>
    <row r="3672" spans="1:6">
      <c r="A3672" s="5" t="str">
        <f t="shared" si="65"/>
        <v>202316</v>
      </c>
      <c r="B3672" s="5" t="str">
        <f>"23085031416"</f>
        <v>23085031416</v>
      </c>
      <c r="C3672" s="6">
        <v>93</v>
      </c>
      <c r="D3672" s="6">
        <v>112.5</v>
      </c>
      <c r="E3672" s="6">
        <v>205.5</v>
      </c>
      <c r="F3672" s="11"/>
    </row>
    <row r="3673" spans="1:6">
      <c r="A3673" s="5" t="str">
        <f t="shared" si="65"/>
        <v>202316</v>
      </c>
      <c r="B3673" s="5" t="str">
        <f>"23085031605"</f>
        <v>23085031605</v>
      </c>
      <c r="C3673" s="6">
        <v>96</v>
      </c>
      <c r="D3673" s="6">
        <v>109.5</v>
      </c>
      <c r="E3673" s="6">
        <v>205.5</v>
      </c>
      <c r="F3673" s="11"/>
    </row>
    <row r="3674" spans="1:6">
      <c r="A3674" s="5" t="str">
        <f t="shared" si="65"/>
        <v>202316</v>
      </c>
      <c r="B3674" s="5" t="str">
        <f>"23085031318"</f>
        <v>23085031318</v>
      </c>
      <c r="C3674" s="6">
        <v>93</v>
      </c>
      <c r="D3674" s="6">
        <v>112</v>
      </c>
      <c r="E3674" s="6">
        <v>205</v>
      </c>
      <c r="F3674" s="11"/>
    </row>
    <row r="3675" spans="1:6">
      <c r="A3675" s="5" t="str">
        <f t="shared" si="65"/>
        <v>202316</v>
      </c>
      <c r="B3675" s="5" t="str">
        <f>"23085031501"</f>
        <v>23085031501</v>
      </c>
      <c r="C3675" s="6">
        <v>94.5</v>
      </c>
      <c r="D3675" s="6">
        <v>110.5</v>
      </c>
      <c r="E3675" s="6">
        <v>205</v>
      </c>
      <c r="F3675" s="11"/>
    </row>
    <row r="3676" spans="1:6">
      <c r="A3676" s="5" t="str">
        <f t="shared" si="65"/>
        <v>202316</v>
      </c>
      <c r="B3676" s="5" t="str">
        <f>"23085031819"</f>
        <v>23085031819</v>
      </c>
      <c r="C3676" s="6">
        <v>93</v>
      </c>
      <c r="D3676" s="6">
        <v>112</v>
      </c>
      <c r="E3676" s="6">
        <v>205</v>
      </c>
      <c r="F3676" s="11"/>
    </row>
    <row r="3677" spans="1:6">
      <c r="A3677" s="5" t="str">
        <f t="shared" si="65"/>
        <v>202316</v>
      </c>
      <c r="B3677" s="5" t="str">
        <f>"23085031513"</f>
        <v>23085031513</v>
      </c>
      <c r="C3677" s="6">
        <v>96</v>
      </c>
      <c r="D3677" s="6">
        <v>108.5</v>
      </c>
      <c r="E3677" s="6">
        <v>204.5</v>
      </c>
      <c r="F3677" s="11"/>
    </row>
    <row r="3678" spans="1:6">
      <c r="A3678" s="5" t="str">
        <f t="shared" si="65"/>
        <v>202316</v>
      </c>
      <c r="B3678" s="5" t="str">
        <f>"23085031507"</f>
        <v>23085031507</v>
      </c>
      <c r="C3678" s="6">
        <v>84</v>
      </c>
      <c r="D3678" s="6">
        <v>120.5</v>
      </c>
      <c r="E3678" s="6">
        <v>204.5</v>
      </c>
      <c r="F3678" s="11"/>
    </row>
    <row r="3679" spans="1:6">
      <c r="A3679" s="5" t="str">
        <f t="shared" si="65"/>
        <v>202316</v>
      </c>
      <c r="B3679" s="5" t="str">
        <f>"23085031302"</f>
        <v>23085031302</v>
      </c>
      <c r="C3679" s="6">
        <v>87</v>
      </c>
      <c r="D3679" s="6">
        <v>117.5</v>
      </c>
      <c r="E3679" s="6">
        <v>204.5</v>
      </c>
      <c r="F3679" s="11"/>
    </row>
    <row r="3680" spans="1:6">
      <c r="A3680" s="5" t="str">
        <f t="shared" si="65"/>
        <v>202316</v>
      </c>
      <c r="B3680" s="5" t="str">
        <f>"23085031211"</f>
        <v>23085031211</v>
      </c>
      <c r="C3680" s="6">
        <v>103.5</v>
      </c>
      <c r="D3680" s="6">
        <v>101</v>
      </c>
      <c r="E3680" s="6">
        <v>204.5</v>
      </c>
      <c r="F3680" s="11"/>
    </row>
    <row r="3681" spans="1:6">
      <c r="A3681" s="5" t="str">
        <f t="shared" si="65"/>
        <v>202316</v>
      </c>
      <c r="B3681" s="5" t="str">
        <f>"23085031525"</f>
        <v>23085031525</v>
      </c>
      <c r="C3681" s="6">
        <v>93</v>
      </c>
      <c r="D3681" s="6">
        <v>111.5</v>
      </c>
      <c r="E3681" s="6">
        <v>204.5</v>
      </c>
      <c r="F3681" s="11"/>
    </row>
    <row r="3682" spans="1:6">
      <c r="A3682" s="5" t="str">
        <f t="shared" si="65"/>
        <v>202316</v>
      </c>
      <c r="B3682" s="5" t="str">
        <f>"23085031203"</f>
        <v>23085031203</v>
      </c>
      <c r="C3682" s="6">
        <v>96</v>
      </c>
      <c r="D3682" s="6">
        <v>107.5</v>
      </c>
      <c r="E3682" s="6">
        <v>203.5</v>
      </c>
      <c r="F3682" s="11"/>
    </row>
    <row r="3683" spans="1:6">
      <c r="A3683" s="5" t="str">
        <f t="shared" si="65"/>
        <v>202316</v>
      </c>
      <c r="B3683" s="5" t="str">
        <f>"23085031801"</f>
        <v>23085031801</v>
      </c>
      <c r="C3683" s="6">
        <v>94.5</v>
      </c>
      <c r="D3683" s="6">
        <v>108.5</v>
      </c>
      <c r="E3683" s="6">
        <v>203</v>
      </c>
      <c r="F3683" s="11"/>
    </row>
    <row r="3684" spans="1:6">
      <c r="A3684" s="5" t="str">
        <f t="shared" si="65"/>
        <v>202316</v>
      </c>
      <c r="B3684" s="5" t="str">
        <f>"23085031603"</f>
        <v>23085031603</v>
      </c>
      <c r="C3684" s="6">
        <v>81</v>
      </c>
      <c r="D3684" s="6">
        <v>122</v>
      </c>
      <c r="E3684" s="6">
        <v>203</v>
      </c>
      <c r="F3684" s="11"/>
    </row>
    <row r="3685" spans="1:6">
      <c r="A3685" s="5" t="str">
        <f t="shared" si="65"/>
        <v>202316</v>
      </c>
      <c r="B3685" s="5" t="str">
        <f>"23085031410"</f>
        <v>23085031410</v>
      </c>
      <c r="C3685" s="6">
        <v>88.5</v>
      </c>
      <c r="D3685" s="6">
        <v>114.5</v>
      </c>
      <c r="E3685" s="6">
        <v>203</v>
      </c>
      <c r="F3685" s="11"/>
    </row>
    <row r="3686" spans="1:6">
      <c r="A3686" s="5" t="str">
        <f t="shared" si="65"/>
        <v>202316</v>
      </c>
      <c r="B3686" s="5" t="str">
        <f>"23085031225"</f>
        <v>23085031225</v>
      </c>
      <c r="C3686" s="6">
        <v>106.5</v>
      </c>
      <c r="D3686" s="6">
        <v>96.5</v>
      </c>
      <c r="E3686" s="6">
        <v>203</v>
      </c>
      <c r="F3686" s="11"/>
    </row>
    <row r="3687" spans="1:6">
      <c r="A3687" s="5" t="str">
        <f t="shared" si="65"/>
        <v>202316</v>
      </c>
      <c r="B3687" s="5" t="str">
        <f>"23085031624"</f>
        <v>23085031624</v>
      </c>
      <c r="C3687" s="6">
        <v>100.5</v>
      </c>
      <c r="D3687" s="6">
        <v>102</v>
      </c>
      <c r="E3687" s="6">
        <v>202.5</v>
      </c>
      <c r="F3687" s="11"/>
    </row>
    <row r="3688" spans="1:6">
      <c r="A3688" s="5" t="str">
        <f t="shared" si="65"/>
        <v>202316</v>
      </c>
      <c r="B3688" s="5" t="str">
        <f>"23085031315"</f>
        <v>23085031315</v>
      </c>
      <c r="C3688" s="6">
        <v>102</v>
      </c>
      <c r="D3688" s="6">
        <v>100</v>
      </c>
      <c r="E3688" s="6">
        <v>202</v>
      </c>
      <c r="F3688" s="11"/>
    </row>
    <row r="3689" spans="1:6">
      <c r="A3689" s="5" t="str">
        <f t="shared" si="65"/>
        <v>202316</v>
      </c>
      <c r="B3689" s="5" t="str">
        <f>"23085031806"</f>
        <v>23085031806</v>
      </c>
      <c r="C3689" s="6">
        <v>90</v>
      </c>
      <c r="D3689" s="6">
        <v>111.5</v>
      </c>
      <c r="E3689" s="6">
        <v>201.5</v>
      </c>
      <c r="F3689" s="11"/>
    </row>
    <row r="3690" spans="1:6">
      <c r="A3690" s="5" t="str">
        <f t="shared" si="65"/>
        <v>202316</v>
      </c>
      <c r="B3690" s="5" t="str">
        <f>"23085031813"</f>
        <v>23085031813</v>
      </c>
      <c r="C3690" s="6">
        <v>96</v>
      </c>
      <c r="D3690" s="6">
        <v>105.5</v>
      </c>
      <c r="E3690" s="6">
        <v>201.5</v>
      </c>
      <c r="F3690" s="11"/>
    </row>
    <row r="3691" spans="1:6">
      <c r="A3691" s="5" t="str">
        <f t="shared" si="65"/>
        <v>202316</v>
      </c>
      <c r="B3691" s="5" t="str">
        <f>"23085031515"</f>
        <v>23085031515</v>
      </c>
      <c r="C3691" s="6">
        <v>88.5</v>
      </c>
      <c r="D3691" s="6">
        <v>113</v>
      </c>
      <c r="E3691" s="6">
        <v>201.5</v>
      </c>
      <c r="F3691" s="11"/>
    </row>
    <row r="3692" spans="1:6">
      <c r="A3692" s="5" t="str">
        <f t="shared" si="65"/>
        <v>202316</v>
      </c>
      <c r="B3692" s="5" t="str">
        <f>"23085031711"</f>
        <v>23085031711</v>
      </c>
      <c r="C3692" s="6">
        <v>96</v>
      </c>
      <c r="D3692" s="6">
        <v>105.5</v>
      </c>
      <c r="E3692" s="6">
        <v>201.5</v>
      </c>
      <c r="F3692" s="11"/>
    </row>
    <row r="3693" spans="1:6">
      <c r="A3693" s="5" t="str">
        <f t="shared" si="65"/>
        <v>202316</v>
      </c>
      <c r="B3693" s="5" t="str">
        <f>"23085031505"</f>
        <v>23085031505</v>
      </c>
      <c r="C3693" s="6">
        <v>87</v>
      </c>
      <c r="D3693" s="6">
        <v>114</v>
      </c>
      <c r="E3693" s="6">
        <v>201</v>
      </c>
      <c r="F3693" s="11"/>
    </row>
    <row r="3694" spans="1:6">
      <c r="A3694" s="5" t="str">
        <f t="shared" ref="A3694:A3757" si="66">"202316"</f>
        <v>202316</v>
      </c>
      <c r="B3694" s="5" t="str">
        <f>"23085031307"</f>
        <v>23085031307</v>
      </c>
      <c r="C3694" s="6">
        <v>87</v>
      </c>
      <c r="D3694" s="6">
        <v>114</v>
      </c>
      <c r="E3694" s="6">
        <v>201</v>
      </c>
      <c r="F3694" s="11"/>
    </row>
    <row r="3695" spans="1:6">
      <c r="A3695" s="5" t="str">
        <f t="shared" si="66"/>
        <v>202316</v>
      </c>
      <c r="B3695" s="5" t="str">
        <f>"23085031311"</f>
        <v>23085031311</v>
      </c>
      <c r="C3695" s="6">
        <v>87</v>
      </c>
      <c r="D3695" s="6">
        <v>114</v>
      </c>
      <c r="E3695" s="6">
        <v>201</v>
      </c>
      <c r="F3695" s="11"/>
    </row>
    <row r="3696" spans="1:6">
      <c r="A3696" s="5" t="str">
        <f t="shared" si="66"/>
        <v>202316</v>
      </c>
      <c r="B3696" s="5" t="str">
        <f>"23085031405"</f>
        <v>23085031405</v>
      </c>
      <c r="C3696" s="6">
        <v>84</v>
      </c>
      <c r="D3696" s="6">
        <v>116.5</v>
      </c>
      <c r="E3696" s="6">
        <v>200.5</v>
      </c>
      <c r="F3696" s="11"/>
    </row>
    <row r="3697" spans="1:6">
      <c r="A3697" s="5" t="str">
        <f t="shared" si="66"/>
        <v>202316</v>
      </c>
      <c r="B3697" s="5" t="str">
        <f>"23085031730"</f>
        <v>23085031730</v>
      </c>
      <c r="C3697" s="6">
        <v>87</v>
      </c>
      <c r="D3697" s="6">
        <v>113.5</v>
      </c>
      <c r="E3697" s="6">
        <v>200.5</v>
      </c>
      <c r="F3697" s="11"/>
    </row>
    <row r="3698" spans="1:6">
      <c r="A3698" s="5" t="str">
        <f t="shared" si="66"/>
        <v>202316</v>
      </c>
      <c r="B3698" s="5" t="str">
        <f>"23085031722"</f>
        <v>23085031722</v>
      </c>
      <c r="C3698" s="6">
        <v>91.5</v>
      </c>
      <c r="D3698" s="6">
        <v>108</v>
      </c>
      <c r="E3698" s="6">
        <v>199.5</v>
      </c>
      <c r="F3698" s="11"/>
    </row>
    <row r="3699" spans="1:6">
      <c r="A3699" s="5" t="str">
        <f t="shared" si="66"/>
        <v>202316</v>
      </c>
      <c r="B3699" s="5" t="str">
        <f>"23085031202"</f>
        <v>23085031202</v>
      </c>
      <c r="C3699" s="6">
        <v>99</v>
      </c>
      <c r="D3699" s="6">
        <v>100</v>
      </c>
      <c r="E3699" s="6">
        <v>199</v>
      </c>
      <c r="F3699" s="11"/>
    </row>
    <row r="3700" spans="1:6">
      <c r="A3700" s="5" t="str">
        <f t="shared" si="66"/>
        <v>202316</v>
      </c>
      <c r="B3700" s="5" t="str">
        <f>"23085031424"</f>
        <v>23085031424</v>
      </c>
      <c r="C3700" s="6">
        <v>94.5</v>
      </c>
      <c r="D3700" s="6">
        <v>104</v>
      </c>
      <c r="E3700" s="6">
        <v>198.5</v>
      </c>
      <c r="F3700" s="11"/>
    </row>
    <row r="3701" spans="1:6">
      <c r="A3701" s="5" t="str">
        <f t="shared" si="66"/>
        <v>202316</v>
      </c>
      <c r="B3701" s="5" t="str">
        <f>"23085031512"</f>
        <v>23085031512</v>
      </c>
      <c r="C3701" s="6">
        <v>100.5</v>
      </c>
      <c r="D3701" s="6">
        <v>98</v>
      </c>
      <c r="E3701" s="6">
        <v>198.5</v>
      </c>
      <c r="F3701" s="11"/>
    </row>
    <row r="3702" spans="1:6">
      <c r="A3702" s="5" t="str">
        <f t="shared" si="66"/>
        <v>202316</v>
      </c>
      <c r="B3702" s="5" t="str">
        <f>"23085031821"</f>
        <v>23085031821</v>
      </c>
      <c r="C3702" s="6">
        <v>91.5</v>
      </c>
      <c r="D3702" s="6">
        <v>106.5</v>
      </c>
      <c r="E3702" s="6">
        <v>198</v>
      </c>
      <c r="F3702" s="11"/>
    </row>
    <row r="3703" spans="1:6">
      <c r="A3703" s="5" t="str">
        <f t="shared" si="66"/>
        <v>202316</v>
      </c>
      <c r="B3703" s="5" t="str">
        <f>"23085031214"</f>
        <v>23085031214</v>
      </c>
      <c r="C3703" s="6">
        <v>85.5</v>
      </c>
      <c r="D3703" s="6">
        <v>112.5</v>
      </c>
      <c r="E3703" s="6">
        <v>198</v>
      </c>
      <c r="F3703" s="11"/>
    </row>
    <row r="3704" spans="1:6">
      <c r="A3704" s="5" t="str">
        <f t="shared" si="66"/>
        <v>202316</v>
      </c>
      <c r="B3704" s="5" t="str">
        <f>"23085031517"</f>
        <v>23085031517</v>
      </c>
      <c r="C3704" s="6">
        <v>85.5</v>
      </c>
      <c r="D3704" s="6">
        <v>111</v>
      </c>
      <c r="E3704" s="6">
        <v>196.5</v>
      </c>
      <c r="F3704" s="11"/>
    </row>
    <row r="3705" spans="1:6">
      <c r="A3705" s="5" t="str">
        <f t="shared" si="66"/>
        <v>202316</v>
      </c>
      <c r="B3705" s="5" t="str">
        <f>"23085031325"</f>
        <v>23085031325</v>
      </c>
      <c r="C3705" s="6">
        <v>88.5</v>
      </c>
      <c r="D3705" s="6">
        <v>107.5</v>
      </c>
      <c r="E3705" s="6">
        <v>196</v>
      </c>
      <c r="F3705" s="11"/>
    </row>
    <row r="3706" spans="1:6">
      <c r="A3706" s="5" t="str">
        <f t="shared" si="66"/>
        <v>202316</v>
      </c>
      <c r="B3706" s="5" t="str">
        <f>"23085031208"</f>
        <v>23085031208</v>
      </c>
      <c r="C3706" s="6">
        <v>97.5</v>
      </c>
      <c r="D3706" s="6">
        <v>98.5</v>
      </c>
      <c r="E3706" s="6">
        <v>196</v>
      </c>
      <c r="F3706" s="11"/>
    </row>
    <row r="3707" spans="1:6">
      <c r="A3707" s="5" t="str">
        <f t="shared" si="66"/>
        <v>202316</v>
      </c>
      <c r="B3707" s="5" t="str">
        <f>"23085031127"</f>
        <v>23085031127</v>
      </c>
      <c r="C3707" s="6">
        <v>85.5</v>
      </c>
      <c r="D3707" s="6">
        <v>109.5</v>
      </c>
      <c r="E3707" s="6">
        <v>195</v>
      </c>
      <c r="F3707" s="11"/>
    </row>
    <row r="3708" spans="1:6">
      <c r="A3708" s="5" t="str">
        <f t="shared" si="66"/>
        <v>202316</v>
      </c>
      <c r="B3708" s="5" t="str">
        <f>"23085031128"</f>
        <v>23085031128</v>
      </c>
      <c r="C3708" s="6">
        <v>114</v>
      </c>
      <c r="D3708" s="6">
        <v>80.5</v>
      </c>
      <c r="E3708" s="6">
        <v>194.5</v>
      </c>
      <c r="F3708" s="11"/>
    </row>
    <row r="3709" spans="1:6">
      <c r="A3709" s="5" t="str">
        <f t="shared" si="66"/>
        <v>202316</v>
      </c>
      <c r="B3709" s="5" t="str">
        <f>"23085031321"</f>
        <v>23085031321</v>
      </c>
      <c r="C3709" s="6">
        <v>91.5</v>
      </c>
      <c r="D3709" s="6">
        <v>101</v>
      </c>
      <c r="E3709" s="6">
        <v>192.5</v>
      </c>
      <c r="F3709" s="11"/>
    </row>
    <row r="3710" spans="1:6">
      <c r="A3710" s="5" t="str">
        <f t="shared" si="66"/>
        <v>202316</v>
      </c>
      <c r="B3710" s="5" t="str">
        <f>"23085031720"</f>
        <v>23085031720</v>
      </c>
      <c r="C3710" s="6">
        <v>85.5</v>
      </c>
      <c r="D3710" s="6">
        <v>106</v>
      </c>
      <c r="E3710" s="6">
        <v>191.5</v>
      </c>
      <c r="F3710" s="11"/>
    </row>
    <row r="3711" spans="1:6">
      <c r="A3711" s="5" t="str">
        <f t="shared" si="66"/>
        <v>202316</v>
      </c>
      <c r="B3711" s="5" t="str">
        <f>"23085031604"</f>
        <v>23085031604</v>
      </c>
      <c r="C3711" s="6">
        <v>81</v>
      </c>
      <c r="D3711" s="6">
        <v>110.5</v>
      </c>
      <c r="E3711" s="6">
        <v>191.5</v>
      </c>
      <c r="F3711" s="11"/>
    </row>
    <row r="3712" spans="1:6">
      <c r="A3712" s="5" t="str">
        <f t="shared" si="66"/>
        <v>202316</v>
      </c>
      <c r="B3712" s="5" t="str">
        <f>"23085031422"</f>
        <v>23085031422</v>
      </c>
      <c r="C3712" s="6">
        <v>84</v>
      </c>
      <c r="D3712" s="6">
        <v>105.5</v>
      </c>
      <c r="E3712" s="6">
        <v>189.5</v>
      </c>
      <c r="F3712" s="11"/>
    </row>
    <row r="3713" spans="1:6">
      <c r="A3713" s="5" t="str">
        <f t="shared" si="66"/>
        <v>202316</v>
      </c>
      <c r="B3713" s="5" t="str">
        <f>"23085031809"</f>
        <v>23085031809</v>
      </c>
      <c r="C3713" s="6">
        <v>76.5</v>
      </c>
      <c r="D3713" s="6">
        <v>112.5</v>
      </c>
      <c r="E3713" s="6">
        <v>189</v>
      </c>
      <c r="F3713" s="11"/>
    </row>
    <row r="3714" spans="1:6">
      <c r="A3714" s="5" t="str">
        <f t="shared" si="66"/>
        <v>202316</v>
      </c>
      <c r="B3714" s="5" t="str">
        <f>"23085031524"</f>
        <v>23085031524</v>
      </c>
      <c r="C3714" s="6">
        <v>78</v>
      </c>
      <c r="D3714" s="6">
        <v>110.5</v>
      </c>
      <c r="E3714" s="6">
        <v>188.5</v>
      </c>
      <c r="F3714" s="11"/>
    </row>
    <row r="3715" spans="1:6">
      <c r="A3715" s="5" t="str">
        <f t="shared" si="66"/>
        <v>202316</v>
      </c>
      <c r="B3715" s="5" t="str">
        <f>"23085031230"</f>
        <v>23085031230</v>
      </c>
      <c r="C3715" s="6">
        <v>73.5</v>
      </c>
      <c r="D3715" s="6">
        <v>114.5</v>
      </c>
      <c r="E3715" s="6">
        <v>188</v>
      </c>
      <c r="F3715" s="11"/>
    </row>
    <row r="3716" spans="1:6">
      <c r="A3716" s="5" t="str">
        <f t="shared" si="66"/>
        <v>202316</v>
      </c>
      <c r="B3716" s="5" t="str">
        <f>"23085031222"</f>
        <v>23085031222</v>
      </c>
      <c r="C3716" s="6">
        <v>69</v>
      </c>
      <c r="D3716" s="6">
        <v>119</v>
      </c>
      <c r="E3716" s="6">
        <v>188</v>
      </c>
      <c r="F3716" s="11"/>
    </row>
    <row r="3717" spans="1:6">
      <c r="A3717" s="5" t="str">
        <f t="shared" si="66"/>
        <v>202316</v>
      </c>
      <c r="B3717" s="5" t="str">
        <f>"23085031312"</f>
        <v>23085031312</v>
      </c>
      <c r="C3717" s="6">
        <v>82.5</v>
      </c>
      <c r="D3717" s="6">
        <v>105.5</v>
      </c>
      <c r="E3717" s="6">
        <v>188</v>
      </c>
      <c r="F3717" s="11"/>
    </row>
    <row r="3718" spans="1:6">
      <c r="A3718" s="5" t="str">
        <f t="shared" si="66"/>
        <v>202316</v>
      </c>
      <c r="B3718" s="5" t="str">
        <f>"23085031413"</f>
        <v>23085031413</v>
      </c>
      <c r="C3718" s="6">
        <v>76.5</v>
      </c>
      <c r="D3718" s="6">
        <v>110.5</v>
      </c>
      <c r="E3718" s="6">
        <v>187</v>
      </c>
      <c r="F3718" s="11"/>
    </row>
    <row r="3719" spans="1:6">
      <c r="A3719" s="5" t="str">
        <f t="shared" si="66"/>
        <v>202316</v>
      </c>
      <c r="B3719" s="5" t="str">
        <f>"23085031421"</f>
        <v>23085031421</v>
      </c>
      <c r="C3719" s="6">
        <v>82.5</v>
      </c>
      <c r="D3719" s="6">
        <v>102.5</v>
      </c>
      <c r="E3719" s="6">
        <v>185</v>
      </c>
      <c r="F3719" s="11"/>
    </row>
    <row r="3720" spans="1:6">
      <c r="A3720" s="5" t="str">
        <f t="shared" si="66"/>
        <v>202316</v>
      </c>
      <c r="B3720" s="5" t="str">
        <f>"23085031522"</f>
        <v>23085031522</v>
      </c>
      <c r="C3720" s="6">
        <v>75</v>
      </c>
      <c r="D3720" s="6">
        <v>110</v>
      </c>
      <c r="E3720" s="6">
        <v>185</v>
      </c>
      <c r="F3720" s="11"/>
    </row>
    <row r="3721" spans="1:6">
      <c r="A3721" s="5" t="str">
        <f t="shared" si="66"/>
        <v>202316</v>
      </c>
      <c r="B3721" s="5" t="str">
        <f>"23085031209"</f>
        <v>23085031209</v>
      </c>
      <c r="C3721" s="6">
        <v>76.5</v>
      </c>
      <c r="D3721" s="6">
        <v>108</v>
      </c>
      <c r="E3721" s="6">
        <v>184.5</v>
      </c>
      <c r="F3721" s="11"/>
    </row>
    <row r="3722" spans="1:6">
      <c r="A3722" s="5" t="str">
        <f t="shared" si="66"/>
        <v>202316</v>
      </c>
      <c r="B3722" s="5" t="str">
        <f>"23085031618"</f>
        <v>23085031618</v>
      </c>
      <c r="C3722" s="6">
        <v>73.5</v>
      </c>
      <c r="D3722" s="6">
        <v>108.5</v>
      </c>
      <c r="E3722" s="6">
        <v>182</v>
      </c>
      <c r="F3722" s="11"/>
    </row>
    <row r="3723" spans="1:6">
      <c r="A3723" s="5" t="str">
        <f t="shared" si="66"/>
        <v>202316</v>
      </c>
      <c r="B3723" s="5" t="str">
        <f>"23085031420"</f>
        <v>23085031420</v>
      </c>
      <c r="C3723" s="6">
        <v>69</v>
      </c>
      <c r="D3723" s="6">
        <v>102</v>
      </c>
      <c r="E3723" s="6">
        <v>171</v>
      </c>
      <c r="F3723" s="11"/>
    </row>
    <row r="3724" spans="1:6">
      <c r="A3724" s="5" t="str">
        <f t="shared" si="66"/>
        <v>202316</v>
      </c>
      <c r="B3724" s="5" t="str">
        <f>"23085031205"</f>
        <v>23085031205</v>
      </c>
      <c r="C3724" s="6">
        <v>75</v>
      </c>
      <c r="D3724" s="6">
        <v>92</v>
      </c>
      <c r="E3724" s="6">
        <v>167</v>
      </c>
      <c r="F3724" s="11"/>
    </row>
    <row r="3725" spans="1:6">
      <c r="A3725" s="5" t="str">
        <f t="shared" si="66"/>
        <v>202316</v>
      </c>
      <c r="B3725" s="5" t="str">
        <f>"23085031526"</f>
        <v>23085031526</v>
      </c>
      <c r="C3725" s="6">
        <v>73.5</v>
      </c>
      <c r="D3725" s="6">
        <v>89.5</v>
      </c>
      <c r="E3725" s="6">
        <v>163</v>
      </c>
      <c r="F3725" s="11"/>
    </row>
    <row r="3726" spans="1:6">
      <c r="A3726" s="5" t="str">
        <f t="shared" si="66"/>
        <v>202316</v>
      </c>
      <c r="B3726" s="5" t="str">
        <f>"23085031820"</f>
        <v>23085031820</v>
      </c>
      <c r="C3726" s="6">
        <v>61.5</v>
      </c>
      <c r="D3726" s="6">
        <v>55.5</v>
      </c>
      <c r="E3726" s="6">
        <v>117</v>
      </c>
      <c r="F3726" s="11"/>
    </row>
    <row r="3727" spans="1:6">
      <c r="A3727" s="5" t="str">
        <f t="shared" si="66"/>
        <v>202316</v>
      </c>
      <c r="B3727" s="5" t="str">
        <f>"23085031502"</f>
        <v>23085031502</v>
      </c>
      <c r="C3727" s="6">
        <v>0</v>
      </c>
      <c r="D3727" s="6">
        <v>0</v>
      </c>
      <c r="E3727" s="6">
        <v>0</v>
      </c>
      <c r="F3727" s="11" t="s">
        <v>7</v>
      </c>
    </row>
    <row r="3728" spans="1:6">
      <c r="A3728" s="5" t="str">
        <f t="shared" si="66"/>
        <v>202316</v>
      </c>
      <c r="B3728" s="5" t="str">
        <f>"23085031304"</f>
        <v>23085031304</v>
      </c>
      <c r="C3728" s="6">
        <v>0</v>
      </c>
      <c r="D3728" s="6">
        <v>0</v>
      </c>
      <c r="E3728" s="6">
        <v>0</v>
      </c>
      <c r="F3728" s="11" t="s">
        <v>7</v>
      </c>
    </row>
    <row r="3729" spans="1:6">
      <c r="A3729" s="5" t="str">
        <f t="shared" si="66"/>
        <v>202316</v>
      </c>
      <c r="B3729" s="5" t="str">
        <f>"23085031727"</f>
        <v>23085031727</v>
      </c>
      <c r="C3729" s="6">
        <v>0</v>
      </c>
      <c r="D3729" s="6">
        <v>0</v>
      </c>
      <c r="E3729" s="6">
        <v>0</v>
      </c>
      <c r="F3729" s="11" t="s">
        <v>7</v>
      </c>
    </row>
    <row r="3730" spans="1:6">
      <c r="A3730" s="5" t="str">
        <f t="shared" si="66"/>
        <v>202316</v>
      </c>
      <c r="B3730" s="5" t="str">
        <f>"23085031822"</f>
        <v>23085031822</v>
      </c>
      <c r="C3730" s="6">
        <v>0</v>
      </c>
      <c r="D3730" s="6">
        <v>0</v>
      </c>
      <c r="E3730" s="6">
        <v>0</v>
      </c>
      <c r="F3730" s="11" t="s">
        <v>7</v>
      </c>
    </row>
    <row r="3731" spans="1:6">
      <c r="A3731" s="5" t="str">
        <f t="shared" si="66"/>
        <v>202316</v>
      </c>
      <c r="B3731" s="5" t="str">
        <f>"23085031630"</f>
        <v>23085031630</v>
      </c>
      <c r="C3731" s="6">
        <v>0</v>
      </c>
      <c r="D3731" s="6">
        <v>0</v>
      </c>
      <c r="E3731" s="6">
        <v>0</v>
      </c>
      <c r="F3731" s="11" t="s">
        <v>7</v>
      </c>
    </row>
    <row r="3732" spans="1:6">
      <c r="A3732" s="5" t="str">
        <f t="shared" si="66"/>
        <v>202316</v>
      </c>
      <c r="B3732" s="5" t="str">
        <f>"23085031527"</f>
        <v>23085031527</v>
      </c>
      <c r="C3732" s="6">
        <v>0</v>
      </c>
      <c r="D3732" s="6">
        <v>0</v>
      </c>
      <c r="E3732" s="6">
        <v>0</v>
      </c>
      <c r="F3732" s="11" t="s">
        <v>7</v>
      </c>
    </row>
    <row r="3733" spans="1:6">
      <c r="A3733" s="5" t="str">
        <f t="shared" si="66"/>
        <v>202316</v>
      </c>
      <c r="B3733" s="5" t="str">
        <f>"23085031403"</f>
        <v>23085031403</v>
      </c>
      <c r="C3733" s="6">
        <v>0</v>
      </c>
      <c r="D3733" s="6">
        <v>0</v>
      </c>
      <c r="E3733" s="6">
        <v>0</v>
      </c>
      <c r="F3733" s="11" t="s">
        <v>7</v>
      </c>
    </row>
    <row r="3734" spans="1:6">
      <c r="A3734" s="5" t="str">
        <f t="shared" si="66"/>
        <v>202316</v>
      </c>
      <c r="B3734" s="5" t="str">
        <f>"23085031402"</f>
        <v>23085031402</v>
      </c>
      <c r="C3734" s="6">
        <v>0</v>
      </c>
      <c r="D3734" s="6">
        <v>0</v>
      </c>
      <c r="E3734" s="6">
        <v>0</v>
      </c>
      <c r="F3734" s="11" t="s">
        <v>7</v>
      </c>
    </row>
    <row r="3735" spans="1:6">
      <c r="A3735" s="5" t="str">
        <f t="shared" si="66"/>
        <v>202316</v>
      </c>
      <c r="B3735" s="5" t="str">
        <f>"23085031702"</f>
        <v>23085031702</v>
      </c>
      <c r="C3735" s="6">
        <v>0</v>
      </c>
      <c r="D3735" s="6">
        <v>0</v>
      </c>
      <c r="E3735" s="6">
        <v>0</v>
      </c>
      <c r="F3735" s="11" t="s">
        <v>7</v>
      </c>
    </row>
    <row r="3736" spans="1:6">
      <c r="A3736" s="5" t="str">
        <f t="shared" si="66"/>
        <v>202316</v>
      </c>
      <c r="B3736" s="5" t="str">
        <f>"23085031716"</f>
        <v>23085031716</v>
      </c>
      <c r="C3736" s="6">
        <v>0</v>
      </c>
      <c r="D3736" s="6">
        <v>0</v>
      </c>
      <c r="E3736" s="6">
        <v>0</v>
      </c>
      <c r="F3736" s="11" t="s">
        <v>7</v>
      </c>
    </row>
    <row r="3737" spans="1:6">
      <c r="A3737" s="5" t="str">
        <f t="shared" si="66"/>
        <v>202316</v>
      </c>
      <c r="B3737" s="5" t="str">
        <f>"23085031707"</f>
        <v>23085031707</v>
      </c>
      <c r="C3737" s="6">
        <v>0</v>
      </c>
      <c r="D3737" s="6">
        <v>0</v>
      </c>
      <c r="E3737" s="6">
        <v>0</v>
      </c>
      <c r="F3737" s="11" t="s">
        <v>7</v>
      </c>
    </row>
    <row r="3738" spans="1:6">
      <c r="A3738" s="5" t="str">
        <f t="shared" si="66"/>
        <v>202316</v>
      </c>
      <c r="B3738" s="5" t="str">
        <f>"23085031213"</f>
        <v>23085031213</v>
      </c>
      <c r="C3738" s="6">
        <v>0</v>
      </c>
      <c r="D3738" s="6">
        <v>0</v>
      </c>
      <c r="E3738" s="6">
        <v>0</v>
      </c>
      <c r="F3738" s="11" t="s">
        <v>7</v>
      </c>
    </row>
    <row r="3739" spans="1:6">
      <c r="A3739" s="5" t="str">
        <f t="shared" si="66"/>
        <v>202316</v>
      </c>
      <c r="B3739" s="5" t="str">
        <f>"23085031503"</f>
        <v>23085031503</v>
      </c>
      <c r="C3739" s="6">
        <v>0</v>
      </c>
      <c r="D3739" s="6">
        <v>0</v>
      </c>
      <c r="E3739" s="6">
        <v>0</v>
      </c>
      <c r="F3739" s="11" t="s">
        <v>7</v>
      </c>
    </row>
    <row r="3740" spans="1:6">
      <c r="A3740" s="5" t="str">
        <f t="shared" si="66"/>
        <v>202316</v>
      </c>
      <c r="B3740" s="5" t="str">
        <f>"23085031510"</f>
        <v>23085031510</v>
      </c>
      <c r="C3740" s="6">
        <v>0</v>
      </c>
      <c r="D3740" s="6">
        <v>0</v>
      </c>
      <c r="E3740" s="6">
        <v>0</v>
      </c>
      <c r="F3740" s="11" t="s">
        <v>7</v>
      </c>
    </row>
    <row r="3741" spans="1:6">
      <c r="A3741" s="5" t="str">
        <f t="shared" si="66"/>
        <v>202316</v>
      </c>
      <c r="B3741" s="5" t="str">
        <f>"23085031313"</f>
        <v>23085031313</v>
      </c>
      <c r="C3741" s="6">
        <v>0</v>
      </c>
      <c r="D3741" s="6">
        <v>0</v>
      </c>
      <c r="E3741" s="6">
        <v>0</v>
      </c>
      <c r="F3741" s="11" t="s">
        <v>7</v>
      </c>
    </row>
    <row r="3742" spans="1:6">
      <c r="A3742" s="5" t="str">
        <f t="shared" si="66"/>
        <v>202316</v>
      </c>
      <c r="B3742" s="5" t="str">
        <f>"23085031514"</f>
        <v>23085031514</v>
      </c>
      <c r="C3742" s="6">
        <v>0</v>
      </c>
      <c r="D3742" s="6">
        <v>0</v>
      </c>
      <c r="E3742" s="6">
        <v>0</v>
      </c>
      <c r="F3742" s="11" t="s">
        <v>7</v>
      </c>
    </row>
    <row r="3743" spans="1:6">
      <c r="A3743" s="5" t="str">
        <f t="shared" si="66"/>
        <v>202316</v>
      </c>
      <c r="B3743" s="5" t="str">
        <f>"23085031520"</f>
        <v>23085031520</v>
      </c>
      <c r="C3743" s="6">
        <v>0</v>
      </c>
      <c r="D3743" s="6">
        <v>0</v>
      </c>
      <c r="E3743" s="6">
        <v>0</v>
      </c>
      <c r="F3743" s="11" t="s">
        <v>7</v>
      </c>
    </row>
    <row r="3744" spans="1:6">
      <c r="A3744" s="5" t="str">
        <f t="shared" si="66"/>
        <v>202316</v>
      </c>
      <c r="B3744" s="5" t="str">
        <f>"23085031803"</f>
        <v>23085031803</v>
      </c>
      <c r="C3744" s="6">
        <v>0</v>
      </c>
      <c r="D3744" s="6">
        <v>0</v>
      </c>
      <c r="E3744" s="6">
        <v>0</v>
      </c>
      <c r="F3744" s="11" t="s">
        <v>7</v>
      </c>
    </row>
    <row r="3745" spans="1:6">
      <c r="A3745" s="5" t="str">
        <f t="shared" si="66"/>
        <v>202316</v>
      </c>
      <c r="B3745" s="5" t="str">
        <f>"23085031215"</f>
        <v>23085031215</v>
      </c>
      <c r="C3745" s="6">
        <v>0</v>
      </c>
      <c r="D3745" s="6">
        <v>0</v>
      </c>
      <c r="E3745" s="6">
        <v>0</v>
      </c>
      <c r="F3745" s="11" t="s">
        <v>7</v>
      </c>
    </row>
    <row r="3746" spans="1:6">
      <c r="A3746" s="5" t="str">
        <f t="shared" si="66"/>
        <v>202316</v>
      </c>
      <c r="B3746" s="5" t="str">
        <f>"23085031418"</f>
        <v>23085031418</v>
      </c>
      <c r="C3746" s="6">
        <v>0</v>
      </c>
      <c r="D3746" s="6">
        <v>0</v>
      </c>
      <c r="E3746" s="6">
        <v>0</v>
      </c>
      <c r="F3746" s="11" t="s">
        <v>7</v>
      </c>
    </row>
    <row r="3747" spans="1:6">
      <c r="A3747" s="5" t="str">
        <f t="shared" si="66"/>
        <v>202316</v>
      </c>
      <c r="B3747" s="5" t="str">
        <f>"23085031627"</f>
        <v>23085031627</v>
      </c>
      <c r="C3747" s="6">
        <v>0</v>
      </c>
      <c r="D3747" s="6">
        <v>0</v>
      </c>
      <c r="E3747" s="6">
        <v>0</v>
      </c>
      <c r="F3747" s="11" t="s">
        <v>7</v>
      </c>
    </row>
    <row r="3748" spans="1:6">
      <c r="A3748" s="5" t="str">
        <f t="shared" si="66"/>
        <v>202316</v>
      </c>
      <c r="B3748" s="5" t="str">
        <f>"23085031310"</f>
        <v>23085031310</v>
      </c>
      <c r="C3748" s="6">
        <v>0</v>
      </c>
      <c r="D3748" s="6">
        <v>0</v>
      </c>
      <c r="E3748" s="6">
        <v>0</v>
      </c>
      <c r="F3748" s="11" t="s">
        <v>7</v>
      </c>
    </row>
    <row r="3749" spans="1:6">
      <c r="A3749" s="5" t="str">
        <f t="shared" si="66"/>
        <v>202316</v>
      </c>
      <c r="B3749" s="5" t="str">
        <f>"23085031706"</f>
        <v>23085031706</v>
      </c>
      <c r="C3749" s="6">
        <v>0</v>
      </c>
      <c r="D3749" s="6">
        <v>0</v>
      </c>
      <c r="E3749" s="6">
        <v>0</v>
      </c>
      <c r="F3749" s="11" t="s">
        <v>7</v>
      </c>
    </row>
    <row r="3750" spans="1:6">
      <c r="A3750" s="5" t="str">
        <f t="shared" si="66"/>
        <v>202316</v>
      </c>
      <c r="B3750" s="5" t="str">
        <f>"23085031303"</f>
        <v>23085031303</v>
      </c>
      <c r="C3750" s="6">
        <v>0</v>
      </c>
      <c r="D3750" s="6">
        <v>0</v>
      </c>
      <c r="E3750" s="6">
        <v>0</v>
      </c>
      <c r="F3750" s="11" t="s">
        <v>7</v>
      </c>
    </row>
    <row r="3751" spans="1:6">
      <c r="A3751" s="5" t="str">
        <f t="shared" si="66"/>
        <v>202316</v>
      </c>
      <c r="B3751" s="5" t="str">
        <f>"23085031407"</f>
        <v>23085031407</v>
      </c>
      <c r="C3751" s="6">
        <v>0</v>
      </c>
      <c r="D3751" s="6">
        <v>0</v>
      </c>
      <c r="E3751" s="6">
        <v>0</v>
      </c>
      <c r="F3751" s="11" t="s">
        <v>7</v>
      </c>
    </row>
    <row r="3752" spans="1:6">
      <c r="A3752" s="5" t="str">
        <f t="shared" si="66"/>
        <v>202316</v>
      </c>
      <c r="B3752" s="5" t="str">
        <f>"23085031323"</f>
        <v>23085031323</v>
      </c>
      <c r="C3752" s="6">
        <v>0</v>
      </c>
      <c r="D3752" s="6">
        <v>0</v>
      </c>
      <c r="E3752" s="6">
        <v>0</v>
      </c>
      <c r="F3752" s="11" t="s">
        <v>7</v>
      </c>
    </row>
    <row r="3753" spans="1:6">
      <c r="A3753" s="5" t="str">
        <f t="shared" si="66"/>
        <v>202316</v>
      </c>
      <c r="B3753" s="5" t="str">
        <f>"23085031220"</f>
        <v>23085031220</v>
      </c>
      <c r="C3753" s="6">
        <v>0</v>
      </c>
      <c r="D3753" s="6">
        <v>0</v>
      </c>
      <c r="E3753" s="6">
        <v>0</v>
      </c>
      <c r="F3753" s="11" t="s">
        <v>7</v>
      </c>
    </row>
    <row r="3754" spans="1:6">
      <c r="A3754" s="5" t="str">
        <f t="shared" si="66"/>
        <v>202316</v>
      </c>
      <c r="B3754" s="5" t="str">
        <f>"23085031613"</f>
        <v>23085031613</v>
      </c>
      <c r="C3754" s="6">
        <v>0</v>
      </c>
      <c r="D3754" s="6">
        <v>0</v>
      </c>
      <c r="E3754" s="6">
        <v>0</v>
      </c>
      <c r="F3754" s="11" t="s">
        <v>7</v>
      </c>
    </row>
    <row r="3755" spans="1:6">
      <c r="A3755" s="5" t="str">
        <f t="shared" si="66"/>
        <v>202316</v>
      </c>
      <c r="B3755" s="5" t="str">
        <f>"23085031329"</f>
        <v>23085031329</v>
      </c>
      <c r="C3755" s="6">
        <v>0</v>
      </c>
      <c r="D3755" s="6">
        <v>0</v>
      </c>
      <c r="E3755" s="6">
        <v>0</v>
      </c>
      <c r="F3755" s="11" t="s">
        <v>7</v>
      </c>
    </row>
    <row r="3756" spans="1:6">
      <c r="A3756" s="5" t="str">
        <f t="shared" si="66"/>
        <v>202316</v>
      </c>
      <c r="B3756" s="5" t="str">
        <f>"23085031616"</f>
        <v>23085031616</v>
      </c>
      <c r="C3756" s="6">
        <v>0</v>
      </c>
      <c r="D3756" s="6">
        <v>0</v>
      </c>
      <c r="E3756" s="6">
        <v>0</v>
      </c>
      <c r="F3756" s="11" t="s">
        <v>7</v>
      </c>
    </row>
    <row r="3757" spans="1:6">
      <c r="A3757" s="5" t="str">
        <f t="shared" si="66"/>
        <v>202316</v>
      </c>
      <c r="B3757" s="5" t="str">
        <f>"23085031330"</f>
        <v>23085031330</v>
      </c>
      <c r="C3757" s="6">
        <v>0</v>
      </c>
      <c r="D3757" s="6">
        <v>0</v>
      </c>
      <c r="E3757" s="6">
        <v>0</v>
      </c>
      <c r="F3757" s="11" t="s">
        <v>7</v>
      </c>
    </row>
    <row r="3758" spans="1:6">
      <c r="A3758" s="5" t="str">
        <f t="shared" ref="A3758:A3775" si="67">"202316"</f>
        <v>202316</v>
      </c>
      <c r="B3758" s="5" t="str">
        <f>"23085031611"</f>
        <v>23085031611</v>
      </c>
      <c r="C3758" s="6">
        <v>0</v>
      </c>
      <c r="D3758" s="6">
        <v>0</v>
      </c>
      <c r="E3758" s="6">
        <v>0</v>
      </c>
      <c r="F3758" s="11" t="s">
        <v>7</v>
      </c>
    </row>
    <row r="3759" spans="1:6">
      <c r="A3759" s="5" t="str">
        <f t="shared" si="67"/>
        <v>202316</v>
      </c>
      <c r="B3759" s="5" t="str">
        <f>"23085031610"</f>
        <v>23085031610</v>
      </c>
      <c r="C3759" s="6">
        <v>0</v>
      </c>
      <c r="D3759" s="6">
        <v>0</v>
      </c>
      <c r="E3759" s="6">
        <v>0</v>
      </c>
      <c r="F3759" s="11" t="s">
        <v>7</v>
      </c>
    </row>
    <row r="3760" spans="1:6">
      <c r="A3760" s="5" t="str">
        <f t="shared" si="67"/>
        <v>202316</v>
      </c>
      <c r="B3760" s="5" t="str">
        <f>"23085031412"</f>
        <v>23085031412</v>
      </c>
      <c r="C3760" s="6">
        <v>0</v>
      </c>
      <c r="D3760" s="6">
        <v>0</v>
      </c>
      <c r="E3760" s="6">
        <v>0</v>
      </c>
      <c r="F3760" s="11" t="s">
        <v>7</v>
      </c>
    </row>
    <row r="3761" spans="1:6">
      <c r="A3761" s="5" t="str">
        <f t="shared" si="67"/>
        <v>202316</v>
      </c>
      <c r="B3761" s="5" t="str">
        <f>"23085031804"</f>
        <v>23085031804</v>
      </c>
      <c r="C3761" s="6">
        <v>0</v>
      </c>
      <c r="D3761" s="6">
        <v>0</v>
      </c>
      <c r="E3761" s="6">
        <v>0</v>
      </c>
      <c r="F3761" s="11" t="s">
        <v>7</v>
      </c>
    </row>
    <row r="3762" spans="1:6">
      <c r="A3762" s="5" t="str">
        <f t="shared" si="67"/>
        <v>202316</v>
      </c>
      <c r="B3762" s="5" t="str">
        <f>"23085031327"</f>
        <v>23085031327</v>
      </c>
      <c r="C3762" s="6">
        <v>0</v>
      </c>
      <c r="D3762" s="6">
        <v>0</v>
      </c>
      <c r="E3762" s="6">
        <v>0</v>
      </c>
      <c r="F3762" s="11" t="s">
        <v>7</v>
      </c>
    </row>
    <row r="3763" spans="1:6">
      <c r="A3763" s="5" t="str">
        <f t="shared" si="67"/>
        <v>202316</v>
      </c>
      <c r="B3763" s="5" t="str">
        <f>"23085031221"</f>
        <v>23085031221</v>
      </c>
      <c r="C3763" s="6">
        <v>0</v>
      </c>
      <c r="D3763" s="6">
        <v>0</v>
      </c>
      <c r="E3763" s="6">
        <v>0</v>
      </c>
      <c r="F3763" s="11" t="s">
        <v>7</v>
      </c>
    </row>
    <row r="3764" spans="1:6">
      <c r="A3764" s="5" t="str">
        <f t="shared" si="67"/>
        <v>202316</v>
      </c>
      <c r="B3764" s="5" t="str">
        <f>"23085031608"</f>
        <v>23085031608</v>
      </c>
      <c r="C3764" s="6">
        <v>0</v>
      </c>
      <c r="D3764" s="6">
        <v>0</v>
      </c>
      <c r="E3764" s="6">
        <v>0</v>
      </c>
      <c r="F3764" s="11" t="s">
        <v>7</v>
      </c>
    </row>
    <row r="3765" spans="1:6">
      <c r="A3765" s="5" t="str">
        <f t="shared" si="67"/>
        <v>202316</v>
      </c>
      <c r="B3765" s="5" t="str">
        <f>"23085031406"</f>
        <v>23085031406</v>
      </c>
      <c r="C3765" s="6">
        <v>0</v>
      </c>
      <c r="D3765" s="6">
        <v>0</v>
      </c>
      <c r="E3765" s="6">
        <v>0</v>
      </c>
      <c r="F3765" s="11" t="s">
        <v>7</v>
      </c>
    </row>
    <row r="3766" spans="1:6">
      <c r="A3766" s="5" t="str">
        <f t="shared" si="67"/>
        <v>202316</v>
      </c>
      <c r="B3766" s="5" t="str">
        <f>"23085031617"</f>
        <v>23085031617</v>
      </c>
      <c r="C3766" s="6">
        <v>0</v>
      </c>
      <c r="D3766" s="6">
        <v>0</v>
      </c>
      <c r="E3766" s="6">
        <v>0</v>
      </c>
      <c r="F3766" s="11" t="s">
        <v>7</v>
      </c>
    </row>
    <row r="3767" spans="1:6">
      <c r="A3767" s="5" t="str">
        <f t="shared" si="67"/>
        <v>202316</v>
      </c>
      <c r="B3767" s="5" t="str">
        <f>"23085031528"</f>
        <v>23085031528</v>
      </c>
      <c r="C3767" s="6">
        <v>0</v>
      </c>
      <c r="D3767" s="6">
        <v>0</v>
      </c>
      <c r="E3767" s="6">
        <v>0</v>
      </c>
      <c r="F3767" s="11" t="s">
        <v>7</v>
      </c>
    </row>
    <row r="3768" spans="1:6">
      <c r="A3768" s="5" t="str">
        <f t="shared" si="67"/>
        <v>202316</v>
      </c>
      <c r="B3768" s="5" t="str">
        <f>"23085031218"</f>
        <v>23085031218</v>
      </c>
      <c r="C3768" s="6">
        <v>0</v>
      </c>
      <c r="D3768" s="6">
        <v>0</v>
      </c>
      <c r="E3768" s="6">
        <v>0</v>
      </c>
      <c r="F3768" s="11" t="s">
        <v>7</v>
      </c>
    </row>
    <row r="3769" spans="1:6">
      <c r="A3769" s="5" t="str">
        <f t="shared" si="67"/>
        <v>202316</v>
      </c>
      <c r="B3769" s="5" t="str">
        <f>"23085031814"</f>
        <v>23085031814</v>
      </c>
      <c r="C3769" s="6">
        <v>0</v>
      </c>
      <c r="D3769" s="6">
        <v>0</v>
      </c>
      <c r="E3769" s="6">
        <v>0</v>
      </c>
      <c r="F3769" s="11" t="s">
        <v>7</v>
      </c>
    </row>
    <row r="3770" spans="1:6">
      <c r="A3770" s="5" t="str">
        <f t="shared" si="67"/>
        <v>202316</v>
      </c>
      <c r="B3770" s="5" t="str">
        <f>"23085031124"</f>
        <v>23085031124</v>
      </c>
      <c r="C3770" s="6">
        <v>0</v>
      </c>
      <c r="D3770" s="6">
        <v>0</v>
      </c>
      <c r="E3770" s="6">
        <v>0</v>
      </c>
      <c r="F3770" s="11" t="s">
        <v>7</v>
      </c>
    </row>
    <row r="3771" spans="1:6">
      <c r="A3771" s="5" t="str">
        <f t="shared" si="67"/>
        <v>202316</v>
      </c>
      <c r="B3771" s="5" t="str">
        <f>"23085031718"</f>
        <v>23085031718</v>
      </c>
      <c r="C3771" s="6">
        <v>0</v>
      </c>
      <c r="D3771" s="6">
        <v>0</v>
      </c>
      <c r="E3771" s="6">
        <v>0</v>
      </c>
      <c r="F3771" s="11" t="s">
        <v>7</v>
      </c>
    </row>
    <row r="3772" spans="1:6">
      <c r="A3772" s="5" t="str">
        <f t="shared" si="67"/>
        <v>202316</v>
      </c>
      <c r="B3772" s="5" t="str">
        <f>"23085031404"</f>
        <v>23085031404</v>
      </c>
      <c r="C3772" s="6">
        <v>0</v>
      </c>
      <c r="D3772" s="6">
        <v>0</v>
      </c>
      <c r="E3772" s="6">
        <v>0</v>
      </c>
      <c r="F3772" s="11" t="s">
        <v>7</v>
      </c>
    </row>
    <row r="3773" spans="1:6">
      <c r="A3773" s="5" t="str">
        <f t="shared" si="67"/>
        <v>202316</v>
      </c>
      <c r="B3773" s="5" t="str">
        <f>"23085031322"</f>
        <v>23085031322</v>
      </c>
      <c r="C3773" s="6">
        <v>0</v>
      </c>
      <c r="D3773" s="6">
        <v>0</v>
      </c>
      <c r="E3773" s="6">
        <v>0</v>
      </c>
      <c r="F3773" s="11" t="s">
        <v>7</v>
      </c>
    </row>
    <row r="3774" spans="1:6">
      <c r="A3774" s="5" t="str">
        <f t="shared" si="67"/>
        <v>202316</v>
      </c>
      <c r="B3774" s="5" t="str">
        <f>"23085031710"</f>
        <v>23085031710</v>
      </c>
      <c r="C3774" s="6">
        <v>0</v>
      </c>
      <c r="D3774" s="6">
        <v>0</v>
      </c>
      <c r="E3774" s="6">
        <v>0</v>
      </c>
      <c r="F3774" s="11" t="s">
        <v>7</v>
      </c>
    </row>
    <row r="3775" spans="1:6">
      <c r="A3775" s="5" t="str">
        <f t="shared" si="67"/>
        <v>202316</v>
      </c>
      <c r="B3775" s="5" t="str">
        <f>"23085031714"</f>
        <v>23085031714</v>
      </c>
      <c r="C3775" s="6">
        <v>0</v>
      </c>
      <c r="D3775" s="6">
        <v>0</v>
      </c>
      <c r="E3775" s="6">
        <v>0</v>
      </c>
      <c r="F3775" s="11" t="s">
        <v>7</v>
      </c>
    </row>
    <row r="3776" spans="1:6">
      <c r="A3776" s="5" t="str">
        <f t="shared" ref="A3776:A3839" si="68">"202317"</f>
        <v>202317</v>
      </c>
      <c r="B3776" s="5" t="str">
        <f>"23085032011"</f>
        <v>23085032011</v>
      </c>
      <c r="C3776" s="6">
        <v>121.5</v>
      </c>
      <c r="D3776" s="6">
        <v>120</v>
      </c>
      <c r="E3776" s="6">
        <v>241.5</v>
      </c>
      <c r="F3776" s="11"/>
    </row>
    <row r="3777" spans="1:6">
      <c r="A3777" s="5" t="str">
        <f t="shared" si="68"/>
        <v>202317</v>
      </c>
      <c r="B3777" s="5" t="str">
        <f>"23085032926"</f>
        <v>23085032926</v>
      </c>
      <c r="C3777" s="6">
        <v>126</v>
      </c>
      <c r="D3777" s="6">
        <v>115</v>
      </c>
      <c r="E3777" s="6">
        <v>241</v>
      </c>
      <c r="F3777" s="11"/>
    </row>
    <row r="3778" spans="1:6">
      <c r="A3778" s="5" t="str">
        <f t="shared" si="68"/>
        <v>202317</v>
      </c>
      <c r="B3778" s="5" t="str">
        <f>"23085032828"</f>
        <v>23085032828</v>
      </c>
      <c r="C3778" s="6">
        <v>117</v>
      </c>
      <c r="D3778" s="6">
        <v>121.5</v>
      </c>
      <c r="E3778" s="6">
        <v>238.5</v>
      </c>
      <c r="F3778" s="11"/>
    </row>
    <row r="3779" spans="1:6">
      <c r="A3779" s="5" t="str">
        <f t="shared" si="68"/>
        <v>202317</v>
      </c>
      <c r="B3779" s="5" t="str">
        <f>"23085034019"</f>
        <v>23085034019</v>
      </c>
      <c r="C3779" s="6">
        <v>123</v>
      </c>
      <c r="D3779" s="6">
        <v>115</v>
      </c>
      <c r="E3779" s="6">
        <v>238</v>
      </c>
      <c r="F3779" s="11"/>
    </row>
    <row r="3780" spans="1:6">
      <c r="A3780" s="5" t="str">
        <f t="shared" si="68"/>
        <v>202317</v>
      </c>
      <c r="B3780" s="5" t="str">
        <f>"23085032424"</f>
        <v>23085032424</v>
      </c>
      <c r="C3780" s="6">
        <v>123</v>
      </c>
      <c r="D3780" s="6">
        <v>115</v>
      </c>
      <c r="E3780" s="6">
        <v>238</v>
      </c>
      <c r="F3780" s="11"/>
    </row>
    <row r="3781" spans="1:6">
      <c r="A3781" s="5" t="str">
        <f t="shared" si="68"/>
        <v>202317</v>
      </c>
      <c r="B3781" s="5" t="str">
        <f>"23085040222"</f>
        <v>23085040222</v>
      </c>
      <c r="C3781" s="6">
        <v>117</v>
      </c>
      <c r="D3781" s="6">
        <v>121</v>
      </c>
      <c r="E3781" s="6">
        <v>238</v>
      </c>
      <c r="F3781" s="11"/>
    </row>
    <row r="3782" spans="1:6">
      <c r="A3782" s="5" t="str">
        <f t="shared" si="68"/>
        <v>202317</v>
      </c>
      <c r="B3782" s="5" t="str">
        <f>"23085031902"</f>
        <v>23085031902</v>
      </c>
      <c r="C3782" s="6">
        <v>118.5</v>
      </c>
      <c r="D3782" s="6">
        <v>118.5</v>
      </c>
      <c r="E3782" s="6">
        <v>237</v>
      </c>
      <c r="F3782" s="11"/>
    </row>
    <row r="3783" spans="1:6">
      <c r="A3783" s="5" t="str">
        <f t="shared" si="68"/>
        <v>202317</v>
      </c>
      <c r="B3783" s="5" t="str">
        <f>"23085032504"</f>
        <v>23085032504</v>
      </c>
      <c r="C3783" s="6">
        <v>120</v>
      </c>
      <c r="D3783" s="6">
        <v>116.5</v>
      </c>
      <c r="E3783" s="6">
        <v>236.5</v>
      </c>
      <c r="F3783" s="11"/>
    </row>
    <row r="3784" spans="1:6">
      <c r="A3784" s="5" t="str">
        <f t="shared" si="68"/>
        <v>202317</v>
      </c>
      <c r="B3784" s="5" t="str">
        <f>"23085040128"</f>
        <v>23085040128</v>
      </c>
      <c r="C3784" s="6">
        <v>115.5</v>
      </c>
      <c r="D3784" s="6">
        <v>121</v>
      </c>
      <c r="E3784" s="6">
        <v>236.5</v>
      </c>
      <c r="F3784" s="11"/>
    </row>
    <row r="3785" spans="1:6">
      <c r="A3785" s="5" t="str">
        <f t="shared" si="68"/>
        <v>202317</v>
      </c>
      <c r="B3785" s="5" t="str">
        <f>"23085040324"</f>
        <v>23085040324</v>
      </c>
      <c r="C3785" s="6">
        <v>114</v>
      </c>
      <c r="D3785" s="6">
        <v>119.5</v>
      </c>
      <c r="E3785" s="6">
        <v>233.5</v>
      </c>
      <c r="F3785" s="11"/>
    </row>
    <row r="3786" spans="1:6">
      <c r="A3786" s="5" t="str">
        <f t="shared" si="68"/>
        <v>202317</v>
      </c>
      <c r="B3786" s="5" t="str">
        <f>"23085033108"</f>
        <v>23085033108</v>
      </c>
      <c r="C3786" s="6">
        <v>118.5</v>
      </c>
      <c r="D3786" s="6">
        <v>114.5</v>
      </c>
      <c r="E3786" s="6">
        <v>233</v>
      </c>
      <c r="F3786" s="11"/>
    </row>
    <row r="3787" spans="1:6">
      <c r="A3787" s="5" t="str">
        <f t="shared" si="68"/>
        <v>202317</v>
      </c>
      <c r="B3787" s="5" t="str">
        <f>"23085033520"</f>
        <v>23085033520</v>
      </c>
      <c r="C3787" s="6">
        <v>114</v>
      </c>
      <c r="D3787" s="6">
        <v>119</v>
      </c>
      <c r="E3787" s="6">
        <v>233</v>
      </c>
      <c r="F3787" s="11"/>
    </row>
    <row r="3788" spans="1:6">
      <c r="A3788" s="5" t="str">
        <f t="shared" si="68"/>
        <v>202317</v>
      </c>
      <c r="B3788" s="5" t="str">
        <f>"23085033529"</f>
        <v>23085033529</v>
      </c>
      <c r="C3788" s="6">
        <v>109.5</v>
      </c>
      <c r="D3788" s="6">
        <v>123</v>
      </c>
      <c r="E3788" s="6">
        <v>232.5</v>
      </c>
      <c r="F3788" s="11"/>
    </row>
    <row r="3789" spans="1:6">
      <c r="A3789" s="5" t="str">
        <f t="shared" si="68"/>
        <v>202317</v>
      </c>
      <c r="B3789" s="5" t="str">
        <f>"23085033206"</f>
        <v>23085033206</v>
      </c>
      <c r="C3789" s="6">
        <v>118.5</v>
      </c>
      <c r="D3789" s="6">
        <v>113.5</v>
      </c>
      <c r="E3789" s="6">
        <v>232</v>
      </c>
      <c r="F3789" s="11"/>
    </row>
    <row r="3790" spans="1:6">
      <c r="A3790" s="5" t="str">
        <f t="shared" si="68"/>
        <v>202317</v>
      </c>
      <c r="B3790" s="5" t="str">
        <f>"23085033716"</f>
        <v>23085033716</v>
      </c>
      <c r="C3790" s="6">
        <v>114</v>
      </c>
      <c r="D3790" s="6">
        <v>117</v>
      </c>
      <c r="E3790" s="6">
        <v>231</v>
      </c>
      <c r="F3790" s="11"/>
    </row>
    <row r="3791" spans="1:6">
      <c r="A3791" s="5" t="str">
        <f t="shared" si="68"/>
        <v>202317</v>
      </c>
      <c r="B3791" s="5" t="str">
        <f>"23085034005"</f>
        <v>23085034005</v>
      </c>
      <c r="C3791" s="6">
        <v>123</v>
      </c>
      <c r="D3791" s="6">
        <v>107.5</v>
      </c>
      <c r="E3791" s="6">
        <v>230.5</v>
      </c>
      <c r="F3791" s="11"/>
    </row>
    <row r="3792" spans="1:6">
      <c r="A3792" s="5" t="str">
        <f t="shared" si="68"/>
        <v>202317</v>
      </c>
      <c r="B3792" s="5" t="str">
        <f>"23085032514"</f>
        <v>23085032514</v>
      </c>
      <c r="C3792" s="6">
        <v>111</v>
      </c>
      <c r="D3792" s="6">
        <v>119.5</v>
      </c>
      <c r="E3792" s="6">
        <v>230.5</v>
      </c>
      <c r="F3792" s="11"/>
    </row>
    <row r="3793" spans="1:6">
      <c r="A3793" s="5" t="str">
        <f t="shared" si="68"/>
        <v>202317</v>
      </c>
      <c r="B3793" s="5" t="str">
        <f>"23085040503"</f>
        <v>23085040503</v>
      </c>
      <c r="C3793" s="6">
        <v>115.5</v>
      </c>
      <c r="D3793" s="6">
        <v>115</v>
      </c>
      <c r="E3793" s="6">
        <v>230.5</v>
      </c>
      <c r="F3793" s="11"/>
    </row>
    <row r="3794" spans="1:6">
      <c r="A3794" s="5" t="str">
        <f t="shared" si="68"/>
        <v>202317</v>
      </c>
      <c r="B3794" s="5" t="str">
        <f>"23085032802"</f>
        <v>23085032802</v>
      </c>
      <c r="C3794" s="6">
        <v>114</v>
      </c>
      <c r="D3794" s="6">
        <v>116</v>
      </c>
      <c r="E3794" s="6">
        <v>230</v>
      </c>
      <c r="F3794" s="11"/>
    </row>
    <row r="3795" spans="1:6">
      <c r="A3795" s="5" t="str">
        <f t="shared" si="68"/>
        <v>202317</v>
      </c>
      <c r="B3795" s="5" t="str">
        <f>"23085032030"</f>
        <v>23085032030</v>
      </c>
      <c r="C3795" s="6">
        <v>108</v>
      </c>
      <c r="D3795" s="6">
        <v>121.5</v>
      </c>
      <c r="E3795" s="6">
        <v>229.5</v>
      </c>
      <c r="F3795" s="11"/>
    </row>
    <row r="3796" spans="1:6">
      <c r="A3796" s="5" t="str">
        <f t="shared" si="68"/>
        <v>202317</v>
      </c>
      <c r="B3796" s="5" t="str">
        <f>"23085033801"</f>
        <v>23085033801</v>
      </c>
      <c r="C3796" s="6">
        <v>112.5</v>
      </c>
      <c r="D3796" s="6">
        <v>117</v>
      </c>
      <c r="E3796" s="6">
        <v>229.5</v>
      </c>
      <c r="F3796" s="11"/>
    </row>
    <row r="3797" spans="1:6">
      <c r="A3797" s="5" t="str">
        <f t="shared" si="68"/>
        <v>202317</v>
      </c>
      <c r="B3797" s="5" t="str">
        <f>"23085033215"</f>
        <v>23085033215</v>
      </c>
      <c r="C3797" s="6">
        <v>111</v>
      </c>
      <c r="D3797" s="6">
        <v>118</v>
      </c>
      <c r="E3797" s="6">
        <v>229</v>
      </c>
      <c r="F3797" s="11"/>
    </row>
    <row r="3798" spans="1:6">
      <c r="A3798" s="5" t="str">
        <f t="shared" si="68"/>
        <v>202317</v>
      </c>
      <c r="B3798" s="5" t="str">
        <f>"23085032104"</f>
        <v>23085032104</v>
      </c>
      <c r="C3798" s="6">
        <v>111</v>
      </c>
      <c r="D3798" s="6">
        <v>117.5</v>
      </c>
      <c r="E3798" s="6">
        <v>228.5</v>
      </c>
      <c r="F3798" s="11"/>
    </row>
    <row r="3799" spans="1:6">
      <c r="A3799" s="5" t="str">
        <f t="shared" si="68"/>
        <v>202317</v>
      </c>
      <c r="B3799" s="5" t="str">
        <f>"23085032019"</f>
        <v>23085032019</v>
      </c>
      <c r="C3799" s="6">
        <v>106.5</v>
      </c>
      <c r="D3799" s="6">
        <v>122</v>
      </c>
      <c r="E3799" s="6">
        <v>228.5</v>
      </c>
      <c r="F3799" s="11"/>
    </row>
    <row r="3800" spans="1:6">
      <c r="A3800" s="5" t="str">
        <f t="shared" si="68"/>
        <v>202317</v>
      </c>
      <c r="B3800" s="5" t="str">
        <f>"23085032118"</f>
        <v>23085032118</v>
      </c>
      <c r="C3800" s="6">
        <v>115.5</v>
      </c>
      <c r="D3800" s="6">
        <v>113</v>
      </c>
      <c r="E3800" s="6">
        <v>228.5</v>
      </c>
      <c r="F3800" s="11"/>
    </row>
    <row r="3801" spans="1:6">
      <c r="A3801" s="5" t="str">
        <f t="shared" si="68"/>
        <v>202317</v>
      </c>
      <c r="B3801" s="5" t="str">
        <f>"23085032925"</f>
        <v>23085032925</v>
      </c>
      <c r="C3801" s="6">
        <v>111</v>
      </c>
      <c r="D3801" s="6">
        <v>117</v>
      </c>
      <c r="E3801" s="6">
        <v>228</v>
      </c>
      <c r="F3801" s="11"/>
    </row>
    <row r="3802" spans="1:6">
      <c r="A3802" s="5" t="str">
        <f t="shared" si="68"/>
        <v>202317</v>
      </c>
      <c r="B3802" s="5" t="str">
        <f>"23085032122"</f>
        <v>23085032122</v>
      </c>
      <c r="C3802" s="6">
        <v>114</v>
      </c>
      <c r="D3802" s="6">
        <v>114</v>
      </c>
      <c r="E3802" s="6">
        <v>228</v>
      </c>
      <c r="F3802" s="11"/>
    </row>
    <row r="3803" spans="1:6">
      <c r="A3803" s="5" t="str">
        <f t="shared" si="68"/>
        <v>202317</v>
      </c>
      <c r="B3803" s="5" t="str">
        <f>"23085032313"</f>
        <v>23085032313</v>
      </c>
      <c r="C3803" s="6">
        <v>109.5</v>
      </c>
      <c r="D3803" s="6">
        <v>118</v>
      </c>
      <c r="E3803" s="6">
        <v>227.5</v>
      </c>
      <c r="F3803" s="11"/>
    </row>
    <row r="3804" spans="1:6">
      <c r="A3804" s="5" t="str">
        <f t="shared" si="68"/>
        <v>202317</v>
      </c>
      <c r="B3804" s="5" t="str">
        <f>"23085033518"</f>
        <v>23085033518</v>
      </c>
      <c r="C3804" s="6">
        <v>112.5</v>
      </c>
      <c r="D3804" s="6">
        <v>115</v>
      </c>
      <c r="E3804" s="6">
        <v>227.5</v>
      </c>
      <c r="F3804" s="11"/>
    </row>
    <row r="3805" spans="1:6">
      <c r="A3805" s="5" t="str">
        <f t="shared" si="68"/>
        <v>202317</v>
      </c>
      <c r="B3805" s="5" t="str">
        <f>"23085040429"</f>
        <v>23085040429</v>
      </c>
      <c r="C3805" s="6">
        <v>118.5</v>
      </c>
      <c r="D3805" s="6">
        <v>109</v>
      </c>
      <c r="E3805" s="6">
        <v>227.5</v>
      </c>
      <c r="F3805" s="11"/>
    </row>
    <row r="3806" spans="1:6">
      <c r="A3806" s="5" t="str">
        <f t="shared" si="68"/>
        <v>202317</v>
      </c>
      <c r="B3806" s="5" t="str">
        <f>"23085033315"</f>
        <v>23085033315</v>
      </c>
      <c r="C3806" s="6">
        <v>109.5</v>
      </c>
      <c r="D3806" s="6">
        <v>118</v>
      </c>
      <c r="E3806" s="6">
        <v>227.5</v>
      </c>
      <c r="F3806" s="11"/>
    </row>
    <row r="3807" spans="1:6">
      <c r="A3807" s="5" t="str">
        <f t="shared" si="68"/>
        <v>202317</v>
      </c>
      <c r="B3807" s="5" t="str">
        <f>"23085031916"</f>
        <v>23085031916</v>
      </c>
      <c r="C3807" s="6">
        <v>108</v>
      </c>
      <c r="D3807" s="6">
        <v>119.5</v>
      </c>
      <c r="E3807" s="6">
        <v>227.5</v>
      </c>
      <c r="F3807" s="11"/>
    </row>
    <row r="3808" spans="1:6">
      <c r="A3808" s="5" t="str">
        <f t="shared" si="68"/>
        <v>202317</v>
      </c>
      <c r="B3808" s="5" t="str">
        <f>"23085032426"</f>
        <v>23085032426</v>
      </c>
      <c r="C3808" s="6">
        <v>108</v>
      </c>
      <c r="D3808" s="6">
        <v>119</v>
      </c>
      <c r="E3808" s="6">
        <v>227</v>
      </c>
      <c r="F3808" s="11"/>
    </row>
    <row r="3809" spans="1:6">
      <c r="A3809" s="5" t="str">
        <f t="shared" si="68"/>
        <v>202317</v>
      </c>
      <c r="B3809" s="5" t="str">
        <f>"23085040602"</f>
        <v>23085040602</v>
      </c>
      <c r="C3809" s="6">
        <v>106.5</v>
      </c>
      <c r="D3809" s="6">
        <v>120.5</v>
      </c>
      <c r="E3809" s="6">
        <v>227</v>
      </c>
      <c r="F3809" s="11"/>
    </row>
    <row r="3810" spans="1:6">
      <c r="A3810" s="5" t="str">
        <f t="shared" si="68"/>
        <v>202317</v>
      </c>
      <c r="B3810" s="5" t="str">
        <f>"23085032708"</f>
        <v>23085032708</v>
      </c>
      <c r="C3810" s="6">
        <v>112.5</v>
      </c>
      <c r="D3810" s="6">
        <v>114.5</v>
      </c>
      <c r="E3810" s="6">
        <v>227</v>
      </c>
      <c r="F3810" s="11"/>
    </row>
    <row r="3811" spans="1:6">
      <c r="A3811" s="5" t="str">
        <f t="shared" si="68"/>
        <v>202317</v>
      </c>
      <c r="B3811" s="5" t="str">
        <f>"23085033524"</f>
        <v>23085033524</v>
      </c>
      <c r="C3811" s="6">
        <v>111</v>
      </c>
      <c r="D3811" s="6">
        <v>116</v>
      </c>
      <c r="E3811" s="6">
        <v>227</v>
      </c>
      <c r="F3811" s="11"/>
    </row>
    <row r="3812" spans="1:6">
      <c r="A3812" s="5" t="str">
        <f t="shared" si="68"/>
        <v>202317</v>
      </c>
      <c r="B3812" s="5" t="str">
        <f>"23085040325"</f>
        <v>23085040325</v>
      </c>
      <c r="C3812" s="6">
        <v>106.5</v>
      </c>
      <c r="D3812" s="6">
        <v>120</v>
      </c>
      <c r="E3812" s="6">
        <v>226.5</v>
      </c>
      <c r="F3812" s="11"/>
    </row>
    <row r="3813" spans="1:6">
      <c r="A3813" s="5" t="str">
        <f t="shared" si="68"/>
        <v>202317</v>
      </c>
      <c r="B3813" s="5" t="str">
        <f>"23085040322"</f>
        <v>23085040322</v>
      </c>
      <c r="C3813" s="6">
        <v>111</v>
      </c>
      <c r="D3813" s="6">
        <v>115.5</v>
      </c>
      <c r="E3813" s="6">
        <v>226.5</v>
      </c>
      <c r="F3813" s="11"/>
    </row>
    <row r="3814" spans="1:6">
      <c r="A3814" s="5" t="str">
        <f t="shared" si="68"/>
        <v>202317</v>
      </c>
      <c r="B3814" s="5" t="str">
        <f>"23085032718"</f>
        <v>23085032718</v>
      </c>
      <c r="C3814" s="6">
        <v>112.5</v>
      </c>
      <c r="D3814" s="6">
        <v>114</v>
      </c>
      <c r="E3814" s="6">
        <v>226.5</v>
      </c>
      <c r="F3814" s="11"/>
    </row>
    <row r="3815" spans="1:6">
      <c r="A3815" s="5" t="str">
        <f t="shared" si="68"/>
        <v>202317</v>
      </c>
      <c r="B3815" s="5" t="str">
        <f>"23085034020"</f>
        <v>23085034020</v>
      </c>
      <c r="C3815" s="6">
        <v>111</v>
      </c>
      <c r="D3815" s="6">
        <v>115.5</v>
      </c>
      <c r="E3815" s="6">
        <v>226.5</v>
      </c>
      <c r="F3815" s="11"/>
    </row>
    <row r="3816" spans="1:6">
      <c r="A3816" s="5" t="str">
        <f t="shared" si="68"/>
        <v>202317</v>
      </c>
      <c r="B3816" s="5" t="str">
        <f>"23085040422"</f>
        <v>23085040422</v>
      </c>
      <c r="C3816" s="6">
        <v>115.5</v>
      </c>
      <c r="D3816" s="6">
        <v>111</v>
      </c>
      <c r="E3816" s="6">
        <v>226.5</v>
      </c>
      <c r="F3816" s="11"/>
    </row>
    <row r="3817" spans="1:6">
      <c r="A3817" s="5" t="str">
        <f t="shared" si="68"/>
        <v>202317</v>
      </c>
      <c r="B3817" s="5" t="str">
        <f>"23085031923"</f>
        <v>23085031923</v>
      </c>
      <c r="C3817" s="6">
        <v>108</v>
      </c>
      <c r="D3817" s="6">
        <v>118.5</v>
      </c>
      <c r="E3817" s="6">
        <v>226.5</v>
      </c>
      <c r="F3817" s="11"/>
    </row>
    <row r="3818" spans="1:6">
      <c r="A3818" s="5" t="str">
        <f t="shared" si="68"/>
        <v>202317</v>
      </c>
      <c r="B3818" s="5" t="str">
        <f>"23085033721"</f>
        <v>23085033721</v>
      </c>
      <c r="C3818" s="6">
        <v>108</v>
      </c>
      <c r="D3818" s="6">
        <v>118</v>
      </c>
      <c r="E3818" s="6">
        <v>226</v>
      </c>
      <c r="F3818" s="11"/>
    </row>
    <row r="3819" spans="1:6">
      <c r="A3819" s="5" t="str">
        <f t="shared" si="68"/>
        <v>202317</v>
      </c>
      <c r="B3819" s="5" t="str">
        <f>"23085033427"</f>
        <v>23085033427</v>
      </c>
      <c r="C3819" s="6">
        <v>120</v>
      </c>
      <c r="D3819" s="6">
        <v>105.5</v>
      </c>
      <c r="E3819" s="6">
        <v>225.5</v>
      </c>
      <c r="F3819" s="11"/>
    </row>
    <row r="3820" spans="1:6">
      <c r="A3820" s="5" t="str">
        <f t="shared" si="68"/>
        <v>202317</v>
      </c>
      <c r="B3820" s="5" t="str">
        <f>"23085032917"</f>
        <v>23085032917</v>
      </c>
      <c r="C3820" s="6">
        <v>106.5</v>
      </c>
      <c r="D3820" s="6">
        <v>119</v>
      </c>
      <c r="E3820" s="6">
        <v>225.5</v>
      </c>
      <c r="F3820" s="11"/>
    </row>
    <row r="3821" spans="1:6">
      <c r="A3821" s="5" t="str">
        <f t="shared" si="68"/>
        <v>202317</v>
      </c>
      <c r="B3821" s="5" t="str">
        <f>"23085033908"</f>
        <v>23085033908</v>
      </c>
      <c r="C3821" s="6">
        <v>112.5</v>
      </c>
      <c r="D3821" s="6">
        <v>113</v>
      </c>
      <c r="E3821" s="6">
        <v>225.5</v>
      </c>
      <c r="F3821" s="11"/>
    </row>
    <row r="3822" spans="1:6">
      <c r="A3822" s="5" t="str">
        <f t="shared" si="68"/>
        <v>202317</v>
      </c>
      <c r="B3822" s="5" t="str">
        <f>"23085033728"</f>
        <v>23085033728</v>
      </c>
      <c r="C3822" s="6">
        <v>111</v>
      </c>
      <c r="D3822" s="6">
        <v>114.5</v>
      </c>
      <c r="E3822" s="6">
        <v>225.5</v>
      </c>
      <c r="F3822" s="11"/>
    </row>
    <row r="3823" spans="1:6">
      <c r="A3823" s="5" t="str">
        <f t="shared" si="68"/>
        <v>202317</v>
      </c>
      <c r="B3823" s="5" t="str">
        <f>"23085031903"</f>
        <v>23085031903</v>
      </c>
      <c r="C3823" s="6">
        <v>105</v>
      </c>
      <c r="D3823" s="6">
        <v>120.5</v>
      </c>
      <c r="E3823" s="6">
        <v>225.5</v>
      </c>
      <c r="F3823" s="11"/>
    </row>
    <row r="3824" spans="1:6">
      <c r="A3824" s="5" t="str">
        <f t="shared" si="68"/>
        <v>202317</v>
      </c>
      <c r="B3824" s="5" t="str">
        <f>"23085040402"</f>
        <v>23085040402</v>
      </c>
      <c r="C3824" s="6">
        <v>114</v>
      </c>
      <c r="D3824" s="6">
        <v>111.5</v>
      </c>
      <c r="E3824" s="6">
        <v>225.5</v>
      </c>
      <c r="F3824" s="11"/>
    </row>
    <row r="3825" spans="1:6">
      <c r="A3825" s="5" t="str">
        <f t="shared" si="68"/>
        <v>202317</v>
      </c>
      <c r="B3825" s="5" t="str">
        <f>"23085033825"</f>
        <v>23085033825</v>
      </c>
      <c r="C3825" s="6">
        <v>109.5</v>
      </c>
      <c r="D3825" s="6">
        <v>115.5</v>
      </c>
      <c r="E3825" s="6">
        <v>225</v>
      </c>
      <c r="F3825" s="11"/>
    </row>
    <row r="3826" spans="1:6">
      <c r="A3826" s="5" t="str">
        <f t="shared" si="68"/>
        <v>202317</v>
      </c>
      <c r="B3826" s="5" t="str">
        <f>"23085040112"</f>
        <v>23085040112</v>
      </c>
      <c r="C3826" s="6">
        <v>112.5</v>
      </c>
      <c r="D3826" s="6">
        <v>112.5</v>
      </c>
      <c r="E3826" s="6">
        <v>225</v>
      </c>
      <c r="F3826" s="11"/>
    </row>
    <row r="3827" spans="1:6">
      <c r="A3827" s="5" t="str">
        <f t="shared" si="68"/>
        <v>202317</v>
      </c>
      <c r="B3827" s="5" t="str">
        <f>"23085033511"</f>
        <v>23085033511</v>
      </c>
      <c r="C3827" s="6">
        <v>108</v>
      </c>
      <c r="D3827" s="6">
        <v>116.5</v>
      </c>
      <c r="E3827" s="6">
        <v>224.5</v>
      </c>
      <c r="F3827" s="11"/>
    </row>
    <row r="3828" spans="1:6">
      <c r="A3828" s="5" t="str">
        <f t="shared" si="68"/>
        <v>202317</v>
      </c>
      <c r="B3828" s="5" t="str">
        <f>"23085033330"</f>
        <v>23085033330</v>
      </c>
      <c r="C3828" s="6">
        <v>111</v>
      </c>
      <c r="D3828" s="6">
        <v>113.5</v>
      </c>
      <c r="E3828" s="6">
        <v>224.5</v>
      </c>
      <c r="F3828" s="11"/>
    </row>
    <row r="3829" spans="1:6">
      <c r="A3829" s="5" t="str">
        <f t="shared" si="68"/>
        <v>202317</v>
      </c>
      <c r="B3829" s="5" t="str">
        <f>"23085034017"</f>
        <v>23085034017</v>
      </c>
      <c r="C3829" s="6">
        <v>109.5</v>
      </c>
      <c r="D3829" s="6">
        <v>115</v>
      </c>
      <c r="E3829" s="6">
        <v>224.5</v>
      </c>
      <c r="F3829" s="11"/>
    </row>
    <row r="3830" spans="1:6">
      <c r="A3830" s="5" t="str">
        <f t="shared" si="68"/>
        <v>202317</v>
      </c>
      <c r="B3830" s="5" t="str">
        <f>"23085033420"</f>
        <v>23085033420</v>
      </c>
      <c r="C3830" s="6">
        <v>115.5</v>
      </c>
      <c r="D3830" s="6">
        <v>108.5</v>
      </c>
      <c r="E3830" s="6">
        <v>224</v>
      </c>
      <c r="F3830" s="11"/>
    </row>
    <row r="3831" spans="1:6">
      <c r="A3831" s="5" t="str">
        <f t="shared" si="68"/>
        <v>202317</v>
      </c>
      <c r="B3831" s="5" t="str">
        <f>"23085031927"</f>
        <v>23085031927</v>
      </c>
      <c r="C3831" s="6">
        <v>106.5</v>
      </c>
      <c r="D3831" s="6">
        <v>117.5</v>
      </c>
      <c r="E3831" s="6">
        <v>224</v>
      </c>
      <c r="F3831" s="11"/>
    </row>
    <row r="3832" spans="1:6">
      <c r="A3832" s="5" t="str">
        <f t="shared" si="68"/>
        <v>202317</v>
      </c>
      <c r="B3832" s="5" t="str">
        <f>"23085033415"</f>
        <v>23085033415</v>
      </c>
      <c r="C3832" s="6">
        <v>102</v>
      </c>
      <c r="D3832" s="6">
        <v>122</v>
      </c>
      <c r="E3832" s="6">
        <v>224</v>
      </c>
      <c r="F3832" s="11"/>
    </row>
    <row r="3833" spans="1:6">
      <c r="A3833" s="5" t="str">
        <f t="shared" si="68"/>
        <v>202317</v>
      </c>
      <c r="B3833" s="5" t="str">
        <f>"23085033905"</f>
        <v>23085033905</v>
      </c>
      <c r="C3833" s="6">
        <v>106.5</v>
      </c>
      <c r="D3833" s="6">
        <v>117.5</v>
      </c>
      <c r="E3833" s="6">
        <v>224</v>
      </c>
      <c r="F3833" s="11"/>
    </row>
    <row r="3834" spans="1:6">
      <c r="A3834" s="5" t="str">
        <f t="shared" si="68"/>
        <v>202317</v>
      </c>
      <c r="B3834" s="5" t="str">
        <f>"23085040417"</f>
        <v>23085040417</v>
      </c>
      <c r="C3834" s="6">
        <v>108</v>
      </c>
      <c r="D3834" s="6">
        <v>116</v>
      </c>
      <c r="E3834" s="6">
        <v>224</v>
      </c>
      <c r="F3834" s="11"/>
    </row>
    <row r="3835" spans="1:6">
      <c r="A3835" s="5" t="str">
        <f t="shared" si="68"/>
        <v>202317</v>
      </c>
      <c r="B3835" s="5" t="str">
        <f>"23085040329"</f>
        <v>23085040329</v>
      </c>
      <c r="C3835" s="6">
        <v>103.5</v>
      </c>
      <c r="D3835" s="6">
        <v>120.5</v>
      </c>
      <c r="E3835" s="6">
        <v>224</v>
      </c>
      <c r="F3835" s="11"/>
    </row>
    <row r="3836" spans="1:6">
      <c r="A3836" s="5" t="str">
        <f t="shared" si="68"/>
        <v>202317</v>
      </c>
      <c r="B3836" s="5" t="str">
        <f>"23085033726"</f>
        <v>23085033726</v>
      </c>
      <c r="C3836" s="6">
        <v>120</v>
      </c>
      <c r="D3836" s="6">
        <v>103.5</v>
      </c>
      <c r="E3836" s="6">
        <v>223.5</v>
      </c>
      <c r="F3836" s="11"/>
    </row>
    <row r="3837" spans="1:6">
      <c r="A3837" s="5" t="str">
        <f t="shared" si="68"/>
        <v>202317</v>
      </c>
      <c r="B3837" s="5" t="str">
        <f>"23085040308"</f>
        <v>23085040308</v>
      </c>
      <c r="C3837" s="6">
        <v>109.5</v>
      </c>
      <c r="D3837" s="6">
        <v>114</v>
      </c>
      <c r="E3837" s="6">
        <v>223.5</v>
      </c>
      <c r="F3837" s="11"/>
    </row>
    <row r="3838" spans="1:6">
      <c r="A3838" s="5" t="str">
        <f t="shared" si="68"/>
        <v>202317</v>
      </c>
      <c r="B3838" s="5" t="str">
        <f>"23085040404"</f>
        <v>23085040404</v>
      </c>
      <c r="C3838" s="6">
        <v>105</v>
      </c>
      <c r="D3838" s="6">
        <v>118.5</v>
      </c>
      <c r="E3838" s="6">
        <v>223.5</v>
      </c>
      <c r="F3838" s="11"/>
    </row>
    <row r="3839" spans="1:6">
      <c r="A3839" s="5" t="str">
        <f t="shared" si="68"/>
        <v>202317</v>
      </c>
      <c r="B3839" s="5" t="str">
        <f>"23085031918"</f>
        <v>23085031918</v>
      </c>
      <c r="C3839" s="6">
        <v>109.5</v>
      </c>
      <c r="D3839" s="6">
        <v>114</v>
      </c>
      <c r="E3839" s="6">
        <v>223.5</v>
      </c>
      <c r="F3839" s="11"/>
    </row>
    <row r="3840" spans="1:6">
      <c r="A3840" s="5" t="str">
        <f t="shared" ref="A3840:A3903" si="69">"202317"</f>
        <v>202317</v>
      </c>
      <c r="B3840" s="5" t="str">
        <f>"23085033401"</f>
        <v>23085033401</v>
      </c>
      <c r="C3840" s="6">
        <v>105</v>
      </c>
      <c r="D3840" s="6">
        <v>118.5</v>
      </c>
      <c r="E3840" s="6">
        <v>223.5</v>
      </c>
      <c r="F3840" s="11"/>
    </row>
    <row r="3841" spans="1:6">
      <c r="A3841" s="5" t="str">
        <f t="shared" si="69"/>
        <v>202317</v>
      </c>
      <c r="B3841" s="5" t="str">
        <f>"23085033414"</f>
        <v>23085033414</v>
      </c>
      <c r="C3841" s="6">
        <v>109.5</v>
      </c>
      <c r="D3841" s="6">
        <v>114</v>
      </c>
      <c r="E3841" s="6">
        <v>223.5</v>
      </c>
      <c r="F3841" s="11"/>
    </row>
    <row r="3842" spans="1:6">
      <c r="A3842" s="5" t="str">
        <f t="shared" si="69"/>
        <v>202317</v>
      </c>
      <c r="B3842" s="5" t="str">
        <f>"23085033116"</f>
        <v>23085033116</v>
      </c>
      <c r="C3842" s="6">
        <v>106.5</v>
      </c>
      <c r="D3842" s="6">
        <v>117</v>
      </c>
      <c r="E3842" s="6">
        <v>223.5</v>
      </c>
      <c r="F3842" s="11"/>
    </row>
    <row r="3843" spans="1:6">
      <c r="A3843" s="5" t="str">
        <f t="shared" si="69"/>
        <v>202317</v>
      </c>
      <c r="B3843" s="5" t="str">
        <f>"23085032817"</f>
        <v>23085032817</v>
      </c>
      <c r="C3843" s="6">
        <v>106.5</v>
      </c>
      <c r="D3843" s="6">
        <v>116.5</v>
      </c>
      <c r="E3843" s="6">
        <v>223</v>
      </c>
      <c r="F3843" s="11"/>
    </row>
    <row r="3844" spans="1:6">
      <c r="A3844" s="5" t="str">
        <f t="shared" si="69"/>
        <v>202317</v>
      </c>
      <c r="B3844" s="5" t="str">
        <f>"23085033505"</f>
        <v>23085033505</v>
      </c>
      <c r="C3844" s="6">
        <v>109.5</v>
      </c>
      <c r="D3844" s="6">
        <v>113.5</v>
      </c>
      <c r="E3844" s="6">
        <v>223</v>
      </c>
      <c r="F3844" s="11"/>
    </row>
    <row r="3845" spans="1:6">
      <c r="A3845" s="5" t="str">
        <f t="shared" si="69"/>
        <v>202317</v>
      </c>
      <c r="B3845" s="5" t="str">
        <f>"23085033711"</f>
        <v>23085033711</v>
      </c>
      <c r="C3845" s="6">
        <v>109.5</v>
      </c>
      <c r="D3845" s="6">
        <v>113.5</v>
      </c>
      <c r="E3845" s="6">
        <v>223</v>
      </c>
      <c r="F3845" s="11"/>
    </row>
    <row r="3846" spans="1:6">
      <c r="A3846" s="5" t="str">
        <f t="shared" si="69"/>
        <v>202317</v>
      </c>
      <c r="B3846" s="5" t="str">
        <f>"23085040608"</f>
        <v>23085040608</v>
      </c>
      <c r="C3846" s="6">
        <v>111</v>
      </c>
      <c r="D3846" s="6">
        <v>111.5</v>
      </c>
      <c r="E3846" s="6">
        <v>222.5</v>
      </c>
      <c r="F3846" s="11"/>
    </row>
    <row r="3847" spans="1:6">
      <c r="A3847" s="5" t="str">
        <f t="shared" si="69"/>
        <v>202317</v>
      </c>
      <c r="B3847" s="5" t="str">
        <f>"23085033603"</f>
        <v>23085033603</v>
      </c>
      <c r="C3847" s="6">
        <v>106.5</v>
      </c>
      <c r="D3847" s="6">
        <v>116</v>
      </c>
      <c r="E3847" s="6">
        <v>222.5</v>
      </c>
      <c r="F3847" s="11"/>
    </row>
    <row r="3848" spans="1:6">
      <c r="A3848" s="5" t="str">
        <f t="shared" si="69"/>
        <v>202317</v>
      </c>
      <c r="B3848" s="5" t="str">
        <f>"23085033808"</f>
        <v>23085033808</v>
      </c>
      <c r="C3848" s="6">
        <v>103.5</v>
      </c>
      <c r="D3848" s="6">
        <v>119</v>
      </c>
      <c r="E3848" s="6">
        <v>222.5</v>
      </c>
      <c r="F3848" s="11"/>
    </row>
    <row r="3849" spans="1:6">
      <c r="A3849" s="5" t="str">
        <f t="shared" si="69"/>
        <v>202317</v>
      </c>
      <c r="B3849" s="5" t="str">
        <f>"23085032707"</f>
        <v>23085032707</v>
      </c>
      <c r="C3849" s="6">
        <v>120</v>
      </c>
      <c r="D3849" s="6">
        <v>102</v>
      </c>
      <c r="E3849" s="6">
        <v>222</v>
      </c>
      <c r="F3849" s="11"/>
    </row>
    <row r="3850" spans="1:6">
      <c r="A3850" s="5" t="str">
        <f t="shared" si="69"/>
        <v>202317</v>
      </c>
      <c r="B3850" s="5" t="str">
        <f>"23085033618"</f>
        <v>23085033618</v>
      </c>
      <c r="C3850" s="6">
        <v>105</v>
      </c>
      <c r="D3850" s="6">
        <v>117</v>
      </c>
      <c r="E3850" s="6">
        <v>222</v>
      </c>
      <c r="F3850" s="11"/>
    </row>
    <row r="3851" spans="1:6">
      <c r="A3851" s="5" t="str">
        <f t="shared" si="69"/>
        <v>202317</v>
      </c>
      <c r="B3851" s="5" t="str">
        <f>"23085033316"</f>
        <v>23085033316</v>
      </c>
      <c r="C3851" s="6">
        <v>105</v>
      </c>
      <c r="D3851" s="6">
        <v>117</v>
      </c>
      <c r="E3851" s="6">
        <v>222</v>
      </c>
      <c r="F3851" s="11"/>
    </row>
    <row r="3852" spans="1:6">
      <c r="A3852" s="5" t="str">
        <f t="shared" si="69"/>
        <v>202317</v>
      </c>
      <c r="B3852" s="5" t="str">
        <f>"23085040230"</f>
        <v>23085040230</v>
      </c>
      <c r="C3852" s="6">
        <v>105</v>
      </c>
      <c r="D3852" s="6">
        <v>117</v>
      </c>
      <c r="E3852" s="6">
        <v>222</v>
      </c>
      <c r="F3852" s="11"/>
    </row>
    <row r="3853" spans="1:6">
      <c r="A3853" s="5" t="str">
        <f t="shared" si="69"/>
        <v>202317</v>
      </c>
      <c r="B3853" s="5" t="str">
        <f>"23085032821"</f>
        <v>23085032821</v>
      </c>
      <c r="C3853" s="6">
        <v>114</v>
      </c>
      <c r="D3853" s="6">
        <v>108</v>
      </c>
      <c r="E3853" s="6">
        <v>222</v>
      </c>
      <c r="F3853" s="11"/>
    </row>
    <row r="3854" spans="1:6">
      <c r="A3854" s="5" t="str">
        <f t="shared" si="69"/>
        <v>202317</v>
      </c>
      <c r="B3854" s="5" t="str">
        <f>"23085033816"</f>
        <v>23085033816</v>
      </c>
      <c r="C3854" s="6">
        <v>109.5</v>
      </c>
      <c r="D3854" s="6">
        <v>112.5</v>
      </c>
      <c r="E3854" s="6">
        <v>222</v>
      </c>
      <c r="F3854" s="11"/>
    </row>
    <row r="3855" spans="1:6">
      <c r="A3855" s="5" t="str">
        <f t="shared" si="69"/>
        <v>202317</v>
      </c>
      <c r="B3855" s="5" t="str">
        <f>"23085032811"</f>
        <v>23085032811</v>
      </c>
      <c r="C3855" s="6">
        <v>103.5</v>
      </c>
      <c r="D3855" s="6">
        <v>118.5</v>
      </c>
      <c r="E3855" s="6">
        <v>222</v>
      </c>
      <c r="F3855" s="11"/>
    </row>
    <row r="3856" spans="1:6">
      <c r="A3856" s="5" t="str">
        <f t="shared" si="69"/>
        <v>202317</v>
      </c>
      <c r="B3856" s="5" t="str">
        <f>"23085033122"</f>
        <v>23085033122</v>
      </c>
      <c r="C3856" s="6">
        <v>114</v>
      </c>
      <c r="D3856" s="6">
        <v>108</v>
      </c>
      <c r="E3856" s="6">
        <v>222</v>
      </c>
      <c r="F3856" s="11"/>
    </row>
    <row r="3857" spans="1:6">
      <c r="A3857" s="5" t="str">
        <f t="shared" si="69"/>
        <v>202317</v>
      </c>
      <c r="B3857" s="5" t="str">
        <f>"23085033715"</f>
        <v>23085033715</v>
      </c>
      <c r="C3857" s="6">
        <v>103.5</v>
      </c>
      <c r="D3857" s="6">
        <v>118.5</v>
      </c>
      <c r="E3857" s="6">
        <v>222</v>
      </c>
      <c r="F3857" s="11"/>
    </row>
    <row r="3858" spans="1:6">
      <c r="A3858" s="5" t="str">
        <f t="shared" si="69"/>
        <v>202317</v>
      </c>
      <c r="B3858" s="5" t="str">
        <f>"23085032119"</f>
        <v>23085032119</v>
      </c>
      <c r="C3858" s="6">
        <v>103.5</v>
      </c>
      <c r="D3858" s="6">
        <v>118.5</v>
      </c>
      <c r="E3858" s="6">
        <v>222</v>
      </c>
      <c r="F3858" s="11"/>
    </row>
    <row r="3859" spans="1:6">
      <c r="A3859" s="5" t="str">
        <f t="shared" si="69"/>
        <v>202317</v>
      </c>
      <c r="B3859" s="5" t="str">
        <f>"23085032630"</f>
        <v>23085032630</v>
      </c>
      <c r="C3859" s="6">
        <v>100.5</v>
      </c>
      <c r="D3859" s="6">
        <v>121</v>
      </c>
      <c r="E3859" s="6">
        <v>221.5</v>
      </c>
      <c r="F3859" s="11"/>
    </row>
    <row r="3860" spans="1:6">
      <c r="A3860" s="5" t="str">
        <f t="shared" si="69"/>
        <v>202317</v>
      </c>
      <c r="B3860" s="5" t="str">
        <f>"23085033115"</f>
        <v>23085033115</v>
      </c>
      <c r="C3860" s="6">
        <v>115.5</v>
      </c>
      <c r="D3860" s="6">
        <v>106</v>
      </c>
      <c r="E3860" s="6">
        <v>221.5</v>
      </c>
      <c r="F3860" s="11"/>
    </row>
    <row r="3861" spans="1:6">
      <c r="A3861" s="5" t="str">
        <f t="shared" si="69"/>
        <v>202317</v>
      </c>
      <c r="B3861" s="5" t="str">
        <f>"23085032507"</f>
        <v>23085032507</v>
      </c>
      <c r="C3861" s="6">
        <v>109.5</v>
      </c>
      <c r="D3861" s="6">
        <v>112</v>
      </c>
      <c r="E3861" s="6">
        <v>221.5</v>
      </c>
      <c r="F3861" s="11"/>
    </row>
    <row r="3862" spans="1:6">
      <c r="A3862" s="5" t="str">
        <f t="shared" si="69"/>
        <v>202317</v>
      </c>
      <c r="B3862" s="5" t="str">
        <f>"23085033012"</f>
        <v>23085033012</v>
      </c>
      <c r="C3862" s="6">
        <v>109.5</v>
      </c>
      <c r="D3862" s="6">
        <v>112</v>
      </c>
      <c r="E3862" s="6">
        <v>221.5</v>
      </c>
      <c r="F3862" s="11"/>
    </row>
    <row r="3863" spans="1:6">
      <c r="A3863" s="5" t="str">
        <f t="shared" si="69"/>
        <v>202317</v>
      </c>
      <c r="B3863" s="5" t="str">
        <f>"23085032601"</f>
        <v>23085032601</v>
      </c>
      <c r="C3863" s="6">
        <v>109.5</v>
      </c>
      <c r="D3863" s="6">
        <v>112</v>
      </c>
      <c r="E3863" s="6">
        <v>221.5</v>
      </c>
      <c r="F3863" s="11"/>
    </row>
    <row r="3864" spans="1:6">
      <c r="A3864" s="5" t="str">
        <f t="shared" si="69"/>
        <v>202317</v>
      </c>
      <c r="B3864" s="5" t="str">
        <f>"23085033019"</f>
        <v>23085033019</v>
      </c>
      <c r="C3864" s="6">
        <v>106.5</v>
      </c>
      <c r="D3864" s="6">
        <v>115</v>
      </c>
      <c r="E3864" s="6">
        <v>221.5</v>
      </c>
      <c r="F3864" s="11"/>
    </row>
    <row r="3865" spans="1:6">
      <c r="A3865" s="5" t="str">
        <f t="shared" si="69"/>
        <v>202317</v>
      </c>
      <c r="B3865" s="5" t="str">
        <f>"23085033925"</f>
        <v>23085033925</v>
      </c>
      <c r="C3865" s="6">
        <v>109.5</v>
      </c>
      <c r="D3865" s="6">
        <v>111.5</v>
      </c>
      <c r="E3865" s="6">
        <v>221</v>
      </c>
      <c r="F3865" s="11"/>
    </row>
    <row r="3866" spans="1:6">
      <c r="A3866" s="5" t="str">
        <f t="shared" si="69"/>
        <v>202317</v>
      </c>
      <c r="B3866" s="5" t="str">
        <f>"23085032221"</f>
        <v>23085032221</v>
      </c>
      <c r="C3866" s="6">
        <v>108</v>
      </c>
      <c r="D3866" s="6">
        <v>113</v>
      </c>
      <c r="E3866" s="6">
        <v>221</v>
      </c>
      <c r="F3866" s="11"/>
    </row>
    <row r="3867" spans="1:6">
      <c r="A3867" s="5" t="str">
        <f t="shared" si="69"/>
        <v>202317</v>
      </c>
      <c r="B3867" s="5" t="str">
        <f>"23085033928"</f>
        <v>23085033928</v>
      </c>
      <c r="C3867" s="6">
        <v>102</v>
      </c>
      <c r="D3867" s="6">
        <v>119</v>
      </c>
      <c r="E3867" s="6">
        <v>221</v>
      </c>
      <c r="F3867" s="11"/>
    </row>
    <row r="3868" spans="1:6">
      <c r="A3868" s="5" t="str">
        <f t="shared" si="69"/>
        <v>202317</v>
      </c>
      <c r="B3868" s="5" t="str">
        <f>"23085033216"</f>
        <v>23085033216</v>
      </c>
      <c r="C3868" s="6">
        <v>117</v>
      </c>
      <c r="D3868" s="6">
        <v>104</v>
      </c>
      <c r="E3868" s="6">
        <v>221</v>
      </c>
      <c r="F3868" s="11"/>
    </row>
    <row r="3869" spans="1:6">
      <c r="A3869" s="5" t="str">
        <f t="shared" si="69"/>
        <v>202317</v>
      </c>
      <c r="B3869" s="5" t="str">
        <f>"23085032901"</f>
        <v>23085032901</v>
      </c>
      <c r="C3869" s="6">
        <v>105</v>
      </c>
      <c r="D3869" s="6">
        <v>116</v>
      </c>
      <c r="E3869" s="6">
        <v>221</v>
      </c>
      <c r="F3869" s="11"/>
    </row>
    <row r="3870" spans="1:6">
      <c r="A3870" s="5" t="str">
        <f t="shared" si="69"/>
        <v>202317</v>
      </c>
      <c r="B3870" s="5" t="str">
        <f>"23085040211"</f>
        <v>23085040211</v>
      </c>
      <c r="C3870" s="6">
        <v>109.5</v>
      </c>
      <c r="D3870" s="6">
        <v>111.5</v>
      </c>
      <c r="E3870" s="6">
        <v>221</v>
      </c>
      <c r="F3870" s="11"/>
    </row>
    <row r="3871" spans="1:6">
      <c r="A3871" s="5" t="str">
        <f t="shared" si="69"/>
        <v>202317</v>
      </c>
      <c r="B3871" s="5" t="str">
        <f>"23085032028"</f>
        <v>23085032028</v>
      </c>
      <c r="C3871" s="6">
        <v>105</v>
      </c>
      <c r="D3871" s="6">
        <v>116</v>
      </c>
      <c r="E3871" s="6">
        <v>221</v>
      </c>
      <c r="F3871" s="11"/>
    </row>
    <row r="3872" spans="1:6">
      <c r="A3872" s="5" t="str">
        <f t="shared" si="69"/>
        <v>202317</v>
      </c>
      <c r="B3872" s="5" t="str">
        <f>"23085031928"</f>
        <v>23085031928</v>
      </c>
      <c r="C3872" s="6">
        <v>103.5</v>
      </c>
      <c r="D3872" s="6">
        <v>117.5</v>
      </c>
      <c r="E3872" s="6">
        <v>221</v>
      </c>
      <c r="F3872" s="11"/>
    </row>
    <row r="3873" spans="1:6">
      <c r="A3873" s="5" t="str">
        <f t="shared" si="69"/>
        <v>202317</v>
      </c>
      <c r="B3873" s="5" t="str">
        <f>"23085032108"</f>
        <v>23085032108</v>
      </c>
      <c r="C3873" s="6">
        <v>117</v>
      </c>
      <c r="D3873" s="6">
        <v>104</v>
      </c>
      <c r="E3873" s="6">
        <v>221</v>
      </c>
      <c r="F3873" s="11"/>
    </row>
    <row r="3874" spans="1:6">
      <c r="A3874" s="5" t="str">
        <f t="shared" si="69"/>
        <v>202317</v>
      </c>
      <c r="B3874" s="5" t="str">
        <f>"23085040319"</f>
        <v>23085040319</v>
      </c>
      <c r="C3874" s="6">
        <v>105</v>
      </c>
      <c r="D3874" s="6">
        <v>115.5</v>
      </c>
      <c r="E3874" s="6">
        <v>220.5</v>
      </c>
      <c r="F3874" s="11"/>
    </row>
    <row r="3875" spans="1:6">
      <c r="A3875" s="5" t="str">
        <f t="shared" si="69"/>
        <v>202317</v>
      </c>
      <c r="B3875" s="5" t="str">
        <f>"23085033029"</f>
        <v>23085033029</v>
      </c>
      <c r="C3875" s="6">
        <v>102</v>
      </c>
      <c r="D3875" s="6">
        <v>118.5</v>
      </c>
      <c r="E3875" s="6">
        <v>220.5</v>
      </c>
      <c r="F3875" s="11"/>
    </row>
    <row r="3876" spans="1:6">
      <c r="A3876" s="5" t="str">
        <f t="shared" si="69"/>
        <v>202317</v>
      </c>
      <c r="B3876" s="5" t="str">
        <f>"23085033614"</f>
        <v>23085033614</v>
      </c>
      <c r="C3876" s="6">
        <v>102</v>
      </c>
      <c r="D3876" s="6">
        <v>118.5</v>
      </c>
      <c r="E3876" s="6">
        <v>220.5</v>
      </c>
      <c r="F3876" s="11"/>
    </row>
    <row r="3877" spans="1:6">
      <c r="A3877" s="5" t="str">
        <f t="shared" si="69"/>
        <v>202317</v>
      </c>
      <c r="B3877" s="5" t="str">
        <f>"23085040101"</f>
        <v>23085040101</v>
      </c>
      <c r="C3877" s="6">
        <v>108</v>
      </c>
      <c r="D3877" s="6">
        <v>112.5</v>
      </c>
      <c r="E3877" s="6">
        <v>220.5</v>
      </c>
      <c r="F3877" s="11"/>
    </row>
    <row r="3878" spans="1:6">
      <c r="A3878" s="5" t="str">
        <f t="shared" si="69"/>
        <v>202317</v>
      </c>
      <c r="B3878" s="5" t="str">
        <f>"23085033416"</f>
        <v>23085033416</v>
      </c>
      <c r="C3878" s="6">
        <v>106.5</v>
      </c>
      <c r="D3878" s="6">
        <v>113.5</v>
      </c>
      <c r="E3878" s="6">
        <v>220</v>
      </c>
      <c r="F3878" s="11"/>
    </row>
    <row r="3879" spans="1:6">
      <c r="A3879" s="5" t="str">
        <f t="shared" si="69"/>
        <v>202317</v>
      </c>
      <c r="B3879" s="5" t="str">
        <f>"23085033725"</f>
        <v>23085033725</v>
      </c>
      <c r="C3879" s="6">
        <v>96</v>
      </c>
      <c r="D3879" s="6">
        <v>124</v>
      </c>
      <c r="E3879" s="6">
        <v>220</v>
      </c>
      <c r="F3879" s="11"/>
    </row>
    <row r="3880" spans="1:6">
      <c r="A3880" s="5" t="str">
        <f t="shared" si="69"/>
        <v>202317</v>
      </c>
      <c r="B3880" s="5" t="str">
        <f>"23085033118"</f>
        <v>23085033118</v>
      </c>
      <c r="C3880" s="6">
        <v>99</v>
      </c>
      <c r="D3880" s="6">
        <v>121</v>
      </c>
      <c r="E3880" s="6">
        <v>220</v>
      </c>
      <c r="F3880" s="11"/>
    </row>
    <row r="3881" spans="1:6">
      <c r="A3881" s="5" t="str">
        <f t="shared" si="69"/>
        <v>202317</v>
      </c>
      <c r="B3881" s="5" t="str">
        <f>"23085033606"</f>
        <v>23085033606</v>
      </c>
      <c r="C3881" s="6">
        <v>112.5</v>
      </c>
      <c r="D3881" s="6">
        <v>107</v>
      </c>
      <c r="E3881" s="6">
        <v>219.5</v>
      </c>
      <c r="F3881" s="11"/>
    </row>
    <row r="3882" spans="1:6">
      <c r="A3882" s="5" t="str">
        <f t="shared" si="69"/>
        <v>202317</v>
      </c>
      <c r="B3882" s="5" t="str">
        <f>"23085033329"</f>
        <v>23085033329</v>
      </c>
      <c r="C3882" s="6">
        <v>103.5</v>
      </c>
      <c r="D3882" s="6">
        <v>115.5</v>
      </c>
      <c r="E3882" s="6">
        <v>219</v>
      </c>
      <c r="F3882" s="11"/>
    </row>
    <row r="3883" spans="1:6">
      <c r="A3883" s="5" t="str">
        <f t="shared" si="69"/>
        <v>202317</v>
      </c>
      <c r="B3883" s="5" t="str">
        <f>"23085040127"</f>
        <v>23085040127</v>
      </c>
      <c r="C3883" s="6">
        <v>99</v>
      </c>
      <c r="D3883" s="6">
        <v>119.5</v>
      </c>
      <c r="E3883" s="6">
        <v>218.5</v>
      </c>
      <c r="F3883" s="11"/>
    </row>
    <row r="3884" spans="1:6">
      <c r="A3884" s="5" t="str">
        <f t="shared" si="69"/>
        <v>202317</v>
      </c>
      <c r="B3884" s="5" t="str">
        <f>"23085031830"</f>
        <v>23085031830</v>
      </c>
      <c r="C3884" s="6">
        <v>108</v>
      </c>
      <c r="D3884" s="6">
        <v>110.5</v>
      </c>
      <c r="E3884" s="6">
        <v>218.5</v>
      </c>
      <c r="F3884" s="11"/>
    </row>
    <row r="3885" spans="1:6">
      <c r="A3885" s="5" t="str">
        <f t="shared" si="69"/>
        <v>202317</v>
      </c>
      <c r="B3885" s="5" t="str">
        <f>"23085033028"</f>
        <v>23085033028</v>
      </c>
      <c r="C3885" s="6">
        <v>105</v>
      </c>
      <c r="D3885" s="6">
        <v>113.5</v>
      </c>
      <c r="E3885" s="6">
        <v>218.5</v>
      </c>
      <c r="F3885" s="11"/>
    </row>
    <row r="3886" spans="1:6">
      <c r="A3886" s="5" t="str">
        <f t="shared" si="69"/>
        <v>202317</v>
      </c>
      <c r="B3886" s="5" t="str">
        <f>"23085034024"</f>
        <v>23085034024</v>
      </c>
      <c r="C3886" s="6">
        <v>102</v>
      </c>
      <c r="D3886" s="6">
        <v>116.5</v>
      </c>
      <c r="E3886" s="6">
        <v>218.5</v>
      </c>
      <c r="F3886" s="11"/>
    </row>
    <row r="3887" spans="1:6">
      <c r="A3887" s="5" t="str">
        <f t="shared" si="69"/>
        <v>202317</v>
      </c>
      <c r="B3887" s="5" t="str">
        <f>"23085033026"</f>
        <v>23085033026</v>
      </c>
      <c r="C3887" s="6">
        <v>102</v>
      </c>
      <c r="D3887" s="6">
        <v>116.5</v>
      </c>
      <c r="E3887" s="6">
        <v>218.5</v>
      </c>
      <c r="F3887" s="11"/>
    </row>
    <row r="3888" spans="1:6">
      <c r="A3888" s="5" t="str">
        <f t="shared" si="69"/>
        <v>202317</v>
      </c>
      <c r="B3888" s="5" t="str">
        <f>"23085033617"</f>
        <v>23085033617</v>
      </c>
      <c r="C3888" s="6">
        <v>100.5</v>
      </c>
      <c r="D3888" s="6">
        <v>118</v>
      </c>
      <c r="E3888" s="6">
        <v>218.5</v>
      </c>
      <c r="F3888" s="11"/>
    </row>
    <row r="3889" spans="1:6">
      <c r="A3889" s="5" t="str">
        <f t="shared" si="69"/>
        <v>202317</v>
      </c>
      <c r="B3889" s="5" t="str">
        <f>"23085040207"</f>
        <v>23085040207</v>
      </c>
      <c r="C3889" s="6">
        <v>100.5</v>
      </c>
      <c r="D3889" s="6">
        <v>118</v>
      </c>
      <c r="E3889" s="6">
        <v>218.5</v>
      </c>
      <c r="F3889" s="11"/>
    </row>
    <row r="3890" spans="1:6">
      <c r="A3890" s="5" t="str">
        <f t="shared" si="69"/>
        <v>202317</v>
      </c>
      <c r="B3890" s="5" t="str">
        <f>"23085033307"</f>
        <v>23085033307</v>
      </c>
      <c r="C3890" s="6">
        <v>108</v>
      </c>
      <c r="D3890" s="6">
        <v>110</v>
      </c>
      <c r="E3890" s="6">
        <v>218</v>
      </c>
      <c r="F3890" s="11"/>
    </row>
    <row r="3891" spans="1:6">
      <c r="A3891" s="5" t="str">
        <f t="shared" si="69"/>
        <v>202317</v>
      </c>
      <c r="B3891" s="5" t="str">
        <f>"23085032612"</f>
        <v>23085032612</v>
      </c>
      <c r="C3891" s="6">
        <v>100.5</v>
      </c>
      <c r="D3891" s="6">
        <v>117.5</v>
      </c>
      <c r="E3891" s="6">
        <v>218</v>
      </c>
      <c r="F3891" s="11"/>
    </row>
    <row r="3892" spans="1:6">
      <c r="A3892" s="5" t="str">
        <f t="shared" si="69"/>
        <v>202317</v>
      </c>
      <c r="B3892" s="5" t="str">
        <f>"23085040610"</f>
        <v>23085040610</v>
      </c>
      <c r="C3892" s="6">
        <v>105</v>
      </c>
      <c r="D3892" s="6">
        <v>113</v>
      </c>
      <c r="E3892" s="6">
        <v>218</v>
      </c>
      <c r="F3892" s="11"/>
    </row>
    <row r="3893" spans="1:6">
      <c r="A3893" s="5" t="str">
        <f t="shared" si="69"/>
        <v>202317</v>
      </c>
      <c r="B3893" s="5" t="str">
        <f>"23085032420"</f>
        <v>23085032420</v>
      </c>
      <c r="C3893" s="6">
        <v>108</v>
      </c>
      <c r="D3893" s="6">
        <v>110</v>
      </c>
      <c r="E3893" s="6">
        <v>218</v>
      </c>
      <c r="F3893" s="11"/>
    </row>
    <row r="3894" spans="1:6">
      <c r="A3894" s="5" t="str">
        <f t="shared" si="69"/>
        <v>202317</v>
      </c>
      <c r="B3894" s="5" t="str">
        <f>"23085032212"</f>
        <v>23085032212</v>
      </c>
      <c r="C3894" s="6">
        <v>103.5</v>
      </c>
      <c r="D3894" s="6">
        <v>114.5</v>
      </c>
      <c r="E3894" s="6">
        <v>218</v>
      </c>
      <c r="F3894" s="11"/>
    </row>
    <row r="3895" spans="1:6">
      <c r="A3895" s="5" t="str">
        <f t="shared" si="69"/>
        <v>202317</v>
      </c>
      <c r="B3895" s="5" t="str">
        <f>"23085033920"</f>
        <v>23085033920</v>
      </c>
      <c r="C3895" s="6">
        <v>108</v>
      </c>
      <c r="D3895" s="6">
        <v>110</v>
      </c>
      <c r="E3895" s="6">
        <v>218</v>
      </c>
      <c r="F3895" s="11"/>
    </row>
    <row r="3896" spans="1:6">
      <c r="A3896" s="5" t="str">
        <f t="shared" si="69"/>
        <v>202317</v>
      </c>
      <c r="B3896" s="5" t="str">
        <f>"23085033527"</f>
        <v>23085033527</v>
      </c>
      <c r="C3896" s="6">
        <v>103.5</v>
      </c>
      <c r="D3896" s="6">
        <v>114</v>
      </c>
      <c r="E3896" s="6">
        <v>217.5</v>
      </c>
      <c r="F3896" s="11"/>
    </row>
    <row r="3897" spans="1:6">
      <c r="A3897" s="5" t="str">
        <f t="shared" si="69"/>
        <v>202317</v>
      </c>
      <c r="B3897" s="5" t="str">
        <f>"23085032430"</f>
        <v>23085032430</v>
      </c>
      <c r="C3897" s="6">
        <v>102</v>
      </c>
      <c r="D3897" s="6">
        <v>115.5</v>
      </c>
      <c r="E3897" s="6">
        <v>217.5</v>
      </c>
      <c r="F3897" s="11"/>
    </row>
    <row r="3898" spans="1:6">
      <c r="A3898" s="5" t="str">
        <f t="shared" si="69"/>
        <v>202317</v>
      </c>
      <c r="B3898" s="5" t="str">
        <f>"23085032429"</f>
        <v>23085032429</v>
      </c>
      <c r="C3898" s="6">
        <v>103.5</v>
      </c>
      <c r="D3898" s="6">
        <v>114</v>
      </c>
      <c r="E3898" s="6">
        <v>217.5</v>
      </c>
      <c r="F3898" s="11"/>
    </row>
    <row r="3899" spans="1:6">
      <c r="A3899" s="5" t="str">
        <f t="shared" si="69"/>
        <v>202317</v>
      </c>
      <c r="B3899" s="5" t="str">
        <f>"23085033712"</f>
        <v>23085033712</v>
      </c>
      <c r="C3899" s="6">
        <v>102</v>
      </c>
      <c r="D3899" s="6">
        <v>115.5</v>
      </c>
      <c r="E3899" s="6">
        <v>217.5</v>
      </c>
      <c r="F3899" s="11"/>
    </row>
    <row r="3900" spans="1:6">
      <c r="A3900" s="5" t="str">
        <f t="shared" si="69"/>
        <v>202317</v>
      </c>
      <c r="B3900" s="5" t="str">
        <f>"23085033306"</f>
        <v>23085033306</v>
      </c>
      <c r="C3900" s="6">
        <v>109.5</v>
      </c>
      <c r="D3900" s="6">
        <v>107.5</v>
      </c>
      <c r="E3900" s="6">
        <v>217</v>
      </c>
      <c r="F3900" s="11"/>
    </row>
    <row r="3901" spans="1:6">
      <c r="A3901" s="5" t="str">
        <f t="shared" si="69"/>
        <v>202317</v>
      </c>
      <c r="B3901" s="5" t="str">
        <f>"23085033922"</f>
        <v>23085033922</v>
      </c>
      <c r="C3901" s="6">
        <v>109.5</v>
      </c>
      <c r="D3901" s="6">
        <v>107.5</v>
      </c>
      <c r="E3901" s="6">
        <v>217</v>
      </c>
      <c r="F3901" s="11"/>
    </row>
    <row r="3902" spans="1:6">
      <c r="A3902" s="5" t="str">
        <f t="shared" si="69"/>
        <v>202317</v>
      </c>
      <c r="B3902" s="5" t="str">
        <f>"23085033616"</f>
        <v>23085033616</v>
      </c>
      <c r="C3902" s="6">
        <v>97.5</v>
      </c>
      <c r="D3902" s="6">
        <v>119.5</v>
      </c>
      <c r="E3902" s="6">
        <v>217</v>
      </c>
      <c r="F3902" s="11"/>
    </row>
    <row r="3903" spans="1:6">
      <c r="A3903" s="5" t="str">
        <f t="shared" si="69"/>
        <v>202317</v>
      </c>
      <c r="B3903" s="5" t="str">
        <f>"23085032128"</f>
        <v>23085032128</v>
      </c>
      <c r="C3903" s="6">
        <v>105</v>
      </c>
      <c r="D3903" s="6">
        <v>112</v>
      </c>
      <c r="E3903" s="6">
        <v>217</v>
      </c>
      <c r="F3903" s="11"/>
    </row>
    <row r="3904" spans="1:6">
      <c r="A3904" s="5" t="str">
        <f t="shared" ref="A3904:A3967" si="70">"202317"</f>
        <v>202317</v>
      </c>
      <c r="B3904" s="5" t="str">
        <f>"23085031829"</f>
        <v>23085031829</v>
      </c>
      <c r="C3904" s="6">
        <v>105</v>
      </c>
      <c r="D3904" s="6">
        <v>112</v>
      </c>
      <c r="E3904" s="6">
        <v>217</v>
      </c>
      <c r="F3904" s="11"/>
    </row>
    <row r="3905" spans="1:6">
      <c r="A3905" s="5" t="str">
        <f t="shared" si="70"/>
        <v>202317</v>
      </c>
      <c r="B3905" s="5" t="str">
        <f>"23085040303"</f>
        <v>23085040303</v>
      </c>
      <c r="C3905" s="6">
        <v>105</v>
      </c>
      <c r="D3905" s="6">
        <v>112</v>
      </c>
      <c r="E3905" s="6">
        <v>217</v>
      </c>
      <c r="F3905" s="11"/>
    </row>
    <row r="3906" spans="1:6">
      <c r="A3906" s="5" t="str">
        <f t="shared" si="70"/>
        <v>202317</v>
      </c>
      <c r="B3906" s="5" t="str">
        <f>"23085032503"</f>
        <v>23085032503</v>
      </c>
      <c r="C3906" s="6">
        <v>108</v>
      </c>
      <c r="D3906" s="6">
        <v>109</v>
      </c>
      <c r="E3906" s="6">
        <v>217</v>
      </c>
      <c r="F3906" s="11"/>
    </row>
    <row r="3907" spans="1:6">
      <c r="A3907" s="5" t="str">
        <f t="shared" si="70"/>
        <v>202317</v>
      </c>
      <c r="B3907" s="5" t="str">
        <f>"23085033424"</f>
        <v>23085033424</v>
      </c>
      <c r="C3907" s="6">
        <v>96</v>
      </c>
      <c r="D3907" s="6">
        <v>121</v>
      </c>
      <c r="E3907" s="6">
        <v>217</v>
      </c>
      <c r="F3907" s="11"/>
    </row>
    <row r="3908" spans="1:6">
      <c r="A3908" s="5" t="str">
        <f t="shared" si="70"/>
        <v>202317</v>
      </c>
      <c r="B3908" s="5" t="str">
        <f>"23085032625"</f>
        <v>23085032625</v>
      </c>
      <c r="C3908" s="6">
        <v>100.5</v>
      </c>
      <c r="D3908" s="6">
        <v>116.5</v>
      </c>
      <c r="E3908" s="6">
        <v>217</v>
      </c>
      <c r="F3908" s="11"/>
    </row>
    <row r="3909" spans="1:6">
      <c r="A3909" s="5" t="str">
        <f t="shared" si="70"/>
        <v>202317</v>
      </c>
      <c r="B3909" s="5" t="str">
        <f>"23085040505"</f>
        <v>23085040505</v>
      </c>
      <c r="C3909" s="6">
        <v>105</v>
      </c>
      <c r="D3909" s="6">
        <v>111.5</v>
      </c>
      <c r="E3909" s="6">
        <v>216.5</v>
      </c>
      <c r="F3909" s="11"/>
    </row>
    <row r="3910" spans="1:6">
      <c r="A3910" s="5" t="str">
        <f t="shared" si="70"/>
        <v>202317</v>
      </c>
      <c r="B3910" s="5" t="str">
        <f>"23085032325"</f>
        <v>23085032325</v>
      </c>
      <c r="C3910" s="6">
        <v>100.5</v>
      </c>
      <c r="D3910" s="6">
        <v>116</v>
      </c>
      <c r="E3910" s="6">
        <v>216.5</v>
      </c>
      <c r="F3910" s="11"/>
    </row>
    <row r="3911" spans="1:6">
      <c r="A3911" s="5" t="str">
        <f t="shared" si="70"/>
        <v>202317</v>
      </c>
      <c r="B3911" s="5" t="str">
        <f>"23085032818"</f>
        <v>23085032818</v>
      </c>
      <c r="C3911" s="6">
        <v>97.5</v>
      </c>
      <c r="D3911" s="6">
        <v>119</v>
      </c>
      <c r="E3911" s="6">
        <v>216.5</v>
      </c>
      <c r="F3911" s="11"/>
    </row>
    <row r="3912" spans="1:6">
      <c r="A3912" s="5" t="str">
        <f t="shared" si="70"/>
        <v>202317</v>
      </c>
      <c r="B3912" s="5" t="str">
        <f>"23085032016"</f>
        <v>23085032016</v>
      </c>
      <c r="C3912" s="6">
        <v>105</v>
      </c>
      <c r="D3912" s="6">
        <v>111.5</v>
      </c>
      <c r="E3912" s="6">
        <v>216.5</v>
      </c>
      <c r="F3912" s="11"/>
    </row>
    <row r="3913" spans="1:6">
      <c r="A3913" s="5" t="str">
        <f t="shared" si="70"/>
        <v>202317</v>
      </c>
      <c r="B3913" s="5" t="str">
        <f>"23085034016"</f>
        <v>23085034016</v>
      </c>
      <c r="C3913" s="6">
        <v>109.5</v>
      </c>
      <c r="D3913" s="6">
        <v>107</v>
      </c>
      <c r="E3913" s="6">
        <v>216.5</v>
      </c>
      <c r="F3913" s="11"/>
    </row>
    <row r="3914" spans="1:6">
      <c r="A3914" s="5" t="str">
        <f t="shared" si="70"/>
        <v>202317</v>
      </c>
      <c r="B3914" s="5" t="str">
        <f>"23085033829"</f>
        <v>23085033829</v>
      </c>
      <c r="C3914" s="6">
        <v>97.5</v>
      </c>
      <c r="D3914" s="6">
        <v>119</v>
      </c>
      <c r="E3914" s="6">
        <v>216.5</v>
      </c>
      <c r="F3914" s="11"/>
    </row>
    <row r="3915" spans="1:6">
      <c r="A3915" s="5" t="str">
        <f t="shared" si="70"/>
        <v>202317</v>
      </c>
      <c r="B3915" s="5" t="str">
        <f>"23085032228"</f>
        <v>23085032228</v>
      </c>
      <c r="C3915" s="6">
        <v>97.5</v>
      </c>
      <c r="D3915" s="6">
        <v>119</v>
      </c>
      <c r="E3915" s="6">
        <v>216.5</v>
      </c>
      <c r="F3915" s="11"/>
    </row>
    <row r="3916" spans="1:6">
      <c r="A3916" s="5" t="str">
        <f t="shared" si="70"/>
        <v>202317</v>
      </c>
      <c r="B3916" s="5" t="str">
        <f>"23085040501"</f>
        <v>23085040501</v>
      </c>
      <c r="C3916" s="6">
        <v>108</v>
      </c>
      <c r="D3916" s="6">
        <v>108.5</v>
      </c>
      <c r="E3916" s="6">
        <v>216.5</v>
      </c>
      <c r="F3916" s="11"/>
    </row>
    <row r="3917" spans="1:6">
      <c r="A3917" s="5" t="str">
        <f t="shared" si="70"/>
        <v>202317</v>
      </c>
      <c r="B3917" s="5" t="str">
        <f>"23085031921"</f>
        <v>23085031921</v>
      </c>
      <c r="C3917" s="6">
        <v>106.5</v>
      </c>
      <c r="D3917" s="6">
        <v>109.5</v>
      </c>
      <c r="E3917" s="6">
        <v>216</v>
      </c>
      <c r="F3917" s="11"/>
    </row>
    <row r="3918" spans="1:6">
      <c r="A3918" s="5" t="str">
        <f t="shared" si="70"/>
        <v>202317</v>
      </c>
      <c r="B3918" s="5" t="str">
        <f>"23085033007"</f>
        <v>23085033007</v>
      </c>
      <c r="C3918" s="6">
        <v>109.5</v>
      </c>
      <c r="D3918" s="6">
        <v>106.5</v>
      </c>
      <c r="E3918" s="6">
        <v>216</v>
      </c>
      <c r="F3918" s="11"/>
    </row>
    <row r="3919" spans="1:6">
      <c r="A3919" s="5" t="str">
        <f t="shared" si="70"/>
        <v>202317</v>
      </c>
      <c r="B3919" s="5" t="str">
        <f>"23085032809"</f>
        <v>23085032809</v>
      </c>
      <c r="C3919" s="6">
        <v>111</v>
      </c>
      <c r="D3919" s="6">
        <v>105</v>
      </c>
      <c r="E3919" s="6">
        <v>216</v>
      </c>
      <c r="F3919" s="11"/>
    </row>
    <row r="3920" spans="1:6">
      <c r="A3920" s="5" t="str">
        <f t="shared" si="70"/>
        <v>202317</v>
      </c>
      <c r="B3920" s="5" t="str">
        <f>"23085040103"</f>
        <v>23085040103</v>
      </c>
      <c r="C3920" s="6">
        <v>96</v>
      </c>
      <c r="D3920" s="6">
        <v>120</v>
      </c>
      <c r="E3920" s="6">
        <v>216</v>
      </c>
      <c r="F3920" s="11"/>
    </row>
    <row r="3921" spans="1:6">
      <c r="A3921" s="5" t="str">
        <f t="shared" si="70"/>
        <v>202317</v>
      </c>
      <c r="B3921" s="5" t="str">
        <f>"23085032519"</f>
        <v>23085032519</v>
      </c>
      <c r="C3921" s="6">
        <v>94.5</v>
      </c>
      <c r="D3921" s="6">
        <v>121.5</v>
      </c>
      <c r="E3921" s="6">
        <v>216</v>
      </c>
      <c r="F3921" s="11"/>
    </row>
    <row r="3922" spans="1:6">
      <c r="A3922" s="5" t="str">
        <f t="shared" si="70"/>
        <v>202317</v>
      </c>
      <c r="B3922" s="5" t="str">
        <f>"23085032023"</f>
        <v>23085032023</v>
      </c>
      <c r="C3922" s="6">
        <v>100.5</v>
      </c>
      <c r="D3922" s="6">
        <v>115.5</v>
      </c>
      <c r="E3922" s="6">
        <v>216</v>
      </c>
      <c r="F3922" s="11"/>
    </row>
    <row r="3923" spans="1:6">
      <c r="A3923" s="5" t="str">
        <f t="shared" si="70"/>
        <v>202317</v>
      </c>
      <c r="B3923" s="5" t="str">
        <f>"23085040111"</f>
        <v>23085040111</v>
      </c>
      <c r="C3923" s="6">
        <v>100.5</v>
      </c>
      <c r="D3923" s="6">
        <v>115</v>
      </c>
      <c r="E3923" s="6">
        <v>215.5</v>
      </c>
      <c r="F3923" s="11"/>
    </row>
    <row r="3924" spans="1:6">
      <c r="A3924" s="5" t="str">
        <f t="shared" si="70"/>
        <v>202317</v>
      </c>
      <c r="B3924" s="5" t="str">
        <f>"23085032526"</f>
        <v>23085032526</v>
      </c>
      <c r="C3924" s="6">
        <v>109.5</v>
      </c>
      <c r="D3924" s="6">
        <v>106</v>
      </c>
      <c r="E3924" s="6">
        <v>215.5</v>
      </c>
      <c r="F3924" s="11"/>
    </row>
    <row r="3925" spans="1:6">
      <c r="A3925" s="5" t="str">
        <f t="shared" si="70"/>
        <v>202317</v>
      </c>
      <c r="B3925" s="5" t="str">
        <f>"23085033301"</f>
        <v>23085033301</v>
      </c>
      <c r="C3925" s="6">
        <v>105</v>
      </c>
      <c r="D3925" s="6">
        <v>110.5</v>
      </c>
      <c r="E3925" s="6">
        <v>215.5</v>
      </c>
      <c r="F3925" s="11"/>
    </row>
    <row r="3926" spans="1:6">
      <c r="A3926" s="5" t="str">
        <f t="shared" si="70"/>
        <v>202317</v>
      </c>
      <c r="B3926" s="5" t="str">
        <f>"23085033708"</f>
        <v>23085033708</v>
      </c>
      <c r="C3926" s="6">
        <v>100.5</v>
      </c>
      <c r="D3926" s="6">
        <v>115</v>
      </c>
      <c r="E3926" s="6">
        <v>215.5</v>
      </c>
      <c r="F3926" s="11"/>
    </row>
    <row r="3927" spans="1:6">
      <c r="A3927" s="5" t="str">
        <f t="shared" si="70"/>
        <v>202317</v>
      </c>
      <c r="B3927" s="5" t="str">
        <f>"23085033314"</f>
        <v>23085033314</v>
      </c>
      <c r="C3927" s="6">
        <v>99</v>
      </c>
      <c r="D3927" s="6">
        <v>116.5</v>
      </c>
      <c r="E3927" s="6">
        <v>215.5</v>
      </c>
      <c r="F3927" s="11"/>
    </row>
    <row r="3928" spans="1:6">
      <c r="A3928" s="5" t="str">
        <f t="shared" si="70"/>
        <v>202317</v>
      </c>
      <c r="B3928" s="5" t="str">
        <f>"23085040118"</f>
        <v>23085040118</v>
      </c>
      <c r="C3928" s="6">
        <v>103.5</v>
      </c>
      <c r="D3928" s="6">
        <v>112</v>
      </c>
      <c r="E3928" s="6">
        <v>215.5</v>
      </c>
      <c r="F3928" s="11"/>
    </row>
    <row r="3929" spans="1:6">
      <c r="A3929" s="5" t="str">
        <f t="shared" si="70"/>
        <v>202317</v>
      </c>
      <c r="B3929" s="5" t="str">
        <f>"23085032401"</f>
        <v>23085032401</v>
      </c>
      <c r="C3929" s="6">
        <v>100.5</v>
      </c>
      <c r="D3929" s="6">
        <v>115</v>
      </c>
      <c r="E3929" s="6">
        <v>215.5</v>
      </c>
      <c r="F3929" s="11"/>
    </row>
    <row r="3930" spans="1:6">
      <c r="A3930" s="5" t="str">
        <f t="shared" si="70"/>
        <v>202317</v>
      </c>
      <c r="B3930" s="5" t="str">
        <f>"23085032709"</f>
        <v>23085032709</v>
      </c>
      <c r="C3930" s="6">
        <v>102</v>
      </c>
      <c r="D3930" s="6">
        <v>113</v>
      </c>
      <c r="E3930" s="6">
        <v>215</v>
      </c>
      <c r="F3930" s="11"/>
    </row>
    <row r="3931" spans="1:6">
      <c r="A3931" s="5" t="str">
        <f t="shared" si="70"/>
        <v>202317</v>
      </c>
      <c r="B3931" s="5" t="str">
        <f>"23085033512"</f>
        <v>23085033512</v>
      </c>
      <c r="C3931" s="6">
        <v>102</v>
      </c>
      <c r="D3931" s="6">
        <v>113</v>
      </c>
      <c r="E3931" s="6">
        <v>215</v>
      </c>
      <c r="F3931" s="11"/>
    </row>
    <row r="3932" spans="1:6">
      <c r="A3932" s="5" t="str">
        <f t="shared" si="70"/>
        <v>202317</v>
      </c>
      <c r="B3932" s="5" t="str">
        <f>"23085032516"</f>
        <v>23085032516</v>
      </c>
      <c r="C3932" s="6">
        <v>105</v>
      </c>
      <c r="D3932" s="6">
        <v>110</v>
      </c>
      <c r="E3932" s="6">
        <v>215</v>
      </c>
      <c r="F3932" s="11"/>
    </row>
    <row r="3933" spans="1:6">
      <c r="A3933" s="5" t="str">
        <f t="shared" si="70"/>
        <v>202317</v>
      </c>
      <c r="B3933" s="5" t="str">
        <f>"23085032609"</f>
        <v>23085032609</v>
      </c>
      <c r="C3933" s="6">
        <v>103.5</v>
      </c>
      <c r="D3933" s="6">
        <v>111.5</v>
      </c>
      <c r="E3933" s="6">
        <v>215</v>
      </c>
      <c r="F3933" s="11"/>
    </row>
    <row r="3934" spans="1:6">
      <c r="A3934" s="5" t="str">
        <f t="shared" si="70"/>
        <v>202317</v>
      </c>
      <c r="B3934" s="5" t="str">
        <f>"23085034025"</f>
        <v>23085034025</v>
      </c>
      <c r="C3934" s="6">
        <v>99</v>
      </c>
      <c r="D3934" s="6">
        <v>116</v>
      </c>
      <c r="E3934" s="6">
        <v>215</v>
      </c>
      <c r="F3934" s="11"/>
    </row>
    <row r="3935" spans="1:6">
      <c r="A3935" s="5" t="str">
        <f t="shared" si="70"/>
        <v>202317</v>
      </c>
      <c r="B3935" s="5" t="str">
        <f>"23085040314"</f>
        <v>23085040314</v>
      </c>
      <c r="C3935" s="6">
        <v>102</v>
      </c>
      <c r="D3935" s="6">
        <v>113</v>
      </c>
      <c r="E3935" s="6">
        <v>215</v>
      </c>
      <c r="F3935" s="11"/>
    </row>
    <row r="3936" spans="1:6">
      <c r="A3936" s="5" t="str">
        <f t="shared" si="70"/>
        <v>202317</v>
      </c>
      <c r="B3936" s="5" t="str">
        <f>"23085032126"</f>
        <v>23085032126</v>
      </c>
      <c r="C3936" s="6">
        <v>106.5</v>
      </c>
      <c r="D3936" s="6">
        <v>108</v>
      </c>
      <c r="E3936" s="6">
        <v>214.5</v>
      </c>
      <c r="F3936" s="11"/>
    </row>
    <row r="3937" spans="1:6">
      <c r="A3937" s="5" t="str">
        <f t="shared" si="70"/>
        <v>202317</v>
      </c>
      <c r="B3937" s="5" t="str">
        <f>"23085040115"</f>
        <v>23085040115</v>
      </c>
      <c r="C3937" s="6">
        <v>108</v>
      </c>
      <c r="D3937" s="6">
        <v>106.5</v>
      </c>
      <c r="E3937" s="6">
        <v>214.5</v>
      </c>
      <c r="F3937" s="11"/>
    </row>
    <row r="3938" spans="1:6">
      <c r="A3938" s="5" t="str">
        <f t="shared" si="70"/>
        <v>202317</v>
      </c>
      <c r="B3938" s="5" t="str">
        <f>"23085040504"</f>
        <v>23085040504</v>
      </c>
      <c r="C3938" s="6">
        <v>97.5</v>
      </c>
      <c r="D3938" s="6">
        <v>117</v>
      </c>
      <c r="E3938" s="6">
        <v>214.5</v>
      </c>
      <c r="F3938" s="11"/>
    </row>
    <row r="3939" spans="1:6">
      <c r="A3939" s="5" t="str">
        <f t="shared" si="70"/>
        <v>202317</v>
      </c>
      <c r="B3939" s="5" t="str">
        <f>"23085040229"</f>
        <v>23085040229</v>
      </c>
      <c r="C3939" s="6">
        <v>96</v>
      </c>
      <c r="D3939" s="6">
        <v>118.5</v>
      </c>
      <c r="E3939" s="6">
        <v>214.5</v>
      </c>
      <c r="F3939" s="11"/>
    </row>
    <row r="3940" spans="1:6">
      <c r="A3940" s="5" t="str">
        <f t="shared" si="70"/>
        <v>202317</v>
      </c>
      <c r="B3940" s="5" t="str">
        <f>"23085032214"</f>
        <v>23085032214</v>
      </c>
      <c r="C3940" s="6">
        <v>105</v>
      </c>
      <c r="D3940" s="6">
        <v>109.5</v>
      </c>
      <c r="E3940" s="6">
        <v>214.5</v>
      </c>
      <c r="F3940" s="11"/>
    </row>
    <row r="3941" spans="1:6">
      <c r="A3941" s="5" t="str">
        <f t="shared" si="70"/>
        <v>202317</v>
      </c>
      <c r="B3941" s="5" t="str">
        <f>"23085040514"</f>
        <v>23085040514</v>
      </c>
      <c r="C3941" s="6">
        <v>96</v>
      </c>
      <c r="D3941" s="6">
        <v>118.5</v>
      </c>
      <c r="E3941" s="6">
        <v>214.5</v>
      </c>
      <c r="F3941" s="11"/>
    </row>
    <row r="3942" spans="1:6">
      <c r="A3942" s="5" t="str">
        <f t="shared" si="70"/>
        <v>202317</v>
      </c>
      <c r="B3942" s="5" t="str">
        <f>"23085033913"</f>
        <v>23085033913</v>
      </c>
      <c r="C3942" s="6">
        <v>97.5</v>
      </c>
      <c r="D3942" s="6">
        <v>116.5</v>
      </c>
      <c r="E3942" s="6">
        <v>214</v>
      </c>
      <c r="F3942" s="11"/>
    </row>
    <row r="3943" spans="1:6">
      <c r="A3943" s="5" t="str">
        <f t="shared" si="70"/>
        <v>202317</v>
      </c>
      <c r="B3943" s="5" t="str">
        <f>"23085033311"</f>
        <v>23085033311</v>
      </c>
      <c r="C3943" s="6">
        <v>94.5</v>
      </c>
      <c r="D3943" s="6">
        <v>119.5</v>
      </c>
      <c r="E3943" s="6">
        <v>214</v>
      </c>
      <c r="F3943" s="11"/>
    </row>
    <row r="3944" spans="1:6">
      <c r="A3944" s="5" t="str">
        <f t="shared" si="70"/>
        <v>202317</v>
      </c>
      <c r="B3944" s="5" t="str">
        <f>"23085031922"</f>
        <v>23085031922</v>
      </c>
      <c r="C3944" s="6">
        <v>93</v>
      </c>
      <c r="D3944" s="6">
        <v>121</v>
      </c>
      <c r="E3944" s="6">
        <v>214</v>
      </c>
      <c r="F3944" s="11"/>
    </row>
    <row r="3945" spans="1:6">
      <c r="A3945" s="5" t="str">
        <f t="shared" si="70"/>
        <v>202317</v>
      </c>
      <c r="B3945" s="5" t="str">
        <f>"23085032304"</f>
        <v>23085032304</v>
      </c>
      <c r="C3945" s="6">
        <v>99</v>
      </c>
      <c r="D3945" s="6">
        <v>115</v>
      </c>
      <c r="E3945" s="6">
        <v>214</v>
      </c>
      <c r="F3945" s="11"/>
    </row>
    <row r="3946" spans="1:6">
      <c r="A3946" s="5" t="str">
        <f t="shared" si="70"/>
        <v>202317</v>
      </c>
      <c r="B3946" s="5" t="str">
        <f>"23085032606"</f>
        <v>23085032606</v>
      </c>
      <c r="C3946" s="6">
        <v>97.5</v>
      </c>
      <c r="D3946" s="6">
        <v>116.5</v>
      </c>
      <c r="E3946" s="6">
        <v>214</v>
      </c>
      <c r="F3946" s="11"/>
    </row>
    <row r="3947" spans="1:6">
      <c r="A3947" s="5" t="str">
        <f t="shared" si="70"/>
        <v>202317</v>
      </c>
      <c r="B3947" s="5" t="str">
        <f>"23085040213"</f>
        <v>23085040213</v>
      </c>
      <c r="C3947" s="6">
        <v>94.5</v>
      </c>
      <c r="D3947" s="6">
        <v>119</v>
      </c>
      <c r="E3947" s="6">
        <v>213.5</v>
      </c>
      <c r="F3947" s="11"/>
    </row>
    <row r="3948" spans="1:6">
      <c r="A3948" s="5" t="str">
        <f t="shared" si="70"/>
        <v>202317</v>
      </c>
      <c r="B3948" s="5" t="str">
        <f>"23085033508"</f>
        <v>23085033508</v>
      </c>
      <c r="C3948" s="6">
        <v>103.5</v>
      </c>
      <c r="D3948" s="6">
        <v>110</v>
      </c>
      <c r="E3948" s="6">
        <v>213.5</v>
      </c>
      <c r="F3948" s="11"/>
    </row>
    <row r="3949" spans="1:6">
      <c r="A3949" s="5" t="str">
        <f t="shared" si="70"/>
        <v>202317</v>
      </c>
      <c r="B3949" s="5" t="str">
        <f>"23085033004"</f>
        <v>23085033004</v>
      </c>
      <c r="C3949" s="6">
        <v>100.5</v>
      </c>
      <c r="D3949" s="6">
        <v>113</v>
      </c>
      <c r="E3949" s="6">
        <v>213.5</v>
      </c>
      <c r="F3949" s="11"/>
    </row>
    <row r="3950" spans="1:6">
      <c r="A3950" s="5" t="str">
        <f t="shared" si="70"/>
        <v>202317</v>
      </c>
      <c r="B3950" s="5" t="str">
        <f>"23085032624"</f>
        <v>23085032624</v>
      </c>
      <c r="C3950" s="6">
        <v>99</v>
      </c>
      <c r="D3950" s="6">
        <v>114.5</v>
      </c>
      <c r="E3950" s="6">
        <v>213.5</v>
      </c>
      <c r="F3950" s="11"/>
    </row>
    <row r="3951" spans="1:6">
      <c r="A3951" s="5" t="str">
        <f t="shared" si="70"/>
        <v>202317</v>
      </c>
      <c r="B3951" s="5" t="str">
        <f>"23085033906"</f>
        <v>23085033906</v>
      </c>
      <c r="C3951" s="6">
        <v>99</v>
      </c>
      <c r="D3951" s="6">
        <v>114.5</v>
      </c>
      <c r="E3951" s="6">
        <v>213.5</v>
      </c>
      <c r="F3951" s="11"/>
    </row>
    <row r="3952" spans="1:6">
      <c r="A3952" s="5" t="str">
        <f t="shared" si="70"/>
        <v>202317</v>
      </c>
      <c r="B3952" s="5" t="str">
        <f>"23085032722"</f>
        <v>23085032722</v>
      </c>
      <c r="C3952" s="6">
        <v>109.5</v>
      </c>
      <c r="D3952" s="6">
        <v>104</v>
      </c>
      <c r="E3952" s="6">
        <v>213.5</v>
      </c>
      <c r="F3952" s="11"/>
    </row>
    <row r="3953" spans="1:6">
      <c r="A3953" s="5" t="str">
        <f t="shared" si="70"/>
        <v>202317</v>
      </c>
      <c r="B3953" s="5" t="str">
        <f>"23085032628"</f>
        <v>23085032628</v>
      </c>
      <c r="C3953" s="6">
        <v>97.5</v>
      </c>
      <c r="D3953" s="6">
        <v>116</v>
      </c>
      <c r="E3953" s="6">
        <v>213.5</v>
      </c>
      <c r="F3953" s="11"/>
    </row>
    <row r="3954" spans="1:6">
      <c r="A3954" s="5" t="str">
        <f t="shared" si="70"/>
        <v>202317</v>
      </c>
      <c r="B3954" s="5" t="str">
        <f>"23085032026"</f>
        <v>23085032026</v>
      </c>
      <c r="C3954" s="6">
        <v>96</v>
      </c>
      <c r="D3954" s="6">
        <v>117</v>
      </c>
      <c r="E3954" s="6">
        <v>213</v>
      </c>
      <c r="F3954" s="11"/>
    </row>
    <row r="3955" spans="1:6">
      <c r="A3955" s="5" t="str">
        <f t="shared" si="70"/>
        <v>202317</v>
      </c>
      <c r="B3955" s="5" t="str">
        <f>"23085032105"</f>
        <v>23085032105</v>
      </c>
      <c r="C3955" s="6">
        <v>99</v>
      </c>
      <c r="D3955" s="6">
        <v>114</v>
      </c>
      <c r="E3955" s="6">
        <v>213</v>
      </c>
      <c r="F3955" s="11"/>
    </row>
    <row r="3956" spans="1:6">
      <c r="A3956" s="5" t="str">
        <f t="shared" si="70"/>
        <v>202317</v>
      </c>
      <c r="B3956" s="5" t="str">
        <f>"23085034030"</f>
        <v>23085034030</v>
      </c>
      <c r="C3956" s="6">
        <v>102</v>
      </c>
      <c r="D3956" s="6">
        <v>111</v>
      </c>
      <c r="E3956" s="6">
        <v>213</v>
      </c>
      <c r="F3956" s="11"/>
    </row>
    <row r="3957" spans="1:6">
      <c r="A3957" s="5" t="str">
        <f t="shared" si="70"/>
        <v>202317</v>
      </c>
      <c r="B3957" s="5" t="str">
        <f>"23085033125"</f>
        <v>23085033125</v>
      </c>
      <c r="C3957" s="6">
        <v>100.5</v>
      </c>
      <c r="D3957" s="6">
        <v>112.5</v>
      </c>
      <c r="E3957" s="6">
        <v>213</v>
      </c>
      <c r="F3957" s="11"/>
    </row>
    <row r="3958" spans="1:6">
      <c r="A3958" s="5" t="str">
        <f t="shared" si="70"/>
        <v>202317</v>
      </c>
      <c r="B3958" s="5" t="str">
        <f>"23085033621"</f>
        <v>23085033621</v>
      </c>
      <c r="C3958" s="6">
        <v>100.5</v>
      </c>
      <c r="D3958" s="6">
        <v>112.5</v>
      </c>
      <c r="E3958" s="6">
        <v>213</v>
      </c>
      <c r="F3958" s="11"/>
    </row>
    <row r="3959" spans="1:6">
      <c r="A3959" s="5" t="str">
        <f t="shared" si="70"/>
        <v>202317</v>
      </c>
      <c r="B3959" s="5" t="str">
        <f>"23085032909"</f>
        <v>23085032909</v>
      </c>
      <c r="C3959" s="6">
        <v>97.5</v>
      </c>
      <c r="D3959" s="6">
        <v>115.5</v>
      </c>
      <c r="E3959" s="6">
        <v>213</v>
      </c>
      <c r="F3959" s="11"/>
    </row>
    <row r="3960" spans="1:6">
      <c r="A3960" s="5" t="str">
        <f t="shared" si="70"/>
        <v>202317</v>
      </c>
      <c r="B3960" s="5" t="str">
        <f>"23085040424"</f>
        <v>23085040424</v>
      </c>
      <c r="C3960" s="6">
        <v>93</v>
      </c>
      <c r="D3960" s="6">
        <v>120</v>
      </c>
      <c r="E3960" s="6">
        <v>213</v>
      </c>
      <c r="F3960" s="11"/>
    </row>
    <row r="3961" spans="1:6">
      <c r="A3961" s="5" t="str">
        <f t="shared" si="70"/>
        <v>202317</v>
      </c>
      <c r="B3961" s="5" t="str">
        <f>"23085032913"</f>
        <v>23085032913</v>
      </c>
      <c r="C3961" s="6">
        <v>96</v>
      </c>
      <c r="D3961" s="6">
        <v>117</v>
      </c>
      <c r="E3961" s="6">
        <v>213</v>
      </c>
      <c r="F3961" s="11"/>
    </row>
    <row r="3962" spans="1:6">
      <c r="A3962" s="5" t="str">
        <f t="shared" si="70"/>
        <v>202317</v>
      </c>
      <c r="B3962" s="5" t="str">
        <f>"23085032318"</f>
        <v>23085032318</v>
      </c>
      <c r="C3962" s="6">
        <v>99</v>
      </c>
      <c r="D3962" s="6">
        <v>114</v>
      </c>
      <c r="E3962" s="6">
        <v>213</v>
      </c>
      <c r="F3962" s="11"/>
    </row>
    <row r="3963" spans="1:6">
      <c r="A3963" s="5" t="str">
        <f t="shared" si="70"/>
        <v>202317</v>
      </c>
      <c r="B3963" s="5" t="str">
        <f>"23085032315"</f>
        <v>23085032315</v>
      </c>
      <c r="C3963" s="6">
        <v>97.5</v>
      </c>
      <c r="D3963" s="6">
        <v>115.5</v>
      </c>
      <c r="E3963" s="6">
        <v>213</v>
      </c>
      <c r="F3963" s="11"/>
    </row>
    <row r="3964" spans="1:6">
      <c r="A3964" s="5" t="str">
        <f t="shared" si="70"/>
        <v>202317</v>
      </c>
      <c r="B3964" s="5" t="str">
        <f>"23085032824"</f>
        <v>23085032824</v>
      </c>
      <c r="C3964" s="6">
        <v>99</v>
      </c>
      <c r="D3964" s="6">
        <v>113.5</v>
      </c>
      <c r="E3964" s="6">
        <v>212.5</v>
      </c>
      <c r="F3964" s="11"/>
    </row>
    <row r="3965" spans="1:6">
      <c r="A3965" s="5" t="str">
        <f t="shared" si="70"/>
        <v>202317</v>
      </c>
      <c r="B3965" s="5" t="str">
        <f>"23085033812"</f>
        <v>23085033812</v>
      </c>
      <c r="C3965" s="6">
        <v>97.5</v>
      </c>
      <c r="D3965" s="6">
        <v>115</v>
      </c>
      <c r="E3965" s="6">
        <v>212.5</v>
      </c>
      <c r="F3965" s="11"/>
    </row>
    <row r="3966" spans="1:6">
      <c r="A3966" s="5" t="str">
        <f t="shared" si="70"/>
        <v>202317</v>
      </c>
      <c r="B3966" s="5" t="str">
        <f>"23085032414"</f>
        <v>23085032414</v>
      </c>
      <c r="C3966" s="6">
        <v>96</v>
      </c>
      <c r="D3966" s="6">
        <v>116.5</v>
      </c>
      <c r="E3966" s="6">
        <v>212.5</v>
      </c>
      <c r="F3966" s="11"/>
    </row>
    <row r="3967" spans="1:6">
      <c r="A3967" s="5" t="str">
        <f t="shared" si="70"/>
        <v>202317</v>
      </c>
      <c r="B3967" s="5" t="str">
        <f>"23085032623"</f>
        <v>23085032623</v>
      </c>
      <c r="C3967" s="6">
        <v>97.5</v>
      </c>
      <c r="D3967" s="6">
        <v>114.5</v>
      </c>
      <c r="E3967" s="6">
        <v>212</v>
      </c>
      <c r="F3967" s="11"/>
    </row>
    <row r="3968" spans="1:6">
      <c r="A3968" s="5" t="str">
        <f t="shared" ref="A3968:A4031" si="71">"202317"</f>
        <v>202317</v>
      </c>
      <c r="B3968" s="5" t="str">
        <f>"23085032002"</f>
        <v>23085032002</v>
      </c>
      <c r="C3968" s="6">
        <v>93</v>
      </c>
      <c r="D3968" s="6">
        <v>119</v>
      </c>
      <c r="E3968" s="6">
        <v>212</v>
      </c>
      <c r="F3968" s="11"/>
    </row>
    <row r="3969" spans="1:6">
      <c r="A3969" s="5" t="str">
        <f t="shared" si="71"/>
        <v>202317</v>
      </c>
      <c r="B3969" s="5" t="str">
        <f>"23085033308"</f>
        <v>23085033308</v>
      </c>
      <c r="C3969" s="6">
        <v>106.5</v>
      </c>
      <c r="D3969" s="6">
        <v>105.5</v>
      </c>
      <c r="E3969" s="6">
        <v>212</v>
      </c>
      <c r="F3969" s="11"/>
    </row>
    <row r="3970" spans="1:6">
      <c r="A3970" s="5" t="str">
        <f t="shared" si="71"/>
        <v>202317</v>
      </c>
      <c r="B3970" s="5" t="str">
        <f>"23085033010"</f>
        <v>23085033010</v>
      </c>
      <c r="C3970" s="6">
        <v>90</v>
      </c>
      <c r="D3970" s="6">
        <v>122</v>
      </c>
      <c r="E3970" s="6">
        <v>212</v>
      </c>
      <c r="F3970" s="11"/>
    </row>
    <row r="3971" spans="1:6">
      <c r="A3971" s="5" t="str">
        <f t="shared" si="71"/>
        <v>202317</v>
      </c>
      <c r="B3971" s="5" t="str">
        <f>"23085033124"</f>
        <v>23085033124</v>
      </c>
      <c r="C3971" s="6">
        <v>102</v>
      </c>
      <c r="D3971" s="6">
        <v>109.5</v>
      </c>
      <c r="E3971" s="6">
        <v>211.5</v>
      </c>
      <c r="F3971" s="11"/>
    </row>
    <row r="3972" spans="1:6">
      <c r="A3972" s="5" t="str">
        <f t="shared" si="71"/>
        <v>202317</v>
      </c>
      <c r="B3972" s="5" t="str">
        <f>"23085032827"</f>
        <v>23085032827</v>
      </c>
      <c r="C3972" s="6">
        <v>97.5</v>
      </c>
      <c r="D3972" s="6">
        <v>114</v>
      </c>
      <c r="E3972" s="6">
        <v>211.5</v>
      </c>
      <c r="F3972" s="11"/>
    </row>
    <row r="3973" spans="1:6">
      <c r="A3973" s="5" t="str">
        <f t="shared" si="71"/>
        <v>202317</v>
      </c>
      <c r="B3973" s="5" t="str">
        <f>"23085031924"</f>
        <v>23085031924</v>
      </c>
      <c r="C3973" s="6">
        <v>96</v>
      </c>
      <c r="D3973" s="6">
        <v>115.5</v>
      </c>
      <c r="E3973" s="6">
        <v>211.5</v>
      </c>
      <c r="F3973" s="11"/>
    </row>
    <row r="3974" spans="1:6">
      <c r="A3974" s="5" t="str">
        <f t="shared" si="71"/>
        <v>202317</v>
      </c>
      <c r="B3974" s="5" t="str">
        <f>"23085032410"</f>
        <v>23085032410</v>
      </c>
      <c r="C3974" s="6">
        <v>88.5</v>
      </c>
      <c r="D3974" s="6">
        <v>123</v>
      </c>
      <c r="E3974" s="6">
        <v>211.5</v>
      </c>
      <c r="F3974" s="11"/>
    </row>
    <row r="3975" spans="1:6">
      <c r="A3975" s="5" t="str">
        <f t="shared" si="71"/>
        <v>202317</v>
      </c>
      <c r="B3975" s="5" t="str">
        <f>"23085033724"</f>
        <v>23085033724</v>
      </c>
      <c r="C3975" s="6">
        <v>99</v>
      </c>
      <c r="D3975" s="6">
        <v>112.5</v>
      </c>
      <c r="E3975" s="6">
        <v>211.5</v>
      </c>
      <c r="F3975" s="11"/>
    </row>
    <row r="3976" spans="1:6">
      <c r="A3976" s="5" t="str">
        <f t="shared" si="71"/>
        <v>202317</v>
      </c>
      <c r="B3976" s="5" t="str">
        <f>"23085033126"</f>
        <v>23085033126</v>
      </c>
      <c r="C3976" s="6">
        <v>99</v>
      </c>
      <c r="D3976" s="6">
        <v>112.5</v>
      </c>
      <c r="E3976" s="6">
        <v>211.5</v>
      </c>
      <c r="F3976" s="11"/>
    </row>
    <row r="3977" spans="1:6">
      <c r="A3977" s="5" t="str">
        <f t="shared" si="71"/>
        <v>202317</v>
      </c>
      <c r="B3977" s="5" t="str">
        <f>"23085034021"</f>
        <v>23085034021</v>
      </c>
      <c r="C3977" s="6">
        <v>90</v>
      </c>
      <c r="D3977" s="6">
        <v>121.5</v>
      </c>
      <c r="E3977" s="6">
        <v>211.5</v>
      </c>
      <c r="F3977" s="11"/>
    </row>
    <row r="3978" spans="1:6">
      <c r="A3978" s="5" t="str">
        <f t="shared" si="71"/>
        <v>202317</v>
      </c>
      <c r="B3978" s="5" t="str">
        <f>"23085032010"</f>
        <v>23085032010</v>
      </c>
      <c r="C3978" s="6">
        <v>103.5</v>
      </c>
      <c r="D3978" s="6">
        <v>108</v>
      </c>
      <c r="E3978" s="6">
        <v>211.5</v>
      </c>
      <c r="F3978" s="11"/>
    </row>
    <row r="3979" spans="1:6">
      <c r="A3979" s="5" t="str">
        <f t="shared" si="71"/>
        <v>202317</v>
      </c>
      <c r="B3979" s="5" t="str">
        <f>"23085032512"</f>
        <v>23085032512</v>
      </c>
      <c r="C3979" s="6">
        <v>97.5</v>
      </c>
      <c r="D3979" s="6">
        <v>114</v>
      </c>
      <c r="E3979" s="6">
        <v>211.5</v>
      </c>
      <c r="F3979" s="11"/>
    </row>
    <row r="3980" spans="1:6">
      <c r="A3980" s="5" t="str">
        <f t="shared" si="71"/>
        <v>202317</v>
      </c>
      <c r="B3980" s="5" t="str">
        <f>"23085040317"</f>
        <v>23085040317</v>
      </c>
      <c r="C3980" s="6">
        <v>100.5</v>
      </c>
      <c r="D3980" s="6">
        <v>110.5</v>
      </c>
      <c r="E3980" s="6">
        <v>211</v>
      </c>
      <c r="F3980" s="11"/>
    </row>
    <row r="3981" spans="1:6">
      <c r="A3981" s="5" t="str">
        <f t="shared" si="71"/>
        <v>202317</v>
      </c>
      <c r="B3981" s="5" t="str">
        <f>"23085032403"</f>
        <v>23085032403</v>
      </c>
      <c r="C3981" s="6">
        <v>99</v>
      </c>
      <c r="D3981" s="6">
        <v>112</v>
      </c>
      <c r="E3981" s="6">
        <v>211</v>
      </c>
      <c r="F3981" s="11"/>
    </row>
    <row r="3982" spans="1:6">
      <c r="A3982" s="5" t="str">
        <f t="shared" si="71"/>
        <v>202317</v>
      </c>
      <c r="B3982" s="5" t="str">
        <f>"23085032116"</f>
        <v>23085032116</v>
      </c>
      <c r="C3982" s="6">
        <v>96</v>
      </c>
      <c r="D3982" s="6">
        <v>115</v>
      </c>
      <c r="E3982" s="6">
        <v>211</v>
      </c>
      <c r="F3982" s="11"/>
    </row>
    <row r="3983" spans="1:6">
      <c r="A3983" s="5" t="str">
        <f t="shared" si="71"/>
        <v>202317</v>
      </c>
      <c r="B3983" s="5" t="str">
        <f>"23085033818"</f>
        <v>23085033818</v>
      </c>
      <c r="C3983" s="6">
        <v>102</v>
      </c>
      <c r="D3983" s="6">
        <v>109</v>
      </c>
      <c r="E3983" s="6">
        <v>211</v>
      </c>
      <c r="F3983" s="11"/>
    </row>
    <row r="3984" spans="1:6">
      <c r="A3984" s="5" t="str">
        <f t="shared" si="71"/>
        <v>202317</v>
      </c>
      <c r="B3984" s="5" t="str">
        <f>"23085032111"</f>
        <v>23085032111</v>
      </c>
      <c r="C3984" s="6">
        <v>106.5</v>
      </c>
      <c r="D3984" s="6">
        <v>104.5</v>
      </c>
      <c r="E3984" s="6">
        <v>211</v>
      </c>
      <c r="F3984" s="11"/>
    </row>
    <row r="3985" spans="1:6">
      <c r="A3985" s="5" t="str">
        <f t="shared" si="71"/>
        <v>202317</v>
      </c>
      <c r="B3985" s="5" t="str">
        <f>"23085033018"</f>
        <v>23085033018</v>
      </c>
      <c r="C3985" s="6">
        <v>97.5</v>
      </c>
      <c r="D3985" s="6">
        <v>113</v>
      </c>
      <c r="E3985" s="6">
        <v>210.5</v>
      </c>
      <c r="F3985" s="11"/>
    </row>
    <row r="3986" spans="1:6">
      <c r="A3986" s="5" t="str">
        <f t="shared" si="71"/>
        <v>202317</v>
      </c>
      <c r="B3986" s="5" t="str">
        <f>"23085033317"</f>
        <v>23085033317</v>
      </c>
      <c r="C3986" s="6">
        <v>93</v>
      </c>
      <c r="D3986" s="6">
        <v>117.5</v>
      </c>
      <c r="E3986" s="6">
        <v>210.5</v>
      </c>
      <c r="F3986" s="11"/>
    </row>
    <row r="3987" spans="1:6">
      <c r="A3987" s="5" t="str">
        <f t="shared" si="71"/>
        <v>202317</v>
      </c>
      <c r="B3987" s="5" t="str">
        <f>"23085033607"</f>
        <v>23085033607</v>
      </c>
      <c r="C3987" s="6">
        <v>100.5</v>
      </c>
      <c r="D3987" s="6">
        <v>110</v>
      </c>
      <c r="E3987" s="6">
        <v>210.5</v>
      </c>
      <c r="F3987" s="11"/>
    </row>
    <row r="3988" spans="1:6">
      <c r="A3988" s="5" t="str">
        <f t="shared" si="71"/>
        <v>202317</v>
      </c>
      <c r="B3988" s="5" t="str">
        <f>"23085033619"</f>
        <v>23085033619</v>
      </c>
      <c r="C3988" s="6">
        <v>97.5</v>
      </c>
      <c r="D3988" s="6">
        <v>113</v>
      </c>
      <c r="E3988" s="6">
        <v>210.5</v>
      </c>
      <c r="F3988" s="11"/>
    </row>
    <row r="3989" spans="1:6">
      <c r="A3989" s="5" t="str">
        <f t="shared" si="71"/>
        <v>202317</v>
      </c>
      <c r="B3989" s="5" t="str">
        <f>"23085032710"</f>
        <v>23085032710</v>
      </c>
      <c r="C3989" s="6">
        <v>94.5</v>
      </c>
      <c r="D3989" s="6">
        <v>116</v>
      </c>
      <c r="E3989" s="6">
        <v>210.5</v>
      </c>
      <c r="F3989" s="11"/>
    </row>
    <row r="3990" spans="1:6">
      <c r="A3990" s="5" t="str">
        <f t="shared" si="71"/>
        <v>202317</v>
      </c>
      <c r="B3990" s="5" t="str">
        <f>"23085033410"</f>
        <v>23085033410</v>
      </c>
      <c r="C3990" s="6">
        <v>102</v>
      </c>
      <c r="D3990" s="6">
        <v>108.5</v>
      </c>
      <c r="E3990" s="6">
        <v>210.5</v>
      </c>
      <c r="F3990" s="11"/>
    </row>
    <row r="3991" spans="1:6">
      <c r="A3991" s="5" t="str">
        <f t="shared" si="71"/>
        <v>202317</v>
      </c>
      <c r="B3991" s="5" t="str">
        <f>"23085032712"</f>
        <v>23085032712</v>
      </c>
      <c r="C3991" s="6">
        <v>97.5</v>
      </c>
      <c r="D3991" s="6">
        <v>113</v>
      </c>
      <c r="E3991" s="6">
        <v>210.5</v>
      </c>
      <c r="F3991" s="11"/>
    </row>
    <row r="3992" spans="1:6">
      <c r="A3992" s="5" t="str">
        <f t="shared" si="71"/>
        <v>202317</v>
      </c>
      <c r="B3992" s="5" t="str">
        <f>"23085032311"</f>
        <v>23085032311</v>
      </c>
      <c r="C3992" s="6">
        <v>106.5</v>
      </c>
      <c r="D3992" s="6">
        <v>104</v>
      </c>
      <c r="E3992" s="6">
        <v>210.5</v>
      </c>
      <c r="F3992" s="11"/>
    </row>
    <row r="3993" spans="1:6">
      <c r="A3993" s="5" t="str">
        <f t="shared" si="71"/>
        <v>202317</v>
      </c>
      <c r="B3993" s="5" t="str">
        <f>"23085040123"</f>
        <v>23085040123</v>
      </c>
      <c r="C3993" s="6">
        <v>97.5</v>
      </c>
      <c r="D3993" s="6">
        <v>112.5</v>
      </c>
      <c r="E3993" s="6">
        <v>210</v>
      </c>
      <c r="F3993" s="11"/>
    </row>
    <row r="3994" spans="1:6">
      <c r="A3994" s="5" t="str">
        <f t="shared" si="71"/>
        <v>202317</v>
      </c>
      <c r="B3994" s="5" t="str">
        <f>"23085032726"</f>
        <v>23085032726</v>
      </c>
      <c r="C3994" s="6">
        <v>96</v>
      </c>
      <c r="D3994" s="6">
        <v>114</v>
      </c>
      <c r="E3994" s="6">
        <v>210</v>
      </c>
      <c r="F3994" s="11"/>
    </row>
    <row r="3995" spans="1:6">
      <c r="A3995" s="5" t="str">
        <f t="shared" si="71"/>
        <v>202317</v>
      </c>
      <c r="B3995" s="5" t="str">
        <f>"23085032316"</f>
        <v>23085032316</v>
      </c>
      <c r="C3995" s="6">
        <v>100.5</v>
      </c>
      <c r="D3995" s="6">
        <v>109.5</v>
      </c>
      <c r="E3995" s="6">
        <v>210</v>
      </c>
      <c r="F3995" s="11"/>
    </row>
    <row r="3996" spans="1:6">
      <c r="A3996" s="5" t="str">
        <f t="shared" si="71"/>
        <v>202317</v>
      </c>
      <c r="B3996" s="5" t="str">
        <f>"23085033128"</f>
        <v>23085033128</v>
      </c>
      <c r="C3996" s="6">
        <v>97.5</v>
      </c>
      <c r="D3996" s="6">
        <v>112.5</v>
      </c>
      <c r="E3996" s="6">
        <v>210</v>
      </c>
      <c r="F3996" s="11"/>
    </row>
    <row r="3997" spans="1:6">
      <c r="A3997" s="5" t="str">
        <f t="shared" si="71"/>
        <v>202317</v>
      </c>
      <c r="B3997" s="5" t="str">
        <f>"23085032816"</f>
        <v>23085032816</v>
      </c>
      <c r="C3997" s="6">
        <v>91.5</v>
      </c>
      <c r="D3997" s="6">
        <v>118.5</v>
      </c>
      <c r="E3997" s="6">
        <v>210</v>
      </c>
      <c r="F3997" s="11"/>
    </row>
    <row r="3998" spans="1:6">
      <c r="A3998" s="5" t="str">
        <f t="shared" si="71"/>
        <v>202317</v>
      </c>
      <c r="B3998" s="5" t="str">
        <f>"23085032421"</f>
        <v>23085032421</v>
      </c>
      <c r="C3998" s="6">
        <v>105</v>
      </c>
      <c r="D3998" s="6">
        <v>105</v>
      </c>
      <c r="E3998" s="6">
        <v>210</v>
      </c>
      <c r="F3998" s="11"/>
    </row>
    <row r="3999" spans="1:6">
      <c r="A3999" s="5" t="str">
        <f t="shared" si="71"/>
        <v>202317</v>
      </c>
      <c r="B3999" s="5" t="str">
        <f>"23085033403"</f>
        <v>23085033403</v>
      </c>
      <c r="C3999" s="6">
        <v>99</v>
      </c>
      <c r="D3999" s="6">
        <v>111</v>
      </c>
      <c r="E3999" s="6">
        <v>210</v>
      </c>
      <c r="F3999" s="11"/>
    </row>
    <row r="4000" spans="1:6">
      <c r="A4000" s="5" t="str">
        <f t="shared" si="71"/>
        <v>202317</v>
      </c>
      <c r="B4000" s="5" t="str">
        <f>"23085033130"</f>
        <v>23085033130</v>
      </c>
      <c r="C4000" s="6">
        <v>96</v>
      </c>
      <c r="D4000" s="6">
        <v>113.5</v>
      </c>
      <c r="E4000" s="6">
        <v>209.5</v>
      </c>
      <c r="F4000" s="11"/>
    </row>
    <row r="4001" spans="1:6">
      <c r="A4001" s="5" t="str">
        <f t="shared" si="71"/>
        <v>202317</v>
      </c>
      <c r="B4001" s="5" t="str">
        <f>"23085032725"</f>
        <v>23085032725</v>
      </c>
      <c r="C4001" s="6">
        <v>96</v>
      </c>
      <c r="D4001" s="6">
        <v>113.5</v>
      </c>
      <c r="E4001" s="6">
        <v>209.5</v>
      </c>
      <c r="F4001" s="11"/>
    </row>
    <row r="4002" spans="1:6">
      <c r="A4002" s="5" t="str">
        <f t="shared" si="71"/>
        <v>202317</v>
      </c>
      <c r="B4002" s="5" t="str">
        <f>"23085033901"</f>
        <v>23085033901</v>
      </c>
      <c r="C4002" s="6">
        <v>94.5</v>
      </c>
      <c r="D4002" s="6">
        <v>115</v>
      </c>
      <c r="E4002" s="6">
        <v>209.5</v>
      </c>
      <c r="F4002" s="11"/>
    </row>
    <row r="4003" spans="1:6">
      <c r="A4003" s="5" t="str">
        <f t="shared" si="71"/>
        <v>202317</v>
      </c>
      <c r="B4003" s="5" t="str">
        <f>"23085033926"</f>
        <v>23085033926</v>
      </c>
      <c r="C4003" s="6">
        <v>97.5</v>
      </c>
      <c r="D4003" s="6">
        <v>111.5</v>
      </c>
      <c r="E4003" s="6">
        <v>209</v>
      </c>
      <c r="F4003" s="11"/>
    </row>
    <row r="4004" spans="1:6">
      <c r="A4004" s="5" t="str">
        <f t="shared" si="71"/>
        <v>202317</v>
      </c>
      <c r="B4004" s="5" t="str">
        <f>"23085033324"</f>
        <v>23085033324</v>
      </c>
      <c r="C4004" s="6">
        <v>99</v>
      </c>
      <c r="D4004" s="6">
        <v>110</v>
      </c>
      <c r="E4004" s="6">
        <v>209</v>
      </c>
      <c r="F4004" s="11"/>
    </row>
    <row r="4005" spans="1:6">
      <c r="A4005" s="5" t="str">
        <f t="shared" si="71"/>
        <v>202317</v>
      </c>
      <c r="B4005" s="5" t="str">
        <f>"23085032320"</f>
        <v>23085032320</v>
      </c>
      <c r="C4005" s="6">
        <v>87</v>
      </c>
      <c r="D4005" s="6">
        <v>122</v>
      </c>
      <c r="E4005" s="6">
        <v>209</v>
      </c>
      <c r="F4005" s="11"/>
    </row>
    <row r="4006" spans="1:6">
      <c r="A4006" s="5" t="str">
        <f t="shared" si="71"/>
        <v>202317</v>
      </c>
      <c r="B4006" s="5" t="str">
        <f>"23085033112"</f>
        <v>23085033112</v>
      </c>
      <c r="C4006" s="6">
        <v>99</v>
      </c>
      <c r="D4006" s="6">
        <v>110</v>
      </c>
      <c r="E4006" s="6">
        <v>209</v>
      </c>
      <c r="F4006" s="11"/>
    </row>
    <row r="4007" spans="1:6">
      <c r="A4007" s="5" t="str">
        <f t="shared" si="71"/>
        <v>202317</v>
      </c>
      <c r="B4007" s="5" t="str">
        <f>"23085032928"</f>
        <v>23085032928</v>
      </c>
      <c r="C4007" s="6">
        <v>93</v>
      </c>
      <c r="D4007" s="6">
        <v>116</v>
      </c>
      <c r="E4007" s="6">
        <v>209</v>
      </c>
      <c r="F4007" s="11"/>
    </row>
    <row r="4008" spans="1:6">
      <c r="A4008" s="5" t="str">
        <f t="shared" si="71"/>
        <v>202317</v>
      </c>
      <c r="B4008" s="5" t="str">
        <f>"23085032412"</f>
        <v>23085032412</v>
      </c>
      <c r="C4008" s="6">
        <v>93</v>
      </c>
      <c r="D4008" s="6">
        <v>116</v>
      </c>
      <c r="E4008" s="6">
        <v>209</v>
      </c>
      <c r="F4008" s="11"/>
    </row>
    <row r="4009" spans="1:6">
      <c r="A4009" s="5" t="str">
        <f t="shared" si="71"/>
        <v>202317</v>
      </c>
      <c r="B4009" s="5" t="str">
        <f>"23085040201"</f>
        <v>23085040201</v>
      </c>
      <c r="C4009" s="6">
        <v>97.5</v>
      </c>
      <c r="D4009" s="6">
        <v>111</v>
      </c>
      <c r="E4009" s="6">
        <v>208.5</v>
      </c>
      <c r="F4009" s="11"/>
    </row>
    <row r="4010" spans="1:6">
      <c r="A4010" s="5" t="str">
        <f t="shared" si="71"/>
        <v>202317</v>
      </c>
      <c r="B4010" s="5" t="str">
        <f>"23085032923"</f>
        <v>23085032923</v>
      </c>
      <c r="C4010" s="6">
        <v>103.5</v>
      </c>
      <c r="D4010" s="6">
        <v>105</v>
      </c>
      <c r="E4010" s="6">
        <v>208.5</v>
      </c>
      <c r="F4010" s="11"/>
    </row>
    <row r="4011" spans="1:6">
      <c r="A4011" s="5" t="str">
        <f t="shared" si="71"/>
        <v>202317</v>
      </c>
      <c r="B4011" s="5" t="str">
        <f>"23085032013"</f>
        <v>23085032013</v>
      </c>
      <c r="C4011" s="6">
        <v>93</v>
      </c>
      <c r="D4011" s="6">
        <v>115.5</v>
      </c>
      <c r="E4011" s="6">
        <v>208.5</v>
      </c>
      <c r="F4011" s="11"/>
    </row>
    <row r="4012" spans="1:6">
      <c r="A4012" s="5" t="str">
        <f t="shared" si="71"/>
        <v>202317</v>
      </c>
      <c r="B4012" s="5" t="str">
        <f>"23085033811"</f>
        <v>23085033811</v>
      </c>
      <c r="C4012" s="6">
        <v>93</v>
      </c>
      <c r="D4012" s="6">
        <v>115</v>
      </c>
      <c r="E4012" s="6">
        <v>208</v>
      </c>
      <c r="F4012" s="11"/>
    </row>
    <row r="4013" spans="1:6">
      <c r="A4013" s="5" t="str">
        <f t="shared" si="71"/>
        <v>202317</v>
      </c>
      <c r="B4013" s="5" t="str">
        <f>"23085031913"</f>
        <v>23085031913</v>
      </c>
      <c r="C4013" s="6">
        <v>93</v>
      </c>
      <c r="D4013" s="6">
        <v>115</v>
      </c>
      <c r="E4013" s="6">
        <v>208</v>
      </c>
      <c r="F4013" s="11"/>
    </row>
    <row r="4014" spans="1:6">
      <c r="A4014" s="5" t="str">
        <f t="shared" si="71"/>
        <v>202317</v>
      </c>
      <c r="B4014" s="5" t="str">
        <f>"23085032427"</f>
        <v>23085032427</v>
      </c>
      <c r="C4014" s="6">
        <v>102</v>
      </c>
      <c r="D4014" s="6">
        <v>106</v>
      </c>
      <c r="E4014" s="6">
        <v>208</v>
      </c>
      <c r="F4014" s="11"/>
    </row>
    <row r="4015" spans="1:6">
      <c r="A4015" s="5" t="str">
        <f t="shared" si="71"/>
        <v>202317</v>
      </c>
      <c r="B4015" s="5" t="str">
        <f>"23085033522"</f>
        <v>23085033522</v>
      </c>
      <c r="C4015" s="6">
        <v>97.5</v>
      </c>
      <c r="D4015" s="6">
        <v>110.5</v>
      </c>
      <c r="E4015" s="6">
        <v>208</v>
      </c>
      <c r="F4015" s="11"/>
    </row>
    <row r="4016" spans="1:6">
      <c r="A4016" s="5" t="str">
        <f t="shared" si="71"/>
        <v>202317</v>
      </c>
      <c r="B4016" s="5" t="str">
        <f>"23085032207"</f>
        <v>23085032207</v>
      </c>
      <c r="C4016" s="6">
        <v>91.5</v>
      </c>
      <c r="D4016" s="6">
        <v>116.5</v>
      </c>
      <c r="E4016" s="6">
        <v>208</v>
      </c>
      <c r="F4016" s="11"/>
    </row>
    <row r="4017" spans="1:6">
      <c r="A4017" s="5" t="str">
        <f t="shared" si="71"/>
        <v>202317</v>
      </c>
      <c r="B4017" s="5" t="str">
        <f>"23085033720"</f>
        <v>23085033720</v>
      </c>
      <c r="C4017" s="6">
        <v>94.5</v>
      </c>
      <c r="D4017" s="6">
        <v>113.5</v>
      </c>
      <c r="E4017" s="6">
        <v>208</v>
      </c>
      <c r="F4017" s="11"/>
    </row>
    <row r="4018" spans="1:6">
      <c r="A4018" s="5" t="str">
        <f t="shared" si="71"/>
        <v>202317</v>
      </c>
      <c r="B4018" s="5" t="str">
        <f>"23085033915"</f>
        <v>23085033915</v>
      </c>
      <c r="C4018" s="6">
        <v>97.5</v>
      </c>
      <c r="D4018" s="6">
        <v>110.5</v>
      </c>
      <c r="E4018" s="6">
        <v>208</v>
      </c>
      <c r="F4018" s="11"/>
    </row>
    <row r="4019" spans="1:6">
      <c r="A4019" s="5" t="str">
        <f t="shared" si="71"/>
        <v>202317</v>
      </c>
      <c r="B4019" s="5" t="str">
        <f>"23085032021"</f>
        <v>23085032021</v>
      </c>
      <c r="C4019" s="6">
        <v>99</v>
      </c>
      <c r="D4019" s="6">
        <v>108.5</v>
      </c>
      <c r="E4019" s="6">
        <v>207.5</v>
      </c>
      <c r="F4019" s="11"/>
    </row>
    <row r="4020" spans="1:6">
      <c r="A4020" s="5" t="str">
        <f t="shared" si="71"/>
        <v>202317</v>
      </c>
      <c r="B4020" s="5" t="str">
        <f>"23085033209"</f>
        <v>23085033209</v>
      </c>
      <c r="C4020" s="6">
        <v>103.5</v>
      </c>
      <c r="D4020" s="6">
        <v>104</v>
      </c>
      <c r="E4020" s="6">
        <v>207.5</v>
      </c>
      <c r="F4020" s="11"/>
    </row>
    <row r="4021" spans="1:6">
      <c r="A4021" s="5" t="str">
        <f t="shared" si="71"/>
        <v>202317</v>
      </c>
      <c r="B4021" s="5" t="str">
        <f>"23085032524"</f>
        <v>23085032524</v>
      </c>
      <c r="C4021" s="6">
        <v>88.5</v>
      </c>
      <c r="D4021" s="6">
        <v>119</v>
      </c>
      <c r="E4021" s="6">
        <v>207.5</v>
      </c>
      <c r="F4021" s="11"/>
    </row>
    <row r="4022" spans="1:6">
      <c r="A4022" s="5" t="str">
        <f t="shared" si="71"/>
        <v>202317</v>
      </c>
      <c r="B4022" s="5" t="str">
        <f>"23085032101"</f>
        <v>23085032101</v>
      </c>
      <c r="C4022" s="6">
        <v>96</v>
      </c>
      <c r="D4022" s="6">
        <v>111.5</v>
      </c>
      <c r="E4022" s="6">
        <v>207.5</v>
      </c>
      <c r="F4022" s="11"/>
    </row>
    <row r="4023" spans="1:6">
      <c r="A4023" s="5" t="str">
        <f t="shared" si="71"/>
        <v>202317</v>
      </c>
      <c r="B4023" s="5" t="str">
        <f>"23085032805"</f>
        <v>23085032805</v>
      </c>
      <c r="C4023" s="6">
        <v>96</v>
      </c>
      <c r="D4023" s="6">
        <v>111.5</v>
      </c>
      <c r="E4023" s="6">
        <v>207.5</v>
      </c>
      <c r="F4023" s="11"/>
    </row>
    <row r="4024" spans="1:6">
      <c r="A4024" s="5" t="str">
        <f t="shared" si="71"/>
        <v>202317</v>
      </c>
      <c r="B4024" s="5" t="str">
        <f>"23085040606"</f>
        <v>23085040606</v>
      </c>
      <c r="C4024" s="6">
        <v>93</v>
      </c>
      <c r="D4024" s="6">
        <v>114.5</v>
      </c>
      <c r="E4024" s="6">
        <v>207.5</v>
      </c>
      <c r="F4024" s="11"/>
    </row>
    <row r="4025" spans="1:6">
      <c r="A4025" s="5" t="str">
        <f t="shared" si="71"/>
        <v>202317</v>
      </c>
      <c r="B4025" s="5" t="str">
        <f>"23085034006"</f>
        <v>23085034006</v>
      </c>
      <c r="C4025" s="6">
        <v>90</v>
      </c>
      <c r="D4025" s="6">
        <v>117.5</v>
      </c>
      <c r="E4025" s="6">
        <v>207.5</v>
      </c>
      <c r="F4025" s="11"/>
    </row>
    <row r="4026" spans="1:6">
      <c r="A4026" s="5" t="str">
        <f t="shared" si="71"/>
        <v>202317</v>
      </c>
      <c r="B4026" s="5" t="str">
        <f>"23085032830"</f>
        <v>23085032830</v>
      </c>
      <c r="C4026" s="6">
        <v>93</v>
      </c>
      <c r="D4026" s="6">
        <v>114.5</v>
      </c>
      <c r="E4026" s="6">
        <v>207.5</v>
      </c>
      <c r="F4026" s="11"/>
    </row>
    <row r="4027" spans="1:6">
      <c r="A4027" s="5" t="str">
        <f t="shared" si="71"/>
        <v>202317</v>
      </c>
      <c r="B4027" s="5" t="str">
        <f>"23085032406"</f>
        <v>23085032406</v>
      </c>
      <c r="C4027" s="6">
        <v>94.5</v>
      </c>
      <c r="D4027" s="6">
        <v>113</v>
      </c>
      <c r="E4027" s="6">
        <v>207.5</v>
      </c>
      <c r="F4027" s="11"/>
    </row>
    <row r="4028" spans="1:6">
      <c r="A4028" s="5" t="str">
        <f t="shared" si="71"/>
        <v>202317</v>
      </c>
      <c r="B4028" s="5" t="str">
        <f>"23085032823"</f>
        <v>23085032823</v>
      </c>
      <c r="C4028" s="6">
        <v>91.5</v>
      </c>
      <c r="D4028" s="6">
        <v>116</v>
      </c>
      <c r="E4028" s="6">
        <v>207.5</v>
      </c>
      <c r="F4028" s="11"/>
    </row>
    <row r="4029" spans="1:6">
      <c r="A4029" s="5" t="str">
        <f t="shared" si="71"/>
        <v>202317</v>
      </c>
      <c r="B4029" s="5" t="str">
        <f>"23085033105"</f>
        <v>23085033105</v>
      </c>
      <c r="C4029" s="6">
        <v>111</v>
      </c>
      <c r="D4029" s="6">
        <v>96.5</v>
      </c>
      <c r="E4029" s="6">
        <v>207.5</v>
      </c>
      <c r="F4029" s="11"/>
    </row>
    <row r="4030" spans="1:6">
      <c r="A4030" s="5" t="str">
        <f t="shared" si="71"/>
        <v>202317</v>
      </c>
      <c r="B4030" s="5" t="str">
        <f>"23085032814"</f>
        <v>23085032814</v>
      </c>
      <c r="C4030" s="6">
        <v>87</v>
      </c>
      <c r="D4030" s="6">
        <v>120</v>
      </c>
      <c r="E4030" s="6">
        <v>207</v>
      </c>
      <c r="F4030" s="11"/>
    </row>
    <row r="4031" spans="1:6">
      <c r="A4031" s="5" t="str">
        <f t="shared" si="71"/>
        <v>202317</v>
      </c>
      <c r="B4031" s="5" t="str">
        <f>"23085031925"</f>
        <v>23085031925</v>
      </c>
      <c r="C4031" s="6">
        <v>93</v>
      </c>
      <c r="D4031" s="6">
        <v>114</v>
      </c>
      <c r="E4031" s="6">
        <v>207</v>
      </c>
      <c r="F4031" s="11"/>
    </row>
    <row r="4032" spans="1:6">
      <c r="A4032" s="5" t="str">
        <f t="shared" ref="A4032:A4095" si="72">"202317"</f>
        <v>202317</v>
      </c>
      <c r="B4032" s="5" t="str">
        <f>"23085033104"</f>
        <v>23085033104</v>
      </c>
      <c r="C4032" s="6">
        <v>99</v>
      </c>
      <c r="D4032" s="6">
        <v>108</v>
      </c>
      <c r="E4032" s="6">
        <v>207</v>
      </c>
      <c r="F4032" s="11"/>
    </row>
    <row r="4033" spans="1:6">
      <c r="A4033" s="5" t="str">
        <f t="shared" si="72"/>
        <v>202317</v>
      </c>
      <c r="B4033" s="5" t="str">
        <f>"23085033320"</f>
        <v>23085033320</v>
      </c>
      <c r="C4033" s="6">
        <v>93</v>
      </c>
      <c r="D4033" s="6">
        <v>114</v>
      </c>
      <c r="E4033" s="6">
        <v>207</v>
      </c>
      <c r="F4033" s="11"/>
    </row>
    <row r="4034" spans="1:6">
      <c r="A4034" s="5" t="str">
        <f t="shared" si="72"/>
        <v>202317</v>
      </c>
      <c r="B4034" s="5" t="str">
        <f>"23085032326"</f>
        <v>23085032326</v>
      </c>
      <c r="C4034" s="6">
        <v>96</v>
      </c>
      <c r="D4034" s="6">
        <v>111</v>
      </c>
      <c r="E4034" s="6">
        <v>207</v>
      </c>
      <c r="F4034" s="11"/>
    </row>
    <row r="4035" spans="1:6">
      <c r="A4035" s="5" t="str">
        <f t="shared" si="72"/>
        <v>202317</v>
      </c>
      <c r="B4035" s="5" t="str">
        <f>"23085032020"</f>
        <v>23085032020</v>
      </c>
      <c r="C4035" s="6">
        <v>93</v>
      </c>
      <c r="D4035" s="6">
        <v>114</v>
      </c>
      <c r="E4035" s="6">
        <v>207</v>
      </c>
      <c r="F4035" s="11"/>
    </row>
    <row r="4036" spans="1:6">
      <c r="A4036" s="5" t="str">
        <f t="shared" si="72"/>
        <v>202317</v>
      </c>
      <c r="B4036" s="5" t="str">
        <f>"23085033909"</f>
        <v>23085033909</v>
      </c>
      <c r="C4036" s="6">
        <v>96</v>
      </c>
      <c r="D4036" s="6">
        <v>111</v>
      </c>
      <c r="E4036" s="6">
        <v>207</v>
      </c>
      <c r="F4036" s="11"/>
    </row>
    <row r="4037" spans="1:6">
      <c r="A4037" s="5" t="str">
        <f t="shared" si="72"/>
        <v>202317</v>
      </c>
      <c r="B4037" s="5" t="str">
        <f>"23085033402"</f>
        <v>23085033402</v>
      </c>
      <c r="C4037" s="6">
        <v>93</v>
      </c>
      <c r="D4037" s="6">
        <v>114</v>
      </c>
      <c r="E4037" s="6">
        <v>207</v>
      </c>
      <c r="F4037" s="11"/>
    </row>
    <row r="4038" spans="1:6">
      <c r="A4038" s="5" t="str">
        <f t="shared" si="72"/>
        <v>202317</v>
      </c>
      <c r="B4038" s="5" t="str">
        <f>"23085032225"</f>
        <v>23085032225</v>
      </c>
      <c r="C4038" s="6">
        <v>99</v>
      </c>
      <c r="D4038" s="6">
        <v>108</v>
      </c>
      <c r="E4038" s="6">
        <v>207</v>
      </c>
      <c r="F4038" s="11"/>
    </row>
    <row r="4039" spans="1:6">
      <c r="A4039" s="5" t="str">
        <f t="shared" si="72"/>
        <v>202317</v>
      </c>
      <c r="B4039" s="5" t="str">
        <f>"23085032510"</f>
        <v>23085032510</v>
      </c>
      <c r="C4039" s="6">
        <v>96</v>
      </c>
      <c r="D4039" s="6">
        <v>111</v>
      </c>
      <c r="E4039" s="6">
        <v>207</v>
      </c>
      <c r="F4039" s="11"/>
    </row>
    <row r="4040" spans="1:6">
      <c r="A4040" s="5" t="str">
        <f t="shared" si="72"/>
        <v>202317</v>
      </c>
      <c r="B4040" s="5" t="str">
        <f>"23085040609"</f>
        <v>23085040609</v>
      </c>
      <c r="C4040" s="6">
        <v>93</v>
      </c>
      <c r="D4040" s="6">
        <v>114</v>
      </c>
      <c r="E4040" s="6">
        <v>207</v>
      </c>
      <c r="F4040" s="11"/>
    </row>
    <row r="4041" spans="1:6">
      <c r="A4041" s="5" t="str">
        <f t="shared" si="72"/>
        <v>202317</v>
      </c>
      <c r="B4041" s="5" t="str">
        <f>"23085040427"</f>
        <v>23085040427</v>
      </c>
      <c r="C4041" s="6">
        <v>103.5</v>
      </c>
      <c r="D4041" s="6">
        <v>103.5</v>
      </c>
      <c r="E4041" s="6">
        <v>207</v>
      </c>
      <c r="F4041" s="11"/>
    </row>
    <row r="4042" spans="1:6">
      <c r="A4042" s="5" t="str">
        <f t="shared" si="72"/>
        <v>202317</v>
      </c>
      <c r="B4042" s="5" t="str">
        <f>"23085033102"</f>
        <v>23085033102</v>
      </c>
      <c r="C4042" s="6">
        <v>88.5</v>
      </c>
      <c r="D4042" s="6">
        <v>118</v>
      </c>
      <c r="E4042" s="6">
        <v>206.5</v>
      </c>
      <c r="F4042" s="11"/>
    </row>
    <row r="4043" spans="1:6">
      <c r="A4043" s="5" t="str">
        <f t="shared" si="72"/>
        <v>202317</v>
      </c>
      <c r="B4043" s="5" t="str">
        <f>"23085033823"</f>
        <v>23085033823</v>
      </c>
      <c r="C4043" s="6">
        <v>99</v>
      </c>
      <c r="D4043" s="6">
        <v>107.5</v>
      </c>
      <c r="E4043" s="6">
        <v>206.5</v>
      </c>
      <c r="F4043" s="11"/>
    </row>
    <row r="4044" spans="1:6">
      <c r="A4044" s="5" t="str">
        <f t="shared" si="72"/>
        <v>202317</v>
      </c>
      <c r="B4044" s="5" t="str">
        <f>"23085032305"</f>
        <v>23085032305</v>
      </c>
      <c r="C4044" s="6">
        <v>88.5</v>
      </c>
      <c r="D4044" s="6">
        <v>118</v>
      </c>
      <c r="E4044" s="6">
        <v>206.5</v>
      </c>
      <c r="F4044" s="11"/>
    </row>
    <row r="4045" spans="1:6">
      <c r="A4045" s="5" t="str">
        <f t="shared" si="72"/>
        <v>202317</v>
      </c>
      <c r="B4045" s="5" t="str">
        <f>"23085033309"</f>
        <v>23085033309</v>
      </c>
      <c r="C4045" s="6">
        <v>85.5</v>
      </c>
      <c r="D4045" s="6">
        <v>121</v>
      </c>
      <c r="E4045" s="6">
        <v>206.5</v>
      </c>
      <c r="F4045" s="11"/>
    </row>
    <row r="4046" spans="1:6">
      <c r="A4046" s="5" t="str">
        <f t="shared" si="72"/>
        <v>202317</v>
      </c>
      <c r="B4046" s="5" t="str">
        <f>"23085033629"</f>
        <v>23085033629</v>
      </c>
      <c r="C4046" s="6">
        <v>91.5</v>
      </c>
      <c r="D4046" s="6">
        <v>115</v>
      </c>
      <c r="E4046" s="6">
        <v>206.5</v>
      </c>
      <c r="F4046" s="11"/>
    </row>
    <row r="4047" spans="1:6">
      <c r="A4047" s="5" t="str">
        <f t="shared" si="72"/>
        <v>202317</v>
      </c>
      <c r="B4047" s="5" t="str">
        <f>"23085033930"</f>
        <v>23085033930</v>
      </c>
      <c r="C4047" s="6">
        <v>90</v>
      </c>
      <c r="D4047" s="6">
        <v>116.5</v>
      </c>
      <c r="E4047" s="6">
        <v>206.5</v>
      </c>
      <c r="F4047" s="11"/>
    </row>
    <row r="4048" spans="1:6">
      <c r="A4048" s="5" t="str">
        <f t="shared" si="72"/>
        <v>202317</v>
      </c>
      <c r="B4048" s="5" t="str">
        <f>"23085040129"</f>
        <v>23085040129</v>
      </c>
      <c r="C4048" s="6">
        <v>94.5</v>
      </c>
      <c r="D4048" s="6">
        <v>111.5</v>
      </c>
      <c r="E4048" s="6">
        <v>206</v>
      </c>
      <c r="F4048" s="11"/>
    </row>
    <row r="4049" spans="1:6">
      <c r="A4049" s="5" t="str">
        <f t="shared" si="72"/>
        <v>202317</v>
      </c>
      <c r="B4049" s="5" t="str">
        <f>"23085033303"</f>
        <v>23085033303</v>
      </c>
      <c r="C4049" s="6">
        <v>88.5</v>
      </c>
      <c r="D4049" s="6">
        <v>117.5</v>
      </c>
      <c r="E4049" s="6">
        <v>206</v>
      </c>
      <c r="F4049" s="11"/>
    </row>
    <row r="4050" spans="1:6">
      <c r="A4050" s="5" t="str">
        <f t="shared" si="72"/>
        <v>202317</v>
      </c>
      <c r="B4050" s="5" t="str">
        <f>"23085033815"</f>
        <v>23085033815</v>
      </c>
      <c r="C4050" s="6">
        <v>93</v>
      </c>
      <c r="D4050" s="6">
        <v>113</v>
      </c>
      <c r="E4050" s="6">
        <v>206</v>
      </c>
      <c r="F4050" s="11"/>
    </row>
    <row r="4051" spans="1:6">
      <c r="A4051" s="5" t="str">
        <f t="shared" si="72"/>
        <v>202317</v>
      </c>
      <c r="B4051" s="5" t="str">
        <f>"23085040114"</f>
        <v>23085040114</v>
      </c>
      <c r="C4051" s="6">
        <v>93</v>
      </c>
      <c r="D4051" s="6">
        <v>113</v>
      </c>
      <c r="E4051" s="6">
        <v>206</v>
      </c>
      <c r="F4051" s="11"/>
    </row>
    <row r="4052" spans="1:6">
      <c r="A4052" s="5" t="str">
        <f t="shared" si="72"/>
        <v>202317</v>
      </c>
      <c r="B4052" s="5" t="str">
        <f>"23085033918"</f>
        <v>23085033918</v>
      </c>
      <c r="C4052" s="6">
        <v>94.5</v>
      </c>
      <c r="D4052" s="6">
        <v>111.5</v>
      </c>
      <c r="E4052" s="6">
        <v>206</v>
      </c>
      <c r="F4052" s="11"/>
    </row>
    <row r="4053" spans="1:6">
      <c r="A4053" s="5" t="str">
        <f t="shared" si="72"/>
        <v>202317</v>
      </c>
      <c r="B4053" s="5" t="str">
        <f>"23085033822"</f>
        <v>23085033822</v>
      </c>
      <c r="C4053" s="6">
        <v>96</v>
      </c>
      <c r="D4053" s="6">
        <v>110</v>
      </c>
      <c r="E4053" s="6">
        <v>206</v>
      </c>
      <c r="F4053" s="11"/>
    </row>
    <row r="4054" spans="1:6">
      <c r="A4054" s="5" t="str">
        <f t="shared" si="72"/>
        <v>202317</v>
      </c>
      <c r="B4054" s="5" t="str">
        <f>"23085033710"</f>
        <v>23085033710</v>
      </c>
      <c r="C4054" s="6">
        <v>88.5</v>
      </c>
      <c r="D4054" s="6">
        <v>117.5</v>
      </c>
      <c r="E4054" s="6">
        <v>206</v>
      </c>
      <c r="F4054" s="11"/>
    </row>
    <row r="4055" spans="1:6">
      <c r="A4055" s="5" t="str">
        <f t="shared" si="72"/>
        <v>202317</v>
      </c>
      <c r="B4055" s="5" t="str">
        <f>"23085033610"</f>
        <v>23085033610</v>
      </c>
      <c r="C4055" s="6">
        <v>88.5</v>
      </c>
      <c r="D4055" s="6">
        <v>117.5</v>
      </c>
      <c r="E4055" s="6">
        <v>206</v>
      </c>
      <c r="F4055" s="11"/>
    </row>
    <row r="4056" spans="1:6">
      <c r="A4056" s="5" t="str">
        <f t="shared" si="72"/>
        <v>202317</v>
      </c>
      <c r="B4056" s="5" t="str">
        <f>"23085040328"</f>
        <v>23085040328</v>
      </c>
      <c r="C4056" s="6">
        <v>94.5</v>
      </c>
      <c r="D4056" s="6">
        <v>111</v>
      </c>
      <c r="E4056" s="6">
        <v>205.5</v>
      </c>
      <c r="F4056" s="11"/>
    </row>
    <row r="4057" spans="1:6">
      <c r="A4057" s="5" t="str">
        <f t="shared" si="72"/>
        <v>202317</v>
      </c>
      <c r="B4057" s="5" t="str">
        <f>"23085032322"</f>
        <v>23085032322</v>
      </c>
      <c r="C4057" s="6">
        <v>90</v>
      </c>
      <c r="D4057" s="6">
        <v>115.5</v>
      </c>
      <c r="E4057" s="6">
        <v>205.5</v>
      </c>
      <c r="F4057" s="11"/>
    </row>
    <row r="4058" spans="1:6">
      <c r="A4058" s="5" t="str">
        <f t="shared" si="72"/>
        <v>202317</v>
      </c>
      <c r="B4058" s="5" t="str">
        <f>"23085040502"</f>
        <v>23085040502</v>
      </c>
      <c r="C4058" s="6">
        <v>88.5</v>
      </c>
      <c r="D4058" s="6">
        <v>117</v>
      </c>
      <c r="E4058" s="6">
        <v>205.5</v>
      </c>
      <c r="F4058" s="11"/>
    </row>
    <row r="4059" spans="1:6">
      <c r="A4059" s="5" t="str">
        <f t="shared" si="72"/>
        <v>202317</v>
      </c>
      <c r="B4059" s="5" t="str">
        <f>"23085040218"</f>
        <v>23085040218</v>
      </c>
      <c r="C4059" s="6">
        <v>96</v>
      </c>
      <c r="D4059" s="6">
        <v>109.5</v>
      </c>
      <c r="E4059" s="6">
        <v>205.5</v>
      </c>
      <c r="F4059" s="11"/>
    </row>
    <row r="4060" spans="1:6">
      <c r="A4060" s="5" t="str">
        <f t="shared" si="72"/>
        <v>202317</v>
      </c>
      <c r="B4060" s="5" t="str">
        <f>"23085032417"</f>
        <v>23085032417</v>
      </c>
      <c r="C4060" s="6">
        <v>88.5</v>
      </c>
      <c r="D4060" s="6">
        <v>117</v>
      </c>
      <c r="E4060" s="6">
        <v>205.5</v>
      </c>
      <c r="F4060" s="11"/>
    </row>
    <row r="4061" spans="1:6">
      <c r="A4061" s="5" t="str">
        <f t="shared" si="72"/>
        <v>202317</v>
      </c>
      <c r="B4061" s="5" t="str">
        <f>"23085032920"</f>
        <v>23085032920</v>
      </c>
      <c r="C4061" s="6">
        <v>99</v>
      </c>
      <c r="D4061" s="6">
        <v>106.5</v>
      </c>
      <c r="E4061" s="6">
        <v>205.5</v>
      </c>
      <c r="F4061" s="11"/>
    </row>
    <row r="4062" spans="1:6">
      <c r="A4062" s="5" t="str">
        <f t="shared" si="72"/>
        <v>202317</v>
      </c>
      <c r="B4062" s="5" t="str">
        <f>"23085032124"</f>
        <v>23085032124</v>
      </c>
      <c r="C4062" s="6">
        <v>91.5</v>
      </c>
      <c r="D4062" s="6">
        <v>114</v>
      </c>
      <c r="E4062" s="6">
        <v>205.5</v>
      </c>
      <c r="F4062" s="11"/>
    </row>
    <row r="4063" spans="1:6">
      <c r="A4063" s="5" t="str">
        <f t="shared" si="72"/>
        <v>202317</v>
      </c>
      <c r="B4063" s="5" t="str">
        <f>"23085040216"</f>
        <v>23085040216</v>
      </c>
      <c r="C4063" s="6">
        <v>91.5</v>
      </c>
      <c r="D4063" s="6">
        <v>114</v>
      </c>
      <c r="E4063" s="6">
        <v>205.5</v>
      </c>
      <c r="F4063" s="11"/>
    </row>
    <row r="4064" spans="1:6">
      <c r="A4064" s="5" t="str">
        <f t="shared" si="72"/>
        <v>202317</v>
      </c>
      <c r="B4064" s="5" t="str">
        <f>"23085033703"</f>
        <v>23085033703</v>
      </c>
      <c r="C4064" s="6">
        <v>91.5</v>
      </c>
      <c r="D4064" s="6">
        <v>114</v>
      </c>
      <c r="E4064" s="6">
        <v>205.5</v>
      </c>
      <c r="F4064" s="11"/>
    </row>
    <row r="4065" spans="1:6">
      <c r="A4065" s="5" t="str">
        <f t="shared" si="72"/>
        <v>202317</v>
      </c>
      <c r="B4065" s="5" t="str">
        <f>"23085032813"</f>
        <v>23085032813</v>
      </c>
      <c r="C4065" s="6">
        <v>91.5</v>
      </c>
      <c r="D4065" s="6">
        <v>114</v>
      </c>
      <c r="E4065" s="6">
        <v>205.5</v>
      </c>
      <c r="F4065" s="11"/>
    </row>
    <row r="4066" spans="1:6">
      <c r="A4066" s="5" t="str">
        <f t="shared" si="72"/>
        <v>202317</v>
      </c>
      <c r="B4066" s="5" t="str">
        <f>"23085040510"</f>
        <v>23085040510</v>
      </c>
      <c r="C4066" s="6">
        <v>93</v>
      </c>
      <c r="D4066" s="6">
        <v>112.5</v>
      </c>
      <c r="E4066" s="6">
        <v>205.5</v>
      </c>
      <c r="F4066" s="11"/>
    </row>
    <row r="4067" spans="1:6">
      <c r="A4067" s="5" t="str">
        <f t="shared" si="72"/>
        <v>202317</v>
      </c>
      <c r="B4067" s="5" t="str">
        <f>"23085033919"</f>
        <v>23085033919</v>
      </c>
      <c r="C4067" s="6">
        <v>94.5</v>
      </c>
      <c r="D4067" s="6">
        <v>110.5</v>
      </c>
      <c r="E4067" s="6">
        <v>205</v>
      </c>
      <c r="F4067" s="11"/>
    </row>
    <row r="4068" spans="1:6">
      <c r="A4068" s="5" t="str">
        <f t="shared" si="72"/>
        <v>202317</v>
      </c>
      <c r="B4068" s="5" t="str">
        <f>"23085033313"</f>
        <v>23085033313</v>
      </c>
      <c r="C4068" s="6">
        <v>90</v>
      </c>
      <c r="D4068" s="6">
        <v>115</v>
      </c>
      <c r="E4068" s="6">
        <v>205</v>
      </c>
      <c r="F4068" s="11"/>
    </row>
    <row r="4069" spans="1:6">
      <c r="A4069" s="5" t="str">
        <f t="shared" si="72"/>
        <v>202317</v>
      </c>
      <c r="B4069" s="5" t="str">
        <f>"23085033409"</f>
        <v>23085033409</v>
      </c>
      <c r="C4069" s="6">
        <v>97.5</v>
      </c>
      <c r="D4069" s="6">
        <v>107.5</v>
      </c>
      <c r="E4069" s="6">
        <v>205</v>
      </c>
      <c r="F4069" s="11"/>
    </row>
    <row r="4070" spans="1:6">
      <c r="A4070" s="5" t="str">
        <f t="shared" si="72"/>
        <v>202317</v>
      </c>
      <c r="B4070" s="5" t="str">
        <f>"23085033902"</f>
        <v>23085033902</v>
      </c>
      <c r="C4070" s="6">
        <v>94.5</v>
      </c>
      <c r="D4070" s="6">
        <v>110.5</v>
      </c>
      <c r="E4070" s="6">
        <v>205</v>
      </c>
      <c r="F4070" s="11"/>
    </row>
    <row r="4071" spans="1:6">
      <c r="A4071" s="5" t="str">
        <f t="shared" si="72"/>
        <v>202317</v>
      </c>
      <c r="B4071" s="5" t="str">
        <f>"23085032922"</f>
        <v>23085032922</v>
      </c>
      <c r="C4071" s="6">
        <v>90</v>
      </c>
      <c r="D4071" s="6">
        <v>115</v>
      </c>
      <c r="E4071" s="6">
        <v>205</v>
      </c>
      <c r="F4071" s="11"/>
    </row>
    <row r="4072" spans="1:6">
      <c r="A4072" s="5" t="str">
        <f t="shared" si="72"/>
        <v>202317</v>
      </c>
      <c r="B4072" s="5" t="str">
        <f>"23085040219"</f>
        <v>23085040219</v>
      </c>
      <c r="C4072" s="6">
        <v>91.5</v>
      </c>
      <c r="D4072" s="6">
        <v>113</v>
      </c>
      <c r="E4072" s="6">
        <v>204.5</v>
      </c>
      <c r="F4072" s="11"/>
    </row>
    <row r="4073" spans="1:6">
      <c r="A4073" s="5" t="str">
        <f t="shared" si="72"/>
        <v>202317</v>
      </c>
      <c r="B4073" s="5" t="str">
        <f>"23085034014"</f>
        <v>23085034014</v>
      </c>
      <c r="C4073" s="6">
        <v>106.5</v>
      </c>
      <c r="D4073" s="6">
        <v>98</v>
      </c>
      <c r="E4073" s="6">
        <v>204.5</v>
      </c>
      <c r="F4073" s="11"/>
    </row>
    <row r="4074" spans="1:6">
      <c r="A4074" s="5" t="str">
        <f t="shared" si="72"/>
        <v>202317</v>
      </c>
      <c r="B4074" s="5" t="str">
        <f>"23085032517"</f>
        <v>23085032517</v>
      </c>
      <c r="C4074" s="6">
        <v>103.5</v>
      </c>
      <c r="D4074" s="6">
        <v>101</v>
      </c>
      <c r="E4074" s="6">
        <v>204.5</v>
      </c>
      <c r="F4074" s="11"/>
    </row>
    <row r="4075" spans="1:6">
      <c r="A4075" s="5" t="str">
        <f t="shared" si="72"/>
        <v>202317</v>
      </c>
      <c r="B4075" s="5" t="str">
        <f>"23085031824"</f>
        <v>23085031824</v>
      </c>
      <c r="C4075" s="6">
        <v>96</v>
      </c>
      <c r="D4075" s="6">
        <v>108.5</v>
      </c>
      <c r="E4075" s="6">
        <v>204.5</v>
      </c>
      <c r="F4075" s="11"/>
    </row>
    <row r="4076" spans="1:6">
      <c r="A4076" s="5" t="str">
        <f t="shared" si="72"/>
        <v>202317</v>
      </c>
      <c r="B4076" s="5" t="str">
        <f>"23085033212"</f>
        <v>23085033212</v>
      </c>
      <c r="C4076" s="6">
        <v>93</v>
      </c>
      <c r="D4076" s="6">
        <v>111.5</v>
      </c>
      <c r="E4076" s="6">
        <v>204.5</v>
      </c>
      <c r="F4076" s="11"/>
    </row>
    <row r="4077" spans="1:6">
      <c r="A4077" s="5" t="str">
        <f t="shared" si="72"/>
        <v>202317</v>
      </c>
      <c r="B4077" s="5" t="str">
        <f>"23085040315"</f>
        <v>23085040315</v>
      </c>
      <c r="C4077" s="6">
        <v>94.5</v>
      </c>
      <c r="D4077" s="6">
        <v>110</v>
      </c>
      <c r="E4077" s="6">
        <v>204.5</v>
      </c>
      <c r="F4077" s="11"/>
    </row>
    <row r="4078" spans="1:6">
      <c r="A4078" s="5" t="str">
        <f t="shared" si="72"/>
        <v>202317</v>
      </c>
      <c r="B4078" s="5" t="str">
        <f>"23085032415"</f>
        <v>23085032415</v>
      </c>
      <c r="C4078" s="6">
        <v>90</v>
      </c>
      <c r="D4078" s="6">
        <v>114.5</v>
      </c>
      <c r="E4078" s="6">
        <v>204.5</v>
      </c>
      <c r="F4078" s="11"/>
    </row>
    <row r="4079" spans="1:6">
      <c r="A4079" s="5" t="str">
        <f t="shared" si="72"/>
        <v>202317</v>
      </c>
      <c r="B4079" s="5" t="str">
        <f>"23085033608"</f>
        <v>23085033608</v>
      </c>
      <c r="C4079" s="6">
        <v>93</v>
      </c>
      <c r="D4079" s="6">
        <v>111.5</v>
      </c>
      <c r="E4079" s="6">
        <v>204.5</v>
      </c>
      <c r="F4079" s="11"/>
    </row>
    <row r="4080" spans="1:6">
      <c r="A4080" s="5" t="str">
        <f t="shared" si="72"/>
        <v>202317</v>
      </c>
      <c r="B4080" s="5" t="str">
        <f>"23085040418"</f>
        <v>23085040418</v>
      </c>
      <c r="C4080" s="6">
        <v>94.5</v>
      </c>
      <c r="D4080" s="6">
        <v>110</v>
      </c>
      <c r="E4080" s="6">
        <v>204.5</v>
      </c>
      <c r="F4080" s="11"/>
    </row>
    <row r="4081" spans="1:6">
      <c r="A4081" s="5" t="str">
        <f t="shared" si="72"/>
        <v>202317</v>
      </c>
      <c r="B4081" s="5" t="str">
        <f>"23085032219"</f>
        <v>23085032219</v>
      </c>
      <c r="C4081" s="6">
        <v>94.5</v>
      </c>
      <c r="D4081" s="6">
        <v>110</v>
      </c>
      <c r="E4081" s="6">
        <v>204.5</v>
      </c>
      <c r="F4081" s="11"/>
    </row>
    <row r="4082" spans="1:6">
      <c r="A4082" s="5" t="str">
        <f t="shared" si="72"/>
        <v>202317</v>
      </c>
      <c r="B4082" s="5" t="str">
        <f>"23085033207"</f>
        <v>23085033207</v>
      </c>
      <c r="C4082" s="6">
        <v>84</v>
      </c>
      <c r="D4082" s="6">
        <v>120.5</v>
      </c>
      <c r="E4082" s="6">
        <v>204.5</v>
      </c>
      <c r="F4082" s="11"/>
    </row>
    <row r="4083" spans="1:6">
      <c r="A4083" s="5" t="str">
        <f t="shared" si="72"/>
        <v>202317</v>
      </c>
      <c r="B4083" s="5" t="str">
        <f>"23085040116"</f>
        <v>23085040116</v>
      </c>
      <c r="C4083" s="6">
        <v>96</v>
      </c>
      <c r="D4083" s="6">
        <v>108</v>
      </c>
      <c r="E4083" s="6">
        <v>204</v>
      </c>
      <c r="F4083" s="11"/>
    </row>
    <row r="4084" spans="1:6">
      <c r="A4084" s="5" t="str">
        <f t="shared" si="72"/>
        <v>202317</v>
      </c>
      <c r="B4084" s="5" t="str">
        <f>"23085033222"</f>
        <v>23085033222</v>
      </c>
      <c r="C4084" s="6">
        <v>93</v>
      </c>
      <c r="D4084" s="6">
        <v>111</v>
      </c>
      <c r="E4084" s="6">
        <v>204</v>
      </c>
      <c r="F4084" s="11"/>
    </row>
    <row r="4085" spans="1:6">
      <c r="A4085" s="5" t="str">
        <f t="shared" si="72"/>
        <v>202317</v>
      </c>
      <c r="B4085" s="5" t="str">
        <f>"23085032701"</f>
        <v>23085032701</v>
      </c>
      <c r="C4085" s="6">
        <v>90</v>
      </c>
      <c r="D4085" s="6">
        <v>114</v>
      </c>
      <c r="E4085" s="6">
        <v>204</v>
      </c>
      <c r="F4085" s="11"/>
    </row>
    <row r="4086" spans="1:6">
      <c r="A4086" s="5" t="str">
        <f t="shared" si="72"/>
        <v>202317</v>
      </c>
      <c r="B4086" s="5" t="str">
        <f>"23085033709"</f>
        <v>23085033709</v>
      </c>
      <c r="C4086" s="6">
        <v>90</v>
      </c>
      <c r="D4086" s="6">
        <v>114</v>
      </c>
      <c r="E4086" s="6">
        <v>204</v>
      </c>
      <c r="F4086" s="11"/>
    </row>
    <row r="4087" spans="1:6">
      <c r="A4087" s="5" t="str">
        <f t="shared" si="72"/>
        <v>202317</v>
      </c>
      <c r="B4087" s="5" t="str">
        <f>"23085033613"</f>
        <v>23085033613</v>
      </c>
      <c r="C4087" s="6">
        <v>109.5</v>
      </c>
      <c r="D4087" s="6">
        <v>94</v>
      </c>
      <c r="E4087" s="6">
        <v>203.5</v>
      </c>
      <c r="F4087" s="11"/>
    </row>
    <row r="4088" spans="1:6">
      <c r="A4088" s="5" t="str">
        <f t="shared" si="72"/>
        <v>202317</v>
      </c>
      <c r="B4088" s="5" t="str">
        <f>"23085040316"</f>
        <v>23085040316</v>
      </c>
      <c r="C4088" s="6">
        <v>88.5</v>
      </c>
      <c r="D4088" s="6">
        <v>115</v>
      </c>
      <c r="E4088" s="6">
        <v>203.5</v>
      </c>
      <c r="F4088" s="11"/>
    </row>
    <row r="4089" spans="1:6">
      <c r="A4089" s="5" t="str">
        <f t="shared" si="72"/>
        <v>202317</v>
      </c>
      <c r="B4089" s="5" t="str">
        <f>"23085034001"</f>
        <v>23085034001</v>
      </c>
      <c r="C4089" s="6">
        <v>96</v>
      </c>
      <c r="D4089" s="6">
        <v>107.5</v>
      </c>
      <c r="E4089" s="6">
        <v>203.5</v>
      </c>
      <c r="F4089" s="11"/>
    </row>
    <row r="4090" spans="1:6">
      <c r="A4090" s="5" t="str">
        <f t="shared" si="72"/>
        <v>202317</v>
      </c>
      <c r="B4090" s="5" t="str">
        <f>"23085032523"</f>
        <v>23085032523</v>
      </c>
      <c r="C4090" s="6">
        <v>87</v>
      </c>
      <c r="D4090" s="6">
        <v>116.5</v>
      </c>
      <c r="E4090" s="6">
        <v>203.5</v>
      </c>
      <c r="F4090" s="11"/>
    </row>
    <row r="4091" spans="1:6">
      <c r="A4091" s="5" t="str">
        <f t="shared" si="72"/>
        <v>202317</v>
      </c>
      <c r="B4091" s="5" t="str">
        <f>"23085040212"</f>
        <v>23085040212</v>
      </c>
      <c r="C4091" s="6">
        <v>88.5</v>
      </c>
      <c r="D4091" s="6">
        <v>115</v>
      </c>
      <c r="E4091" s="6">
        <v>203.5</v>
      </c>
      <c r="F4091" s="11"/>
    </row>
    <row r="4092" spans="1:6">
      <c r="A4092" s="5" t="str">
        <f t="shared" si="72"/>
        <v>202317</v>
      </c>
      <c r="B4092" s="5" t="str">
        <f>"23085033318"</f>
        <v>23085033318</v>
      </c>
      <c r="C4092" s="6">
        <v>90</v>
      </c>
      <c r="D4092" s="6">
        <v>113.5</v>
      </c>
      <c r="E4092" s="6">
        <v>203.5</v>
      </c>
      <c r="F4092" s="11"/>
    </row>
    <row r="4093" spans="1:6">
      <c r="A4093" s="5" t="str">
        <f t="shared" si="72"/>
        <v>202317</v>
      </c>
      <c r="B4093" s="5" t="str">
        <f>"23085033705"</f>
        <v>23085033705</v>
      </c>
      <c r="C4093" s="6">
        <v>91.5</v>
      </c>
      <c r="D4093" s="6">
        <v>112</v>
      </c>
      <c r="E4093" s="6">
        <v>203.5</v>
      </c>
      <c r="F4093" s="11"/>
    </row>
    <row r="4094" spans="1:6">
      <c r="A4094" s="5" t="str">
        <f t="shared" si="72"/>
        <v>202317</v>
      </c>
      <c r="B4094" s="5" t="str">
        <f>"23085032905"</f>
        <v>23085032905</v>
      </c>
      <c r="C4094" s="6">
        <v>90</v>
      </c>
      <c r="D4094" s="6">
        <v>113</v>
      </c>
      <c r="E4094" s="6">
        <v>203</v>
      </c>
      <c r="F4094" s="11"/>
    </row>
    <row r="4095" spans="1:6">
      <c r="A4095" s="5" t="str">
        <f t="shared" si="72"/>
        <v>202317</v>
      </c>
      <c r="B4095" s="5" t="str">
        <f>"23085033601"</f>
        <v>23085033601</v>
      </c>
      <c r="C4095" s="6">
        <v>88.5</v>
      </c>
      <c r="D4095" s="6">
        <v>114.5</v>
      </c>
      <c r="E4095" s="6">
        <v>203</v>
      </c>
      <c r="F4095" s="11"/>
    </row>
    <row r="4096" spans="1:6">
      <c r="A4096" s="5" t="str">
        <f t="shared" ref="A4096:A4159" si="73">"202317"</f>
        <v>202317</v>
      </c>
      <c r="B4096" s="5" t="str">
        <f>"23085032008"</f>
        <v>23085032008</v>
      </c>
      <c r="C4096" s="6">
        <v>93</v>
      </c>
      <c r="D4096" s="6">
        <v>110</v>
      </c>
      <c r="E4096" s="6">
        <v>203</v>
      </c>
      <c r="F4096" s="11"/>
    </row>
    <row r="4097" spans="1:6">
      <c r="A4097" s="5" t="str">
        <f t="shared" si="73"/>
        <v>202317</v>
      </c>
      <c r="B4097" s="5" t="str">
        <f>"23085032508"</f>
        <v>23085032508</v>
      </c>
      <c r="C4097" s="6">
        <v>93</v>
      </c>
      <c r="D4097" s="6">
        <v>110</v>
      </c>
      <c r="E4097" s="6">
        <v>203</v>
      </c>
      <c r="F4097" s="11"/>
    </row>
    <row r="4098" spans="1:6">
      <c r="A4098" s="5" t="str">
        <f t="shared" si="73"/>
        <v>202317</v>
      </c>
      <c r="B4098" s="5" t="str">
        <f>"23085033625"</f>
        <v>23085033625</v>
      </c>
      <c r="C4098" s="6">
        <v>91.5</v>
      </c>
      <c r="D4098" s="6">
        <v>111</v>
      </c>
      <c r="E4098" s="6">
        <v>202.5</v>
      </c>
      <c r="F4098" s="11"/>
    </row>
    <row r="4099" spans="1:6">
      <c r="A4099" s="5" t="str">
        <f t="shared" si="73"/>
        <v>202317</v>
      </c>
      <c r="B4099" s="5" t="str">
        <f>"23085040603"</f>
        <v>23085040603</v>
      </c>
      <c r="C4099" s="6">
        <v>91.5</v>
      </c>
      <c r="D4099" s="6">
        <v>111</v>
      </c>
      <c r="E4099" s="6">
        <v>202.5</v>
      </c>
      <c r="F4099" s="11"/>
    </row>
    <row r="4100" spans="1:6">
      <c r="A4100" s="5" t="str">
        <f t="shared" si="73"/>
        <v>202317</v>
      </c>
      <c r="B4100" s="5" t="str">
        <f>"23085033107"</f>
        <v>23085033107</v>
      </c>
      <c r="C4100" s="6">
        <v>79.5</v>
      </c>
      <c r="D4100" s="6">
        <v>123</v>
      </c>
      <c r="E4100" s="6">
        <v>202.5</v>
      </c>
      <c r="F4100" s="11"/>
    </row>
    <row r="4101" spans="1:6">
      <c r="A4101" s="5" t="str">
        <f t="shared" si="73"/>
        <v>202317</v>
      </c>
      <c r="B4101" s="5" t="str">
        <f>"23085033411"</f>
        <v>23085033411</v>
      </c>
      <c r="C4101" s="6">
        <v>91.5</v>
      </c>
      <c r="D4101" s="6">
        <v>111</v>
      </c>
      <c r="E4101" s="6">
        <v>202.5</v>
      </c>
      <c r="F4101" s="11"/>
    </row>
    <row r="4102" spans="1:6">
      <c r="A4102" s="5" t="str">
        <f t="shared" si="73"/>
        <v>202317</v>
      </c>
      <c r="B4102" s="5" t="str">
        <f>"23085033622"</f>
        <v>23085033622</v>
      </c>
      <c r="C4102" s="6">
        <v>87</v>
      </c>
      <c r="D4102" s="6">
        <v>115.5</v>
      </c>
      <c r="E4102" s="6">
        <v>202.5</v>
      </c>
      <c r="F4102" s="11"/>
    </row>
    <row r="4103" spans="1:6">
      <c r="A4103" s="5" t="str">
        <f t="shared" si="73"/>
        <v>202317</v>
      </c>
      <c r="B4103" s="5" t="str">
        <f>"23085032408"</f>
        <v>23085032408</v>
      </c>
      <c r="C4103" s="6">
        <v>85.5</v>
      </c>
      <c r="D4103" s="6">
        <v>117</v>
      </c>
      <c r="E4103" s="6">
        <v>202.5</v>
      </c>
      <c r="F4103" s="11"/>
    </row>
    <row r="4104" spans="1:6">
      <c r="A4104" s="5" t="str">
        <f t="shared" si="73"/>
        <v>202317</v>
      </c>
      <c r="B4104" s="5" t="str">
        <f>"23085033528"</f>
        <v>23085033528</v>
      </c>
      <c r="C4104" s="6">
        <v>93</v>
      </c>
      <c r="D4104" s="6">
        <v>109.5</v>
      </c>
      <c r="E4104" s="6">
        <v>202.5</v>
      </c>
      <c r="F4104" s="11"/>
    </row>
    <row r="4105" spans="1:6">
      <c r="A4105" s="5" t="str">
        <f t="shared" si="73"/>
        <v>202317</v>
      </c>
      <c r="B4105" s="5" t="str">
        <f>"23085033519"</f>
        <v>23085033519</v>
      </c>
      <c r="C4105" s="6">
        <v>87</v>
      </c>
      <c r="D4105" s="6">
        <v>115.5</v>
      </c>
      <c r="E4105" s="6">
        <v>202.5</v>
      </c>
      <c r="F4105" s="11"/>
    </row>
    <row r="4106" spans="1:6">
      <c r="A4106" s="5" t="str">
        <f t="shared" si="73"/>
        <v>202317</v>
      </c>
      <c r="B4106" s="5" t="str">
        <f>"23085032009"</f>
        <v>23085032009</v>
      </c>
      <c r="C4106" s="6">
        <v>90</v>
      </c>
      <c r="D4106" s="6">
        <v>112.5</v>
      </c>
      <c r="E4106" s="6">
        <v>202.5</v>
      </c>
      <c r="F4106" s="11"/>
    </row>
    <row r="4107" spans="1:6">
      <c r="A4107" s="5" t="str">
        <f t="shared" si="73"/>
        <v>202317</v>
      </c>
      <c r="B4107" s="5" t="str">
        <f>"23085032918"</f>
        <v>23085032918</v>
      </c>
      <c r="C4107" s="6">
        <v>93</v>
      </c>
      <c r="D4107" s="6">
        <v>109.5</v>
      </c>
      <c r="E4107" s="6">
        <v>202.5</v>
      </c>
      <c r="F4107" s="11"/>
    </row>
    <row r="4108" spans="1:6">
      <c r="A4108" s="5" t="str">
        <f t="shared" si="73"/>
        <v>202317</v>
      </c>
      <c r="B4108" s="5" t="str">
        <f>"23085040517"</f>
        <v>23085040517</v>
      </c>
      <c r="C4108" s="6">
        <v>109.5</v>
      </c>
      <c r="D4108" s="6">
        <v>92.5</v>
      </c>
      <c r="E4108" s="6">
        <v>202</v>
      </c>
      <c r="F4108" s="11"/>
    </row>
    <row r="4109" spans="1:6">
      <c r="A4109" s="5" t="str">
        <f t="shared" si="73"/>
        <v>202317</v>
      </c>
      <c r="B4109" s="5" t="str">
        <f>"23085033221"</f>
        <v>23085033221</v>
      </c>
      <c r="C4109" s="6">
        <v>85.5</v>
      </c>
      <c r="D4109" s="6">
        <v>116.5</v>
      </c>
      <c r="E4109" s="6">
        <v>202</v>
      </c>
      <c r="F4109" s="11"/>
    </row>
    <row r="4110" spans="1:6">
      <c r="A4110" s="5" t="str">
        <f t="shared" si="73"/>
        <v>202317</v>
      </c>
      <c r="B4110" s="5" t="str">
        <f>"23085040224"</f>
        <v>23085040224</v>
      </c>
      <c r="C4110" s="6">
        <v>90</v>
      </c>
      <c r="D4110" s="6">
        <v>112</v>
      </c>
      <c r="E4110" s="6">
        <v>202</v>
      </c>
      <c r="F4110" s="11"/>
    </row>
    <row r="4111" spans="1:6">
      <c r="A4111" s="5" t="str">
        <f t="shared" si="73"/>
        <v>202317</v>
      </c>
      <c r="B4111" s="5" t="str">
        <f>"23085032806"</f>
        <v>23085032806</v>
      </c>
      <c r="C4111" s="6">
        <v>87</v>
      </c>
      <c r="D4111" s="6">
        <v>115</v>
      </c>
      <c r="E4111" s="6">
        <v>202</v>
      </c>
      <c r="F4111" s="11"/>
    </row>
    <row r="4112" spans="1:6">
      <c r="A4112" s="5" t="str">
        <f t="shared" si="73"/>
        <v>202317</v>
      </c>
      <c r="B4112" s="5" t="str">
        <f>"23085033921"</f>
        <v>23085033921</v>
      </c>
      <c r="C4112" s="6">
        <v>93</v>
      </c>
      <c r="D4112" s="6">
        <v>109</v>
      </c>
      <c r="E4112" s="6">
        <v>202</v>
      </c>
      <c r="F4112" s="11"/>
    </row>
    <row r="4113" spans="1:6">
      <c r="A4113" s="5" t="str">
        <f t="shared" si="73"/>
        <v>202317</v>
      </c>
      <c r="B4113" s="5" t="str">
        <f>"23085033806"</f>
        <v>23085033806</v>
      </c>
      <c r="C4113" s="6">
        <v>96</v>
      </c>
      <c r="D4113" s="6">
        <v>106</v>
      </c>
      <c r="E4113" s="6">
        <v>202</v>
      </c>
      <c r="F4113" s="11"/>
    </row>
    <row r="4114" spans="1:6">
      <c r="A4114" s="5" t="str">
        <f t="shared" si="73"/>
        <v>202317</v>
      </c>
      <c r="B4114" s="5" t="str">
        <f>"23085034013"</f>
        <v>23085034013</v>
      </c>
      <c r="C4114" s="6">
        <v>87</v>
      </c>
      <c r="D4114" s="6">
        <v>115</v>
      </c>
      <c r="E4114" s="6">
        <v>202</v>
      </c>
      <c r="F4114" s="11"/>
    </row>
    <row r="4115" spans="1:6">
      <c r="A4115" s="5" t="str">
        <f t="shared" si="73"/>
        <v>202317</v>
      </c>
      <c r="B4115" s="5" t="str">
        <f>"23085033030"</f>
        <v>23085033030</v>
      </c>
      <c r="C4115" s="6">
        <v>93</v>
      </c>
      <c r="D4115" s="6">
        <v>108.5</v>
      </c>
      <c r="E4115" s="6">
        <v>201.5</v>
      </c>
      <c r="F4115" s="11"/>
    </row>
    <row r="4116" spans="1:6">
      <c r="A4116" s="5" t="str">
        <f t="shared" si="73"/>
        <v>202317</v>
      </c>
      <c r="B4116" s="5" t="str">
        <f>"23085040415"</f>
        <v>23085040415</v>
      </c>
      <c r="C4116" s="6">
        <v>99</v>
      </c>
      <c r="D4116" s="6">
        <v>102</v>
      </c>
      <c r="E4116" s="6">
        <v>201</v>
      </c>
      <c r="F4116" s="11"/>
    </row>
    <row r="4117" spans="1:6">
      <c r="A4117" s="5" t="str">
        <f t="shared" si="73"/>
        <v>202317</v>
      </c>
      <c r="B4117" s="5" t="str">
        <f>"23085032125"</f>
        <v>23085032125</v>
      </c>
      <c r="C4117" s="6">
        <v>100.5</v>
      </c>
      <c r="D4117" s="6">
        <v>100.5</v>
      </c>
      <c r="E4117" s="6">
        <v>201</v>
      </c>
      <c r="F4117" s="11"/>
    </row>
    <row r="4118" spans="1:6">
      <c r="A4118" s="5" t="str">
        <f t="shared" si="73"/>
        <v>202317</v>
      </c>
      <c r="B4118" s="5" t="str">
        <f>"23085033226"</f>
        <v>23085033226</v>
      </c>
      <c r="C4118" s="6">
        <v>91.5</v>
      </c>
      <c r="D4118" s="6">
        <v>109.5</v>
      </c>
      <c r="E4118" s="6">
        <v>201</v>
      </c>
      <c r="F4118" s="11"/>
    </row>
    <row r="4119" spans="1:6">
      <c r="A4119" s="5" t="str">
        <f t="shared" si="73"/>
        <v>202317</v>
      </c>
      <c r="B4119" s="5" t="str">
        <f>"23085032310"</f>
        <v>23085032310</v>
      </c>
      <c r="C4119" s="6">
        <v>96</v>
      </c>
      <c r="D4119" s="6">
        <v>105</v>
      </c>
      <c r="E4119" s="6">
        <v>201</v>
      </c>
      <c r="F4119" s="11"/>
    </row>
    <row r="4120" spans="1:6">
      <c r="A4120" s="5" t="str">
        <f t="shared" si="73"/>
        <v>202317</v>
      </c>
      <c r="B4120" s="5" t="str">
        <f>"23085033612"</f>
        <v>23085033612</v>
      </c>
      <c r="C4120" s="6">
        <v>96</v>
      </c>
      <c r="D4120" s="6">
        <v>105</v>
      </c>
      <c r="E4120" s="6">
        <v>201</v>
      </c>
      <c r="F4120" s="11"/>
    </row>
    <row r="4121" spans="1:6">
      <c r="A4121" s="5" t="str">
        <f t="shared" si="73"/>
        <v>202317</v>
      </c>
      <c r="B4121" s="5" t="str">
        <f>"23085032428"</f>
        <v>23085032428</v>
      </c>
      <c r="C4121" s="6">
        <v>85.5</v>
      </c>
      <c r="D4121" s="6">
        <v>115.5</v>
      </c>
      <c r="E4121" s="6">
        <v>201</v>
      </c>
      <c r="F4121" s="11"/>
    </row>
    <row r="4122" spans="1:6">
      <c r="A4122" s="5" t="str">
        <f t="shared" si="73"/>
        <v>202317</v>
      </c>
      <c r="B4122" s="5" t="str">
        <f>"23085031826"</f>
        <v>23085031826</v>
      </c>
      <c r="C4122" s="6">
        <v>85.5</v>
      </c>
      <c r="D4122" s="6">
        <v>115</v>
      </c>
      <c r="E4122" s="6">
        <v>200.5</v>
      </c>
      <c r="F4122" s="11"/>
    </row>
    <row r="4123" spans="1:6">
      <c r="A4123" s="5" t="str">
        <f t="shared" si="73"/>
        <v>202317</v>
      </c>
      <c r="B4123" s="5" t="str">
        <f>"23085032123"</f>
        <v>23085032123</v>
      </c>
      <c r="C4123" s="6">
        <v>94.5</v>
      </c>
      <c r="D4123" s="6">
        <v>106</v>
      </c>
      <c r="E4123" s="6">
        <v>200.5</v>
      </c>
      <c r="F4123" s="11"/>
    </row>
    <row r="4124" spans="1:6">
      <c r="A4124" s="5" t="str">
        <f t="shared" si="73"/>
        <v>202317</v>
      </c>
      <c r="B4124" s="5" t="str">
        <f>"23085032425"</f>
        <v>23085032425</v>
      </c>
      <c r="C4124" s="6">
        <v>82.5</v>
      </c>
      <c r="D4124" s="6">
        <v>118</v>
      </c>
      <c r="E4124" s="6">
        <v>200.5</v>
      </c>
      <c r="F4124" s="11"/>
    </row>
    <row r="4125" spans="1:6">
      <c r="A4125" s="5" t="str">
        <f t="shared" si="73"/>
        <v>202317</v>
      </c>
      <c r="B4125" s="5" t="str">
        <f>"23085032613"</f>
        <v>23085032613</v>
      </c>
      <c r="C4125" s="6">
        <v>87</v>
      </c>
      <c r="D4125" s="6">
        <v>113.5</v>
      </c>
      <c r="E4125" s="6">
        <v>200.5</v>
      </c>
      <c r="F4125" s="11"/>
    </row>
    <row r="4126" spans="1:6">
      <c r="A4126" s="5" t="str">
        <f t="shared" si="73"/>
        <v>202317</v>
      </c>
      <c r="B4126" s="5" t="str">
        <f>"23085040206"</f>
        <v>23085040206</v>
      </c>
      <c r="C4126" s="6">
        <v>87</v>
      </c>
      <c r="D4126" s="6">
        <v>113.5</v>
      </c>
      <c r="E4126" s="6">
        <v>200.5</v>
      </c>
      <c r="F4126" s="11"/>
    </row>
    <row r="4127" spans="1:6">
      <c r="A4127" s="5" t="str">
        <f t="shared" si="73"/>
        <v>202317</v>
      </c>
      <c r="B4127" s="5" t="str">
        <f>"23085040520"</f>
        <v>23085040520</v>
      </c>
      <c r="C4127" s="6">
        <v>88.5</v>
      </c>
      <c r="D4127" s="6">
        <v>111.5</v>
      </c>
      <c r="E4127" s="6">
        <v>200</v>
      </c>
      <c r="F4127" s="11"/>
    </row>
    <row r="4128" spans="1:6">
      <c r="A4128" s="5" t="str">
        <f t="shared" si="73"/>
        <v>202317</v>
      </c>
      <c r="B4128" s="5" t="str">
        <f>"23085033429"</f>
        <v>23085033429</v>
      </c>
      <c r="C4128" s="6">
        <v>97.5</v>
      </c>
      <c r="D4128" s="6">
        <v>102.5</v>
      </c>
      <c r="E4128" s="6">
        <v>200</v>
      </c>
      <c r="F4128" s="11"/>
    </row>
    <row r="4129" spans="1:6">
      <c r="A4129" s="5" t="str">
        <f t="shared" si="73"/>
        <v>202317</v>
      </c>
      <c r="B4129" s="5" t="str">
        <f>"23085032520"</f>
        <v>23085032520</v>
      </c>
      <c r="C4129" s="6">
        <v>90</v>
      </c>
      <c r="D4129" s="6">
        <v>110</v>
      </c>
      <c r="E4129" s="6">
        <v>200</v>
      </c>
      <c r="F4129" s="11"/>
    </row>
    <row r="4130" spans="1:6">
      <c r="A4130" s="5" t="str">
        <f t="shared" si="73"/>
        <v>202317</v>
      </c>
      <c r="B4130" s="5" t="str">
        <f>"23085032007"</f>
        <v>23085032007</v>
      </c>
      <c r="C4130" s="6">
        <v>79.5</v>
      </c>
      <c r="D4130" s="6">
        <v>120</v>
      </c>
      <c r="E4130" s="6">
        <v>199.5</v>
      </c>
      <c r="F4130" s="11"/>
    </row>
    <row r="4131" spans="1:6">
      <c r="A4131" s="5" t="str">
        <f t="shared" si="73"/>
        <v>202317</v>
      </c>
      <c r="B4131" s="5" t="str">
        <f>"23085040215"</f>
        <v>23085040215</v>
      </c>
      <c r="C4131" s="6">
        <v>93</v>
      </c>
      <c r="D4131" s="6">
        <v>106.5</v>
      </c>
      <c r="E4131" s="6">
        <v>199.5</v>
      </c>
      <c r="F4131" s="11"/>
    </row>
    <row r="4132" spans="1:6">
      <c r="A4132" s="5" t="str">
        <f t="shared" si="73"/>
        <v>202317</v>
      </c>
      <c r="B4132" s="5" t="str">
        <f>"23085033517"</f>
        <v>23085033517</v>
      </c>
      <c r="C4132" s="6">
        <v>82.5</v>
      </c>
      <c r="D4132" s="6">
        <v>117</v>
      </c>
      <c r="E4132" s="6">
        <v>199.5</v>
      </c>
      <c r="F4132" s="11"/>
    </row>
    <row r="4133" spans="1:6">
      <c r="A4133" s="5" t="str">
        <f t="shared" si="73"/>
        <v>202317</v>
      </c>
      <c r="B4133" s="5" t="str">
        <f>"23085032114"</f>
        <v>23085032114</v>
      </c>
      <c r="C4133" s="6">
        <v>87</v>
      </c>
      <c r="D4133" s="6">
        <v>112.5</v>
      </c>
      <c r="E4133" s="6">
        <v>199.5</v>
      </c>
      <c r="F4133" s="11"/>
    </row>
    <row r="4134" spans="1:6">
      <c r="A4134" s="5" t="str">
        <f t="shared" si="73"/>
        <v>202317</v>
      </c>
      <c r="B4134" s="5" t="str">
        <f>"23085033230"</f>
        <v>23085033230</v>
      </c>
      <c r="C4134" s="6">
        <v>82.5</v>
      </c>
      <c r="D4134" s="6">
        <v>116.5</v>
      </c>
      <c r="E4134" s="6">
        <v>199</v>
      </c>
      <c r="F4134" s="11"/>
    </row>
    <row r="4135" spans="1:6">
      <c r="A4135" s="5" t="str">
        <f t="shared" si="73"/>
        <v>202317</v>
      </c>
      <c r="B4135" s="5" t="str">
        <f>"23085033917"</f>
        <v>23085033917</v>
      </c>
      <c r="C4135" s="6">
        <v>82.5</v>
      </c>
      <c r="D4135" s="6">
        <v>116.5</v>
      </c>
      <c r="E4135" s="6">
        <v>199</v>
      </c>
      <c r="F4135" s="11"/>
    </row>
    <row r="4136" spans="1:6">
      <c r="A4136" s="5" t="str">
        <f t="shared" si="73"/>
        <v>202317</v>
      </c>
      <c r="B4136" s="5" t="str">
        <f>"23085032109"</f>
        <v>23085032109</v>
      </c>
      <c r="C4136" s="6">
        <v>84</v>
      </c>
      <c r="D4136" s="6">
        <v>115</v>
      </c>
      <c r="E4136" s="6">
        <v>199</v>
      </c>
      <c r="F4136" s="11"/>
    </row>
    <row r="4137" spans="1:6">
      <c r="A4137" s="5" t="str">
        <f t="shared" si="73"/>
        <v>202317</v>
      </c>
      <c r="B4137" s="5" t="str">
        <f>"23085033602"</f>
        <v>23085033602</v>
      </c>
      <c r="C4137" s="6">
        <v>82.5</v>
      </c>
      <c r="D4137" s="6">
        <v>116.5</v>
      </c>
      <c r="E4137" s="6">
        <v>199</v>
      </c>
      <c r="F4137" s="11"/>
    </row>
    <row r="4138" spans="1:6">
      <c r="A4138" s="5" t="str">
        <f t="shared" si="73"/>
        <v>202317</v>
      </c>
      <c r="B4138" s="5" t="str">
        <f>"23085032529"</f>
        <v>23085032529</v>
      </c>
      <c r="C4138" s="6">
        <v>84</v>
      </c>
      <c r="D4138" s="6">
        <v>115</v>
      </c>
      <c r="E4138" s="6">
        <v>199</v>
      </c>
      <c r="F4138" s="11"/>
    </row>
    <row r="4139" spans="1:6">
      <c r="A4139" s="5" t="str">
        <f t="shared" si="73"/>
        <v>202317</v>
      </c>
      <c r="B4139" s="5" t="str">
        <f>"23085033830"</f>
        <v>23085033830</v>
      </c>
      <c r="C4139" s="6">
        <v>85.5</v>
      </c>
      <c r="D4139" s="6">
        <v>113.5</v>
      </c>
      <c r="E4139" s="6">
        <v>199</v>
      </c>
      <c r="F4139" s="11"/>
    </row>
    <row r="4140" spans="1:6">
      <c r="A4140" s="5" t="str">
        <f t="shared" si="73"/>
        <v>202317</v>
      </c>
      <c r="B4140" s="5" t="str">
        <f>"23085033628"</f>
        <v>23085033628</v>
      </c>
      <c r="C4140" s="6">
        <v>90</v>
      </c>
      <c r="D4140" s="6">
        <v>109</v>
      </c>
      <c r="E4140" s="6">
        <v>199</v>
      </c>
      <c r="F4140" s="11"/>
    </row>
    <row r="4141" spans="1:6">
      <c r="A4141" s="5" t="str">
        <f t="shared" si="73"/>
        <v>202317</v>
      </c>
      <c r="B4141" s="5" t="str">
        <f>"23085032309"</f>
        <v>23085032309</v>
      </c>
      <c r="C4141" s="6">
        <v>82.5</v>
      </c>
      <c r="D4141" s="6">
        <v>116</v>
      </c>
      <c r="E4141" s="6">
        <v>198.5</v>
      </c>
      <c r="F4141" s="11"/>
    </row>
    <row r="4142" spans="1:6">
      <c r="A4142" s="5" t="str">
        <f t="shared" si="73"/>
        <v>202317</v>
      </c>
      <c r="B4142" s="5" t="str">
        <f>"23085032317"</f>
        <v>23085032317</v>
      </c>
      <c r="C4142" s="6">
        <v>84</v>
      </c>
      <c r="D4142" s="6">
        <v>114.5</v>
      </c>
      <c r="E4142" s="6">
        <v>198.5</v>
      </c>
      <c r="F4142" s="11"/>
    </row>
    <row r="4143" spans="1:6">
      <c r="A4143" s="5" t="str">
        <f t="shared" si="73"/>
        <v>202317</v>
      </c>
      <c r="B4143" s="5" t="str">
        <f>"23085033312"</f>
        <v>23085033312</v>
      </c>
      <c r="C4143" s="6">
        <v>87</v>
      </c>
      <c r="D4143" s="6">
        <v>111.5</v>
      </c>
      <c r="E4143" s="6">
        <v>198.5</v>
      </c>
      <c r="F4143" s="11"/>
    </row>
    <row r="4144" spans="1:6">
      <c r="A4144" s="5" t="str">
        <f t="shared" si="73"/>
        <v>202317</v>
      </c>
      <c r="B4144" s="5" t="str">
        <f>"23085032505"</f>
        <v>23085032505</v>
      </c>
      <c r="C4144" s="6">
        <v>85.5</v>
      </c>
      <c r="D4144" s="6">
        <v>113</v>
      </c>
      <c r="E4144" s="6">
        <v>198.5</v>
      </c>
      <c r="F4144" s="11"/>
    </row>
    <row r="4145" spans="1:6">
      <c r="A4145" s="5" t="str">
        <f t="shared" si="73"/>
        <v>202317</v>
      </c>
      <c r="B4145" s="5" t="str">
        <f>"23085032117"</f>
        <v>23085032117</v>
      </c>
      <c r="C4145" s="6">
        <v>82.5</v>
      </c>
      <c r="D4145" s="6">
        <v>116</v>
      </c>
      <c r="E4145" s="6">
        <v>198.5</v>
      </c>
      <c r="F4145" s="11"/>
    </row>
    <row r="4146" spans="1:6">
      <c r="A4146" s="5" t="str">
        <f t="shared" si="73"/>
        <v>202317</v>
      </c>
      <c r="B4146" s="5" t="str">
        <f>"23085031828"</f>
        <v>23085031828</v>
      </c>
      <c r="C4146" s="6">
        <v>84</v>
      </c>
      <c r="D4146" s="6">
        <v>114.5</v>
      </c>
      <c r="E4146" s="6">
        <v>198.5</v>
      </c>
      <c r="F4146" s="11"/>
    </row>
    <row r="4147" spans="1:6">
      <c r="A4147" s="5" t="str">
        <f t="shared" si="73"/>
        <v>202317</v>
      </c>
      <c r="B4147" s="5" t="str">
        <f>"23085040306"</f>
        <v>23085040306</v>
      </c>
      <c r="C4147" s="6">
        <v>90</v>
      </c>
      <c r="D4147" s="6">
        <v>108.5</v>
      </c>
      <c r="E4147" s="6">
        <v>198.5</v>
      </c>
      <c r="F4147" s="11"/>
    </row>
    <row r="4148" spans="1:6">
      <c r="A4148" s="5" t="str">
        <f t="shared" si="73"/>
        <v>202317</v>
      </c>
      <c r="B4148" s="5" t="str">
        <f>"23085033912"</f>
        <v>23085033912</v>
      </c>
      <c r="C4148" s="6">
        <v>85.5</v>
      </c>
      <c r="D4148" s="6">
        <v>113</v>
      </c>
      <c r="E4148" s="6">
        <v>198.5</v>
      </c>
      <c r="F4148" s="11"/>
    </row>
    <row r="4149" spans="1:6">
      <c r="A4149" s="5" t="str">
        <f t="shared" si="73"/>
        <v>202317</v>
      </c>
      <c r="B4149" s="5" t="str">
        <f>"23085032106"</f>
        <v>23085032106</v>
      </c>
      <c r="C4149" s="6">
        <v>96</v>
      </c>
      <c r="D4149" s="6">
        <v>102.5</v>
      </c>
      <c r="E4149" s="6">
        <v>198.5</v>
      </c>
      <c r="F4149" s="11"/>
    </row>
    <row r="4150" spans="1:6">
      <c r="A4150" s="5" t="str">
        <f t="shared" si="73"/>
        <v>202317</v>
      </c>
      <c r="B4150" s="5" t="str">
        <f>"23085032102"</f>
        <v>23085032102</v>
      </c>
      <c r="C4150" s="6">
        <v>84</v>
      </c>
      <c r="D4150" s="6">
        <v>114.5</v>
      </c>
      <c r="E4150" s="6">
        <v>198.5</v>
      </c>
      <c r="F4150" s="11"/>
    </row>
    <row r="4151" spans="1:6">
      <c r="A4151" s="5" t="str">
        <f t="shared" si="73"/>
        <v>202317</v>
      </c>
      <c r="B4151" s="5" t="str">
        <f>"23085032306"</f>
        <v>23085032306</v>
      </c>
      <c r="C4151" s="6">
        <v>94.5</v>
      </c>
      <c r="D4151" s="6">
        <v>103.5</v>
      </c>
      <c r="E4151" s="6">
        <v>198</v>
      </c>
      <c r="F4151" s="11"/>
    </row>
    <row r="4152" spans="1:6">
      <c r="A4152" s="5" t="str">
        <f t="shared" si="73"/>
        <v>202317</v>
      </c>
      <c r="B4152" s="5" t="str">
        <f>"23085031929"</f>
        <v>23085031929</v>
      </c>
      <c r="C4152" s="6">
        <v>88.5</v>
      </c>
      <c r="D4152" s="6">
        <v>109.5</v>
      </c>
      <c r="E4152" s="6">
        <v>198</v>
      </c>
      <c r="F4152" s="11"/>
    </row>
    <row r="4153" spans="1:6">
      <c r="A4153" s="5" t="str">
        <f t="shared" si="73"/>
        <v>202317</v>
      </c>
      <c r="B4153" s="5" t="str">
        <f>"23085033722"</f>
        <v>23085033722</v>
      </c>
      <c r="C4153" s="6">
        <v>97.5</v>
      </c>
      <c r="D4153" s="6">
        <v>100.5</v>
      </c>
      <c r="E4153" s="6">
        <v>198</v>
      </c>
      <c r="F4153" s="11"/>
    </row>
    <row r="4154" spans="1:6">
      <c r="A4154" s="5" t="str">
        <f t="shared" si="73"/>
        <v>202317</v>
      </c>
      <c r="B4154" s="5" t="str">
        <f>"23085032825"</f>
        <v>23085032825</v>
      </c>
      <c r="C4154" s="6">
        <v>76.5</v>
      </c>
      <c r="D4154" s="6">
        <v>121.5</v>
      </c>
      <c r="E4154" s="6">
        <v>198</v>
      </c>
      <c r="F4154" s="11"/>
    </row>
    <row r="4155" spans="1:6">
      <c r="A4155" s="5" t="str">
        <f t="shared" si="73"/>
        <v>202317</v>
      </c>
      <c r="B4155" s="5" t="str">
        <f>"23085032204"</f>
        <v>23085032204</v>
      </c>
      <c r="C4155" s="6">
        <v>90</v>
      </c>
      <c r="D4155" s="6">
        <v>108</v>
      </c>
      <c r="E4155" s="6">
        <v>198</v>
      </c>
      <c r="F4155" s="11"/>
    </row>
    <row r="4156" spans="1:6">
      <c r="A4156" s="5" t="str">
        <f t="shared" si="73"/>
        <v>202317</v>
      </c>
      <c r="B4156" s="5" t="str">
        <f>"23085032022"</f>
        <v>23085032022</v>
      </c>
      <c r="C4156" s="6">
        <v>85.5</v>
      </c>
      <c r="D4156" s="6">
        <v>112.5</v>
      </c>
      <c r="E4156" s="6">
        <v>198</v>
      </c>
      <c r="F4156" s="11"/>
    </row>
    <row r="4157" spans="1:6">
      <c r="A4157" s="5" t="str">
        <f t="shared" si="73"/>
        <v>202317</v>
      </c>
      <c r="B4157" s="5" t="str">
        <f>"23085032604"</f>
        <v>23085032604</v>
      </c>
      <c r="C4157" s="6">
        <v>85.5</v>
      </c>
      <c r="D4157" s="6">
        <v>112.5</v>
      </c>
      <c r="E4157" s="6">
        <v>198</v>
      </c>
      <c r="F4157" s="11"/>
    </row>
    <row r="4158" spans="1:6">
      <c r="A4158" s="5" t="str">
        <f t="shared" si="73"/>
        <v>202317</v>
      </c>
      <c r="B4158" s="5" t="str">
        <f>"23085031917"</f>
        <v>23085031917</v>
      </c>
      <c r="C4158" s="6">
        <v>79.5</v>
      </c>
      <c r="D4158" s="6">
        <v>118.5</v>
      </c>
      <c r="E4158" s="6">
        <v>198</v>
      </c>
      <c r="F4158" s="11"/>
    </row>
    <row r="4159" spans="1:6">
      <c r="A4159" s="5" t="str">
        <f t="shared" si="73"/>
        <v>202317</v>
      </c>
      <c r="B4159" s="5" t="str">
        <f>"23085034026"</f>
        <v>23085034026</v>
      </c>
      <c r="C4159" s="6">
        <v>85.5</v>
      </c>
      <c r="D4159" s="6">
        <v>112</v>
      </c>
      <c r="E4159" s="6">
        <v>197.5</v>
      </c>
      <c r="F4159" s="11"/>
    </row>
    <row r="4160" spans="1:6">
      <c r="A4160" s="5" t="str">
        <f t="shared" ref="A4160:A4223" si="74">"202317"</f>
        <v>202317</v>
      </c>
      <c r="B4160" s="5" t="str">
        <f>"23085033013"</f>
        <v>23085033013</v>
      </c>
      <c r="C4160" s="6">
        <v>99</v>
      </c>
      <c r="D4160" s="6">
        <v>98.5</v>
      </c>
      <c r="E4160" s="6">
        <v>197.5</v>
      </c>
      <c r="F4160" s="11"/>
    </row>
    <row r="4161" spans="1:6">
      <c r="A4161" s="5" t="str">
        <f t="shared" si="74"/>
        <v>202317</v>
      </c>
      <c r="B4161" s="5" t="str">
        <f>"23085032004"</f>
        <v>23085032004</v>
      </c>
      <c r="C4161" s="6">
        <v>87</v>
      </c>
      <c r="D4161" s="6">
        <v>110.5</v>
      </c>
      <c r="E4161" s="6">
        <v>197.5</v>
      </c>
      <c r="F4161" s="11"/>
    </row>
    <row r="4162" spans="1:6">
      <c r="A4162" s="5" t="str">
        <f t="shared" si="74"/>
        <v>202317</v>
      </c>
      <c r="B4162" s="5" t="str">
        <f>"23085033615"</f>
        <v>23085033615</v>
      </c>
      <c r="C4162" s="6">
        <v>81</v>
      </c>
      <c r="D4162" s="6">
        <v>116.5</v>
      </c>
      <c r="E4162" s="6">
        <v>197.5</v>
      </c>
      <c r="F4162" s="11"/>
    </row>
    <row r="4163" spans="1:6">
      <c r="A4163" s="5" t="str">
        <f t="shared" si="74"/>
        <v>202317</v>
      </c>
      <c r="B4163" s="5" t="str">
        <f>"23085033507"</f>
        <v>23085033507</v>
      </c>
      <c r="C4163" s="6">
        <v>88.5</v>
      </c>
      <c r="D4163" s="6">
        <v>109</v>
      </c>
      <c r="E4163" s="6">
        <v>197.5</v>
      </c>
      <c r="F4163" s="11"/>
    </row>
    <row r="4164" spans="1:6">
      <c r="A4164" s="5" t="str">
        <f t="shared" si="74"/>
        <v>202317</v>
      </c>
      <c r="B4164" s="5" t="str">
        <f>"23085033903"</f>
        <v>23085033903</v>
      </c>
      <c r="C4164" s="6">
        <v>85.5</v>
      </c>
      <c r="D4164" s="6">
        <v>112</v>
      </c>
      <c r="E4164" s="6">
        <v>197.5</v>
      </c>
      <c r="F4164" s="11"/>
    </row>
    <row r="4165" spans="1:6">
      <c r="A4165" s="5" t="str">
        <f t="shared" si="74"/>
        <v>202317</v>
      </c>
      <c r="B4165" s="5" t="str">
        <f>"23085032402"</f>
        <v>23085032402</v>
      </c>
      <c r="C4165" s="6">
        <v>84</v>
      </c>
      <c r="D4165" s="6">
        <v>113.5</v>
      </c>
      <c r="E4165" s="6">
        <v>197.5</v>
      </c>
      <c r="F4165" s="11"/>
    </row>
    <row r="4166" spans="1:6">
      <c r="A4166" s="5" t="str">
        <f t="shared" si="74"/>
        <v>202317</v>
      </c>
      <c r="B4166" s="5" t="str">
        <f>"23085032509"</f>
        <v>23085032509</v>
      </c>
      <c r="C4166" s="6">
        <v>82.5</v>
      </c>
      <c r="D4166" s="6">
        <v>115</v>
      </c>
      <c r="E4166" s="6">
        <v>197.5</v>
      </c>
      <c r="F4166" s="11"/>
    </row>
    <row r="4167" spans="1:6">
      <c r="A4167" s="5" t="str">
        <f t="shared" si="74"/>
        <v>202317</v>
      </c>
      <c r="B4167" s="5" t="str">
        <f>"23085033803"</f>
        <v>23085033803</v>
      </c>
      <c r="C4167" s="6">
        <v>85.5</v>
      </c>
      <c r="D4167" s="6">
        <v>111.5</v>
      </c>
      <c r="E4167" s="6">
        <v>197</v>
      </c>
      <c r="F4167" s="11"/>
    </row>
    <row r="4168" spans="1:6">
      <c r="A4168" s="5" t="str">
        <f t="shared" si="74"/>
        <v>202317</v>
      </c>
      <c r="B4168" s="5" t="str">
        <f>"23085032029"</f>
        <v>23085032029</v>
      </c>
      <c r="C4168" s="6">
        <v>87</v>
      </c>
      <c r="D4168" s="6">
        <v>110</v>
      </c>
      <c r="E4168" s="6">
        <v>197</v>
      </c>
      <c r="F4168" s="11"/>
    </row>
    <row r="4169" spans="1:6">
      <c r="A4169" s="5" t="str">
        <f t="shared" si="74"/>
        <v>202317</v>
      </c>
      <c r="B4169" s="5" t="str">
        <f>"23085032227"</f>
        <v>23085032227</v>
      </c>
      <c r="C4169" s="6">
        <v>85.5</v>
      </c>
      <c r="D4169" s="6">
        <v>111.5</v>
      </c>
      <c r="E4169" s="6">
        <v>197</v>
      </c>
      <c r="F4169" s="11"/>
    </row>
    <row r="4170" spans="1:6">
      <c r="A4170" s="5" t="str">
        <f t="shared" si="74"/>
        <v>202317</v>
      </c>
      <c r="B4170" s="5" t="str">
        <f>"23085033404"</f>
        <v>23085033404</v>
      </c>
      <c r="C4170" s="6">
        <v>82.5</v>
      </c>
      <c r="D4170" s="6">
        <v>114.5</v>
      </c>
      <c r="E4170" s="6">
        <v>197</v>
      </c>
      <c r="F4170" s="11"/>
    </row>
    <row r="4171" spans="1:6">
      <c r="A4171" s="5" t="str">
        <f t="shared" si="74"/>
        <v>202317</v>
      </c>
      <c r="B4171" s="5" t="str">
        <f>"23085033805"</f>
        <v>23085033805</v>
      </c>
      <c r="C4171" s="6">
        <v>84</v>
      </c>
      <c r="D4171" s="6">
        <v>113</v>
      </c>
      <c r="E4171" s="6">
        <v>197</v>
      </c>
      <c r="F4171" s="11"/>
    </row>
    <row r="4172" spans="1:6">
      <c r="A4172" s="5" t="str">
        <f t="shared" si="74"/>
        <v>202317</v>
      </c>
      <c r="B4172" s="5" t="str">
        <f>"23085032621"</f>
        <v>23085032621</v>
      </c>
      <c r="C4172" s="6">
        <v>81</v>
      </c>
      <c r="D4172" s="6">
        <v>116</v>
      </c>
      <c r="E4172" s="6">
        <v>197</v>
      </c>
      <c r="F4172" s="11"/>
    </row>
    <row r="4173" spans="1:6">
      <c r="A4173" s="5" t="str">
        <f t="shared" si="74"/>
        <v>202317</v>
      </c>
      <c r="B4173" s="5" t="str">
        <f>"23085032717"</f>
        <v>23085032717</v>
      </c>
      <c r="C4173" s="6">
        <v>81</v>
      </c>
      <c r="D4173" s="6">
        <v>116</v>
      </c>
      <c r="E4173" s="6">
        <v>197</v>
      </c>
      <c r="F4173" s="11"/>
    </row>
    <row r="4174" spans="1:6">
      <c r="A4174" s="5" t="str">
        <f t="shared" si="74"/>
        <v>202317</v>
      </c>
      <c r="B4174" s="5" t="str">
        <f>"23085032724"</f>
        <v>23085032724</v>
      </c>
      <c r="C4174" s="6">
        <v>96</v>
      </c>
      <c r="D4174" s="6">
        <v>101</v>
      </c>
      <c r="E4174" s="6">
        <v>197</v>
      </c>
      <c r="F4174" s="11"/>
    </row>
    <row r="4175" spans="1:6">
      <c r="A4175" s="5" t="str">
        <f t="shared" si="74"/>
        <v>202317</v>
      </c>
      <c r="B4175" s="5" t="str">
        <f>"23085032907"</f>
        <v>23085032907</v>
      </c>
      <c r="C4175" s="6">
        <v>88.5</v>
      </c>
      <c r="D4175" s="6">
        <v>108.5</v>
      </c>
      <c r="E4175" s="6">
        <v>197</v>
      </c>
      <c r="F4175" s="11"/>
    </row>
    <row r="4176" spans="1:6">
      <c r="A4176" s="5" t="str">
        <f t="shared" si="74"/>
        <v>202317</v>
      </c>
      <c r="B4176" s="5" t="str">
        <f>"23085040126"</f>
        <v>23085040126</v>
      </c>
      <c r="C4176" s="6">
        <v>88.5</v>
      </c>
      <c r="D4176" s="6">
        <v>108.5</v>
      </c>
      <c r="E4176" s="6">
        <v>197</v>
      </c>
      <c r="F4176" s="11"/>
    </row>
    <row r="4177" spans="1:6">
      <c r="A4177" s="5" t="str">
        <f t="shared" si="74"/>
        <v>202317</v>
      </c>
      <c r="B4177" s="5" t="str">
        <f>"23085040522"</f>
        <v>23085040522</v>
      </c>
      <c r="C4177" s="6">
        <v>79.5</v>
      </c>
      <c r="D4177" s="6">
        <v>117</v>
      </c>
      <c r="E4177" s="6">
        <v>196.5</v>
      </c>
      <c r="F4177" s="11"/>
    </row>
    <row r="4178" spans="1:6">
      <c r="A4178" s="5" t="str">
        <f t="shared" si="74"/>
        <v>202317</v>
      </c>
      <c r="B4178" s="5" t="str">
        <f>"23085033804"</f>
        <v>23085033804</v>
      </c>
      <c r="C4178" s="6">
        <v>93</v>
      </c>
      <c r="D4178" s="6">
        <v>103.5</v>
      </c>
      <c r="E4178" s="6">
        <v>196.5</v>
      </c>
      <c r="F4178" s="11"/>
    </row>
    <row r="4179" spans="1:6">
      <c r="A4179" s="5" t="str">
        <f t="shared" si="74"/>
        <v>202317</v>
      </c>
      <c r="B4179" s="5" t="str">
        <f>"23085033525"</f>
        <v>23085033525</v>
      </c>
      <c r="C4179" s="6">
        <v>79.5</v>
      </c>
      <c r="D4179" s="6">
        <v>117</v>
      </c>
      <c r="E4179" s="6">
        <v>196.5</v>
      </c>
      <c r="F4179" s="11"/>
    </row>
    <row r="4180" spans="1:6">
      <c r="A4180" s="5" t="str">
        <f t="shared" si="74"/>
        <v>202317</v>
      </c>
      <c r="B4180" s="5" t="str">
        <f>"23085033810"</f>
        <v>23085033810</v>
      </c>
      <c r="C4180" s="6">
        <v>79.5</v>
      </c>
      <c r="D4180" s="6">
        <v>116.5</v>
      </c>
      <c r="E4180" s="6">
        <v>196</v>
      </c>
      <c r="F4180" s="11"/>
    </row>
    <row r="4181" spans="1:6">
      <c r="A4181" s="5" t="str">
        <f t="shared" si="74"/>
        <v>202317</v>
      </c>
      <c r="B4181" s="5" t="str">
        <f>"23085040526"</f>
        <v>23085040526</v>
      </c>
      <c r="C4181" s="6">
        <v>85.5</v>
      </c>
      <c r="D4181" s="6">
        <v>110.5</v>
      </c>
      <c r="E4181" s="6">
        <v>196</v>
      </c>
      <c r="F4181" s="11"/>
    </row>
    <row r="4182" spans="1:6">
      <c r="A4182" s="5" t="str">
        <f t="shared" si="74"/>
        <v>202317</v>
      </c>
      <c r="B4182" s="5" t="str">
        <f>"23085032210"</f>
        <v>23085032210</v>
      </c>
      <c r="C4182" s="6">
        <v>94.5</v>
      </c>
      <c r="D4182" s="6">
        <v>101.5</v>
      </c>
      <c r="E4182" s="6">
        <v>196</v>
      </c>
      <c r="F4182" s="11"/>
    </row>
    <row r="4183" spans="1:6">
      <c r="A4183" s="5" t="str">
        <f t="shared" si="74"/>
        <v>202317</v>
      </c>
      <c r="B4183" s="5" t="str">
        <f>"23085032423"</f>
        <v>23085032423</v>
      </c>
      <c r="C4183" s="6">
        <v>91.5</v>
      </c>
      <c r="D4183" s="6">
        <v>104.5</v>
      </c>
      <c r="E4183" s="6">
        <v>196</v>
      </c>
      <c r="F4183" s="11"/>
    </row>
    <row r="4184" spans="1:6">
      <c r="A4184" s="5" t="str">
        <f t="shared" si="74"/>
        <v>202317</v>
      </c>
      <c r="B4184" s="5" t="str">
        <f>"23085040227"</f>
        <v>23085040227</v>
      </c>
      <c r="C4184" s="6">
        <v>82.5</v>
      </c>
      <c r="D4184" s="6">
        <v>113.5</v>
      </c>
      <c r="E4184" s="6">
        <v>196</v>
      </c>
      <c r="F4184" s="11"/>
    </row>
    <row r="4185" spans="1:6">
      <c r="A4185" s="5" t="str">
        <f t="shared" si="74"/>
        <v>202317</v>
      </c>
      <c r="B4185" s="5" t="str">
        <f>"23085032202"</f>
        <v>23085032202</v>
      </c>
      <c r="C4185" s="6">
        <v>94.5</v>
      </c>
      <c r="D4185" s="6">
        <v>101</v>
      </c>
      <c r="E4185" s="6">
        <v>195.5</v>
      </c>
      <c r="F4185" s="11"/>
    </row>
    <row r="4186" spans="1:6">
      <c r="A4186" s="5" t="str">
        <f t="shared" si="74"/>
        <v>202317</v>
      </c>
      <c r="B4186" s="5" t="str">
        <f>"23085033923"</f>
        <v>23085033923</v>
      </c>
      <c r="C4186" s="6">
        <v>84</v>
      </c>
      <c r="D4186" s="6">
        <v>111.5</v>
      </c>
      <c r="E4186" s="6">
        <v>195.5</v>
      </c>
      <c r="F4186" s="11"/>
    </row>
    <row r="4187" spans="1:6">
      <c r="A4187" s="5" t="str">
        <f t="shared" si="74"/>
        <v>202317</v>
      </c>
      <c r="B4187" s="5" t="str">
        <f>"23085032704"</f>
        <v>23085032704</v>
      </c>
      <c r="C4187" s="6">
        <v>87</v>
      </c>
      <c r="D4187" s="6">
        <v>108.5</v>
      </c>
      <c r="E4187" s="6">
        <v>195.5</v>
      </c>
      <c r="F4187" s="11"/>
    </row>
    <row r="4188" spans="1:6">
      <c r="A4188" s="5" t="str">
        <f t="shared" si="74"/>
        <v>202317</v>
      </c>
      <c r="B4188" s="5" t="str">
        <f>"23085032617"</f>
        <v>23085032617</v>
      </c>
      <c r="C4188" s="6">
        <v>79.5</v>
      </c>
      <c r="D4188" s="6">
        <v>116</v>
      </c>
      <c r="E4188" s="6">
        <v>195.5</v>
      </c>
      <c r="F4188" s="11"/>
    </row>
    <row r="4189" spans="1:6">
      <c r="A4189" s="5" t="str">
        <f t="shared" si="74"/>
        <v>202317</v>
      </c>
      <c r="B4189" s="5" t="str">
        <f>"23085033813"</f>
        <v>23085033813</v>
      </c>
      <c r="C4189" s="6">
        <v>78</v>
      </c>
      <c r="D4189" s="6">
        <v>117.5</v>
      </c>
      <c r="E4189" s="6">
        <v>195.5</v>
      </c>
      <c r="F4189" s="11"/>
    </row>
    <row r="4190" spans="1:6">
      <c r="A4190" s="5" t="str">
        <f t="shared" si="74"/>
        <v>202317</v>
      </c>
      <c r="B4190" s="5" t="str">
        <f>"23085032801"</f>
        <v>23085032801</v>
      </c>
      <c r="C4190" s="6">
        <v>81</v>
      </c>
      <c r="D4190" s="6">
        <v>114.5</v>
      </c>
      <c r="E4190" s="6">
        <v>195.5</v>
      </c>
      <c r="F4190" s="11"/>
    </row>
    <row r="4191" spans="1:6">
      <c r="A4191" s="5" t="str">
        <f t="shared" si="74"/>
        <v>202317</v>
      </c>
      <c r="B4191" s="5" t="str">
        <f>"23085033907"</f>
        <v>23085033907</v>
      </c>
      <c r="C4191" s="6">
        <v>78</v>
      </c>
      <c r="D4191" s="6">
        <v>117.5</v>
      </c>
      <c r="E4191" s="6">
        <v>195.5</v>
      </c>
      <c r="F4191" s="11"/>
    </row>
    <row r="4192" spans="1:6">
      <c r="A4192" s="5" t="str">
        <f t="shared" si="74"/>
        <v>202317</v>
      </c>
      <c r="B4192" s="5" t="str">
        <f>"23085032216"</f>
        <v>23085032216</v>
      </c>
      <c r="C4192" s="6">
        <v>91.5</v>
      </c>
      <c r="D4192" s="6">
        <v>103.5</v>
      </c>
      <c r="E4192" s="6">
        <v>195</v>
      </c>
      <c r="F4192" s="11"/>
    </row>
    <row r="4193" spans="1:6">
      <c r="A4193" s="5" t="str">
        <f t="shared" si="74"/>
        <v>202317</v>
      </c>
      <c r="B4193" s="5" t="str">
        <f>"23085033620"</f>
        <v>23085033620</v>
      </c>
      <c r="C4193" s="6">
        <v>82.5</v>
      </c>
      <c r="D4193" s="6">
        <v>112.5</v>
      </c>
      <c r="E4193" s="6">
        <v>195</v>
      </c>
      <c r="F4193" s="11"/>
    </row>
    <row r="4194" spans="1:6">
      <c r="A4194" s="5" t="str">
        <f t="shared" si="74"/>
        <v>202317</v>
      </c>
      <c r="B4194" s="5" t="str">
        <f>"23085033217"</f>
        <v>23085033217</v>
      </c>
      <c r="C4194" s="6">
        <v>90</v>
      </c>
      <c r="D4194" s="6">
        <v>105</v>
      </c>
      <c r="E4194" s="6">
        <v>195</v>
      </c>
      <c r="F4194" s="11"/>
    </row>
    <row r="4195" spans="1:6">
      <c r="A4195" s="5" t="str">
        <f t="shared" si="74"/>
        <v>202317</v>
      </c>
      <c r="B4195" s="5" t="str">
        <f>"23085040214"</f>
        <v>23085040214</v>
      </c>
      <c r="C4195" s="6">
        <v>81</v>
      </c>
      <c r="D4195" s="6">
        <v>114</v>
      </c>
      <c r="E4195" s="6">
        <v>195</v>
      </c>
      <c r="F4195" s="11"/>
    </row>
    <row r="4196" spans="1:6">
      <c r="A4196" s="5" t="str">
        <f t="shared" si="74"/>
        <v>202317</v>
      </c>
      <c r="B4196" s="5" t="str">
        <f>"23085032820"</f>
        <v>23085032820</v>
      </c>
      <c r="C4196" s="6">
        <v>88.5</v>
      </c>
      <c r="D4196" s="6">
        <v>106.5</v>
      </c>
      <c r="E4196" s="6">
        <v>195</v>
      </c>
      <c r="F4196" s="11"/>
    </row>
    <row r="4197" spans="1:6">
      <c r="A4197" s="5" t="str">
        <f t="shared" si="74"/>
        <v>202317</v>
      </c>
      <c r="B4197" s="5" t="str">
        <f>"23085040226"</f>
        <v>23085040226</v>
      </c>
      <c r="C4197" s="6">
        <v>87</v>
      </c>
      <c r="D4197" s="6">
        <v>108</v>
      </c>
      <c r="E4197" s="6">
        <v>195</v>
      </c>
      <c r="F4197" s="11"/>
    </row>
    <row r="4198" spans="1:6">
      <c r="A4198" s="5" t="str">
        <f t="shared" si="74"/>
        <v>202317</v>
      </c>
      <c r="B4198" s="5" t="str">
        <f>"23085033202"</f>
        <v>23085033202</v>
      </c>
      <c r="C4198" s="6">
        <v>84</v>
      </c>
      <c r="D4198" s="6">
        <v>111</v>
      </c>
      <c r="E4198" s="6">
        <v>195</v>
      </c>
      <c r="F4198" s="11"/>
    </row>
    <row r="4199" spans="1:6">
      <c r="A4199" s="5" t="str">
        <f t="shared" si="74"/>
        <v>202317</v>
      </c>
      <c r="B4199" s="5" t="str">
        <f>"23085034004"</f>
        <v>23085034004</v>
      </c>
      <c r="C4199" s="6">
        <v>82.5</v>
      </c>
      <c r="D4199" s="6">
        <v>112.5</v>
      </c>
      <c r="E4199" s="6">
        <v>195</v>
      </c>
      <c r="F4199" s="11"/>
    </row>
    <row r="4200" spans="1:6">
      <c r="A4200" s="5" t="str">
        <f t="shared" si="74"/>
        <v>202317</v>
      </c>
      <c r="B4200" s="5" t="str">
        <f>"23085032218"</f>
        <v>23085032218</v>
      </c>
      <c r="C4200" s="6">
        <v>78</v>
      </c>
      <c r="D4200" s="6">
        <v>116.5</v>
      </c>
      <c r="E4200" s="6">
        <v>194.5</v>
      </c>
      <c r="F4200" s="11"/>
    </row>
    <row r="4201" spans="1:6">
      <c r="A4201" s="5" t="str">
        <f t="shared" si="74"/>
        <v>202317</v>
      </c>
      <c r="B4201" s="5" t="str">
        <f>"23085033106"</f>
        <v>23085033106</v>
      </c>
      <c r="C4201" s="6">
        <v>82.5</v>
      </c>
      <c r="D4201" s="6">
        <v>112</v>
      </c>
      <c r="E4201" s="6">
        <v>194.5</v>
      </c>
      <c r="F4201" s="11"/>
    </row>
    <row r="4202" spans="1:6">
      <c r="A4202" s="5" t="str">
        <f t="shared" si="74"/>
        <v>202317</v>
      </c>
      <c r="B4202" s="5" t="str">
        <f>"23085040225"</f>
        <v>23085040225</v>
      </c>
      <c r="C4202" s="6">
        <v>81</v>
      </c>
      <c r="D4202" s="6">
        <v>113.5</v>
      </c>
      <c r="E4202" s="6">
        <v>194.5</v>
      </c>
      <c r="F4202" s="11"/>
    </row>
    <row r="4203" spans="1:6">
      <c r="A4203" s="5" t="str">
        <f t="shared" si="74"/>
        <v>202317</v>
      </c>
      <c r="B4203" s="5" t="str">
        <f>"23085031907"</f>
        <v>23085031907</v>
      </c>
      <c r="C4203" s="6">
        <v>84</v>
      </c>
      <c r="D4203" s="6">
        <v>110</v>
      </c>
      <c r="E4203" s="6">
        <v>194</v>
      </c>
      <c r="F4203" s="11"/>
    </row>
    <row r="4204" spans="1:6">
      <c r="A4204" s="5" t="str">
        <f t="shared" si="74"/>
        <v>202317</v>
      </c>
      <c r="B4204" s="5" t="str">
        <f>"23085032728"</f>
        <v>23085032728</v>
      </c>
      <c r="C4204" s="6">
        <v>81</v>
      </c>
      <c r="D4204" s="6">
        <v>113</v>
      </c>
      <c r="E4204" s="6">
        <v>194</v>
      </c>
      <c r="F4204" s="11"/>
    </row>
    <row r="4205" spans="1:6">
      <c r="A4205" s="5" t="str">
        <f t="shared" si="74"/>
        <v>202317</v>
      </c>
      <c r="B4205" s="5" t="str">
        <f>"23085033214"</f>
        <v>23085033214</v>
      </c>
      <c r="C4205" s="6">
        <v>79.5</v>
      </c>
      <c r="D4205" s="6">
        <v>114.5</v>
      </c>
      <c r="E4205" s="6">
        <v>194</v>
      </c>
      <c r="F4205" s="11"/>
    </row>
    <row r="4206" spans="1:6">
      <c r="A4206" s="5" t="str">
        <f t="shared" si="74"/>
        <v>202317</v>
      </c>
      <c r="B4206" s="5" t="str">
        <f>"23085040311"</f>
        <v>23085040311</v>
      </c>
      <c r="C4206" s="6">
        <v>78</v>
      </c>
      <c r="D4206" s="6">
        <v>116</v>
      </c>
      <c r="E4206" s="6">
        <v>194</v>
      </c>
      <c r="F4206" s="11"/>
    </row>
    <row r="4207" spans="1:6">
      <c r="A4207" s="5" t="str">
        <f t="shared" si="74"/>
        <v>202317</v>
      </c>
      <c r="B4207" s="5" t="str">
        <f>"23085040323"</f>
        <v>23085040323</v>
      </c>
      <c r="C4207" s="6">
        <v>81</v>
      </c>
      <c r="D4207" s="6">
        <v>113</v>
      </c>
      <c r="E4207" s="6">
        <v>194</v>
      </c>
      <c r="F4207" s="11"/>
    </row>
    <row r="4208" spans="1:6">
      <c r="A4208" s="5" t="str">
        <f t="shared" si="74"/>
        <v>202317</v>
      </c>
      <c r="B4208" s="5" t="str">
        <f>"23085032611"</f>
        <v>23085032611</v>
      </c>
      <c r="C4208" s="6">
        <v>82.5</v>
      </c>
      <c r="D4208" s="6">
        <v>111.5</v>
      </c>
      <c r="E4208" s="6">
        <v>194</v>
      </c>
      <c r="F4208" s="11"/>
    </row>
    <row r="4209" spans="1:6">
      <c r="A4209" s="5" t="str">
        <f t="shared" si="74"/>
        <v>202317</v>
      </c>
      <c r="B4209" s="5" t="str">
        <f>"23085032416"</f>
        <v>23085032416</v>
      </c>
      <c r="C4209" s="6">
        <v>96</v>
      </c>
      <c r="D4209" s="6">
        <v>98</v>
      </c>
      <c r="E4209" s="6">
        <v>194</v>
      </c>
      <c r="F4209" s="11"/>
    </row>
    <row r="4210" spans="1:6">
      <c r="A4210" s="5" t="str">
        <f t="shared" si="74"/>
        <v>202317</v>
      </c>
      <c r="B4210" s="5" t="str">
        <f>"23085032904"</f>
        <v>23085032904</v>
      </c>
      <c r="C4210" s="6">
        <v>85.5</v>
      </c>
      <c r="D4210" s="6">
        <v>108.5</v>
      </c>
      <c r="E4210" s="6">
        <v>194</v>
      </c>
      <c r="F4210" s="11"/>
    </row>
    <row r="4211" spans="1:6">
      <c r="A4211" s="5" t="str">
        <f t="shared" si="74"/>
        <v>202317</v>
      </c>
      <c r="B4211" s="5" t="str">
        <f>"23085033008"</f>
        <v>23085033008</v>
      </c>
      <c r="C4211" s="6">
        <v>90</v>
      </c>
      <c r="D4211" s="6">
        <v>103.5</v>
      </c>
      <c r="E4211" s="6">
        <v>193.5</v>
      </c>
      <c r="F4211" s="11"/>
    </row>
    <row r="4212" spans="1:6">
      <c r="A4212" s="5" t="str">
        <f t="shared" si="74"/>
        <v>202317</v>
      </c>
      <c r="B4212" s="5" t="str">
        <f>"23085032001"</f>
        <v>23085032001</v>
      </c>
      <c r="C4212" s="6">
        <v>84</v>
      </c>
      <c r="D4212" s="6">
        <v>109.5</v>
      </c>
      <c r="E4212" s="6">
        <v>193.5</v>
      </c>
      <c r="F4212" s="11"/>
    </row>
    <row r="4213" spans="1:6">
      <c r="A4213" s="5" t="str">
        <f t="shared" si="74"/>
        <v>202317</v>
      </c>
      <c r="B4213" s="5" t="str">
        <f>"23085032915"</f>
        <v>23085032915</v>
      </c>
      <c r="C4213" s="6">
        <v>76.5</v>
      </c>
      <c r="D4213" s="6">
        <v>117</v>
      </c>
      <c r="E4213" s="6">
        <v>193.5</v>
      </c>
      <c r="F4213" s="11"/>
    </row>
    <row r="4214" spans="1:6">
      <c r="A4214" s="5" t="str">
        <f t="shared" si="74"/>
        <v>202317</v>
      </c>
      <c r="B4214" s="5" t="str">
        <f>"23085040521"</f>
        <v>23085040521</v>
      </c>
      <c r="C4214" s="6">
        <v>78</v>
      </c>
      <c r="D4214" s="6">
        <v>115.5</v>
      </c>
      <c r="E4214" s="6">
        <v>193.5</v>
      </c>
      <c r="F4214" s="11"/>
    </row>
    <row r="4215" spans="1:6">
      <c r="A4215" s="5" t="str">
        <f t="shared" si="74"/>
        <v>202317</v>
      </c>
      <c r="B4215" s="5" t="str">
        <f>"23085040529"</f>
        <v>23085040529</v>
      </c>
      <c r="C4215" s="6">
        <v>91.5</v>
      </c>
      <c r="D4215" s="6">
        <v>102</v>
      </c>
      <c r="E4215" s="6">
        <v>193.5</v>
      </c>
      <c r="F4215" s="11"/>
    </row>
    <row r="4216" spans="1:6">
      <c r="A4216" s="5" t="str">
        <f t="shared" si="74"/>
        <v>202317</v>
      </c>
      <c r="B4216" s="5" t="str">
        <f>"23085040130"</f>
        <v>23085040130</v>
      </c>
      <c r="C4216" s="6">
        <v>75</v>
      </c>
      <c r="D4216" s="6">
        <v>118.5</v>
      </c>
      <c r="E4216" s="6">
        <v>193.5</v>
      </c>
      <c r="F4216" s="11"/>
    </row>
    <row r="4217" spans="1:6">
      <c r="A4217" s="5" t="str">
        <f t="shared" si="74"/>
        <v>202317</v>
      </c>
      <c r="B4217" s="5" t="str">
        <f>"23085040426"</f>
        <v>23085040426</v>
      </c>
      <c r="C4217" s="6">
        <v>87</v>
      </c>
      <c r="D4217" s="6">
        <v>106.5</v>
      </c>
      <c r="E4217" s="6">
        <v>193.5</v>
      </c>
      <c r="F4217" s="11"/>
    </row>
    <row r="4218" spans="1:6">
      <c r="A4218" s="5" t="str">
        <f t="shared" si="74"/>
        <v>202317</v>
      </c>
      <c r="B4218" s="5" t="str">
        <f>"23085032327"</f>
        <v>23085032327</v>
      </c>
      <c r="C4218" s="6">
        <v>84</v>
      </c>
      <c r="D4218" s="6">
        <v>109</v>
      </c>
      <c r="E4218" s="6">
        <v>193</v>
      </c>
      <c r="F4218" s="11"/>
    </row>
    <row r="4219" spans="1:6">
      <c r="A4219" s="5" t="str">
        <f t="shared" si="74"/>
        <v>202317</v>
      </c>
      <c r="B4219" s="5" t="str">
        <f>"23085040220"</f>
        <v>23085040220</v>
      </c>
      <c r="C4219" s="6">
        <v>81</v>
      </c>
      <c r="D4219" s="6">
        <v>112</v>
      </c>
      <c r="E4219" s="6">
        <v>193</v>
      </c>
      <c r="F4219" s="11"/>
    </row>
    <row r="4220" spans="1:6">
      <c r="A4220" s="5" t="str">
        <f t="shared" si="74"/>
        <v>202317</v>
      </c>
      <c r="B4220" s="5" t="str">
        <f>"23085040304"</f>
        <v>23085040304</v>
      </c>
      <c r="C4220" s="6">
        <v>109.5</v>
      </c>
      <c r="D4220" s="6">
        <v>83.5</v>
      </c>
      <c r="E4220" s="6">
        <v>193</v>
      </c>
      <c r="F4220" s="11"/>
    </row>
    <row r="4221" spans="1:6">
      <c r="A4221" s="5" t="str">
        <f t="shared" si="74"/>
        <v>202317</v>
      </c>
      <c r="B4221" s="5" t="str">
        <f>"23085033509"</f>
        <v>23085033509</v>
      </c>
      <c r="C4221" s="6">
        <v>85.5</v>
      </c>
      <c r="D4221" s="6">
        <v>107.5</v>
      </c>
      <c r="E4221" s="6">
        <v>193</v>
      </c>
      <c r="F4221" s="11"/>
    </row>
    <row r="4222" spans="1:6">
      <c r="A4222" s="5" t="str">
        <f t="shared" si="74"/>
        <v>202317</v>
      </c>
      <c r="B4222" s="5" t="str">
        <f>"23085032530"</f>
        <v>23085032530</v>
      </c>
      <c r="C4222" s="6">
        <v>85.5</v>
      </c>
      <c r="D4222" s="6">
        <v>107.5</v>
      </c>
      <c r="E4222" s="6">
        <v>193</v>
      </c>
      <c r="F4222" s="11"/>
    </row>
    <row r="4223" spans="1:6">
      <c r="A4223" s="5" t="str">
        <f t="shared" si="74"/>
        <v>202317</v>
      </c>
      <c r="B4223" s="5" t="str">
        <f>"23085040430"</f>
        <v>23085040430</v>
      </c>
      <c r="C4223" s="6">
        <v>81</v>
      </c>
      <c r="D4223" s="6">
        <v>112</v>
      </c>
      <c r="E4223" s="6">
        <v>193</v>
      </c>
      <c r="F4223" s="11"/>
    </row>
    <row r="4224" spans="1:6">
      <c r="A4224" s="5" t="str">
        <f t="shared" ref="A4224:A4287" si="75">"202317"</f>
        <v>202317</v>
      </c>
      <c r="B4224" s="5" t="str">
        <f>"23085033103"</f>
        <v>23085033103</v>
      </c>
      <c r="C4224" s="6">
        <v>85.5</v>
      </c>
      <c r="D4224" s="6">
        <v>107.5</v>
      </c>
      <c r="E4224" s="6">
        <v>193</v>
      </c>
      <c r="F4224" s="11"/>
    </row>
    <row r="4225" spans="1:6">
      <c r="A4225" s="5" t="str">
        <f t="shared" si="75"/>
        <v>202317</v>
      </c>
      <c r="B4225" s="5" t="str">
        <f>"23085032615"</f>
        <v>23085032615</v>
      </c>
      <c r="C4225" s="6">
        <v>73.5</v>
      </c>
      <c r="D4225" s="6">
        <v>119.5</v>
      </c>
      <c r="E4225" s="6">
        <v>193</v>
      </c>
      <c r="F4225" s="11"/>
    </row>
    <row r="4226" spans="1:6">
      <c r="A4226" s="5" t="str">
        <f t="shared" si="75"/>
        <v>202317</v>
      </c>
      <c r="B4226" s="5" t="str">
        <f>"23085040120"</f>
        <v>23085040120</v>
      </c>
      <c r="C4226" s="6">
        <v>79.5</v>
      </c>
      <c r="D4226" s="6">
        <v>113.5</v>
      </c>
      <c r="E4226" s="6">
        <v>193</v>
      </c>
      <c r="F4226" s="11"/>
    </row>
    <row r="4227" spans="1:6">
      <c r="A4227" s="5" t="str">
        <f t="shared" si="75"/>
        <v>202317</v>
      </c>
      <c r="B4227" s="5" t="str">
        <f>"23085033707"</f>
        <v>23085033707</v>
      </c>
      <c r="C4227" s="6">
        <v>87</v>
      </c>
      <c r="D4227" s="6">
        <v>105.5</v>
      </c>
      <c r="E4227" s="6">
        <v>192.5</v>
      </c>
      <c r="F4227" s="11"/>
    </row>
    <row r="4228" spans="1:6">
      <c r="A4228" s="5" t="str">
        <f t="shared" si="75"/>
        <v>202317</v>
      </c>
      <c r="B4228" s="5" t="str">
        <f>"23085040527"</f>
        <v>23085040527</v>
      </c>
      <c r="C4228" s="6">
        <v>87</v>
      </c>
      <c r="D4228" s="6">
        <v>105.5</v>
      </c>
      <c r="E4228" s="6">
        <v>192.5</v>
      </c>
      <c r="F4228" s="11"/>
    </row>
    <row r="4229" spans="1:6">
      <c r="A4229" s="5" t="str">
        <f t="shared" si="75"/>
        <v>202317</v>
      </c>
      <c r="B4229" s="5" t="str">
        <f>"23085040102"</f>
        <v>23085040102</v>
      </c>
      <c r="C4229" s="6">
        <v>75</v>
      </c>
      <c r="D4229" s="6">
        <v>117.5</v>
      </c>
      <c r="E4229" s="6">
        <v>192.5</v>
      </c>
      <c r="F4229" s="11"/>
    </row>
    <row r="4230" spans="1:6">
      <c r="A4230" s="5" t="str">
        <f t="shared" si="75"/>
        <v>202317</v>
      </c>
      <c r="B4230" s="5" t="str">
        <f>"23085032730"</f>
        <v>23085032730</v>
      </c>
      <c r="C4230" s="6">
        <v>78</v>
      </c>
      <c r="D4230" s="6">
        <v>114.5</v>
      </c>
      <c r="E4230" s="6">
        <v>192.5</v>
      </c>
      <c r="F4230" s="11"/>
    </row>
    <row r="4231" spans="1:6">
      <c r="A4231" s="5" t="str">
        <f t="shared" si="75"/>
        <v>202317</v>
      </c>
      <c r="B4231" s="5" t="str">
        <f>"23085033302"</f>
        <v>23085033302</v>
      </c>
      <c r="C4231" s="6">
        <v>76.5</v>
      </c>
      <c r="D4231" s="6">
        <v>116</v>
      </c>
      <c r="E4231" s="6">
        <v>192.5</v>
      </c>
      <c r="F4231" s="11"/>
    </row>
    <row r="4232" spans="1:6">
      <c r="A4232" s="5" t="str">
        <f t="shared" si="75"/>
        <v>202317</v>
      </c>
      <c r="B4232" s="5" t="str">
        <f>"23085033123"</f>
        <v>23085033123</v>
      </c>
      <c r="C4232" s="6">
        <v>87</v>
      </c>
      <c r="D4232" s="6">
        <v>105.5</v>
      </c>
      <c r="E4232" s="6">
        <v>192.5</v>
      </c>
      <c r="F4232" s="11"/>
    </row>
    <row r="4233" spans="1:6">
      <c r="A4233" s="5" t="str">
        <f t="shared" si="75"/>
        <v>202317</v>
      </c>
      <c r="B4233" s="5" t="str">
        <f>"23085032607"</f>
        <v>23085032607</v>
      </c>
      <c r="C4233" s="6">
        <v>84</v>
      </c>
      <c r="D4233" s="6">
        <v>108</v>
      </c>
      <c r="E4233" s="6">
        <v>192</v>
      </c>
      <c r="F4233" s="11"/>
    </row>
    <row r="4234" spans="1:6">
      <c r="A4234" s="5" t="str">
        <f t="shared" si="75"/>
        <v>202317</v>
      </c>
      <c r="B4234" s="5" t="str">
        <f>"23085032702"</f>
        <v>23085032702</v>
      </c>
      <c r="C4234" s="6">
        <v>79.5</v>
      </c>
      <c r="D4234" s="6">
        <v>112.5</v>
      </c>
      <c r="E4234" s="6">
        <v>192</v>
      </c>
      <c r="F4234" s="11"/>
    </row>
    <row r="4235" spans="1:6">
      <c r="A4235" s="5" t="str">
        <f t="shared" si="75"/>
        <v>202317</v>
      </c>
      <c r="B4235" s="5" t="str">
        <f>"23085032321"</f>
        <v>23085032321</v>
      </c>
      <c r="C4235" s="6">
        <v>82.5</v>
      </c>
      <c r="D4235" s="6">
        <v>109.5</v>
      </c>
      <c r="E4235" s="6">
        <v>192</v>
      </c>
      <c r="F4235" s="11"/>
    </row>
    <row r="4236" spans="1:6">
      <c r="A4236" s="5" t="str">
        <f t="shared" si="75"/>
        <v>202317</v>
      </c>
      <c r="B4236" s="5" t="str">
        <f>"23085032919"</f>
        <v>23085032919</v>
      </c>
      <c r="C4236" s="6">
        <v>79.5</v>
      </c>
      <c r="D4236" s="6">
        <v>112.5</v>
      </c>
      <c r="E4236" s="6">
        <v>192</v>
      </c>
      <c r="F4236" s="11"/>
    </row>
    <row r="4237" spans="1:6">
      <c r="A4237" s="5" t="str">
        <f t="shared" si="75"/>
        <v>202317</v>
      </c>
      <c r="B4237" s="5" t="str">
        <f>"23085033515"</f>
        <v>23085033515</v>
      </c>
      <c r="C4237" s="6">
        <v>81</v>
      </c>
      <c r="D4237" s="6">
        <v>111</v>
      </c>
      <c r="E4237" s="6">
        <v>192</v>
      </c>
      <c r="F4237" s="11"/>
    </row>
    <row r="4238" spans="1:6">
      <c r="A4238" s="5" t="str">
        <f t="shared" si="75"/>
        <v>202317</v>
      </c>
      <c r="B4238" s="5" t="str">
        <f>"23085033321"</f>
        <v>23085033321</v>
      </c>
      <c r="C4238" s="6">
        <v>87</v>
      </c>
      <c r="D4238" s="6">
        <v>105</v>
      </c>
      <c r="E4238" s="6">
        <v>192</v>
      </c>
      <c r="F4238" s="11"/>
    </row>
    <row r="4239" spans="1:6">
      <c r="A4239" s="5" t="str">
        <f t="shared" si="75"/>
        <v>202317</v>
      </c>
      <c r="B4239" s="5" t="str">
        <f>"23085033820"</f>
        <v>23085033820</v>
      </c>
      <c r="C4239" s="6">
        <v>76.5</v>
      </c>
      <c r="D4239" s="6">
        <v>115.5</v>
      </c>
      <c r="E4239" s="6">
        <v>192</v>
      </c>
      <c r="F4239" s="11"/>
    </row>
    <row r="4240" spans="1:6">
      <c r="A4240" s="5" t="str">
        <f t="shared" si="75"/>
        <v>202317</v>
      </c>
      <c r="B4240" s="5" t="str">
        <f>"23085033502"</f>
        <v>23085033502</v>
      </c>
      <c r="C4240" s="6">
        <v>79.5</v>
      </c>
      <c r="D4240" s="6">
        <v>112</v>
      </c>
      <c r="E4240" s="6">
        <v>191.5</v>
      </c>
      <c r="F4240" s="11"/>
    </row>
    <row r="4241" spans="1:6">
      <c r="A4241" s="5" t="str">
        <f t="shared" si="75"/>
        <v>202317</v>
      </c>
      <c r="B4241" s="5" t="str">
        <f>"23085033111"</f>
        <v>23085033111</v>
      </c>
      <c r="C4241" s="6">
        <v>79.5</v>
      </c>
      <c r="D4241" s="6">
        <v>112</v>
      </c>
      <c r="E4241" s="6">
        <v>191.5</v>
      </c>
      <c r="F4241" s="11"/>
    </row>
    <row r="4242" spans="1:6">
      <c r="A4242" s="5" t="str">
        <f t="shared" si="75"/>
        <v>202317</v>
      </c>
      <c r="B4242" s="5" t="str">
        <f>"23085032908"</f>
        <v>23085032908</v>
      </c>
      <c r="C4242" s="6">
        <v>79.5</v>
      </c>
      <c r="D4242" s="6">
        <v>112</v>
      </c>
      <c r="E4242" s="6">
        <v>191.5</v>
      </c>
      <c r="F4242" s="11"/>
    </row>
    <row r="4243" spans="1:6">
      <c r="A4243" s="5" t="str">
        <f t="shared" si="75"/>
        <v>202317</v>
      </c>
      <c r="B4243" s="5" t="str">
        <f>"23085040515"</f>
        <v>23085040515</v>
      </c>
      <c r="C4243" s="6">
        <v>91.5</v>
      </c>
      <c r="D4243" s="6">
        <v>100</v>
      </c>
      <c r="E4243" s="6">
        <v>191.5</v>
      </c>
      <c r="F4243" s="11"/>
    </row>
    <row r="4244" spans="1:6">
      <c r="A4244" s="5" t="str">
        <f t="shared" si="75"/>
        <v>202317</v>
      </c>
      <c r="B4244" s="5" t="str">
        <f>"23085040403"</f>
        <v>23085040403</v>
      </c>
      <c r="C4244" s="6">
        <v>82.5</v>
      </c>
      <c r="D4244" s="6">
        <v>109</v>
      </c>
      <c r="E4244" s="6">
        <v>191.5</v>
      </c>
      <c r="F4244" s="11"/>
    </row>
    <row r="4245" spans="1:6">
      <c r="A4245" s="5" t="str">
        <f t="shared" si="75"/>
        <v>202317</v>
      </c>
      <c r="B4245" s="5" t="str">
        <f>"23085032328"</f>
        <v>23085032328</v>
      </c>
      <c r="C4245" s="6">
        <v>78</v>
      </c>
      <c r="D4245" s="6">
        <v>113</v>
      </c>
      <c r="E4245" s="6">
        <v>191</v>
      </c>
      <c r="F4245" s="11"/>
    </row>
    <row r="4246" spans="1:6">
      <c r="A4246" s="5" t="str">
        <f t="shared" si="75"/>
        <v>202317</v>
      </c>
      <c r="B4246" s="5" t="str">
        <f>"23085032006"</f>
        <v>23085032006</v>
      </c>
      <c r="C4246" s="6">
        <v>81</v>
      </c>
      <c r="D4246" s="6">
        <v>110</v>
      </c>
      <c r="E4246" s="6">
        <v>191</v>
      </c>
      <c r="F4246" s="11"/>
    </row>
    <row r="4247" spans="1:6">
      <c r="A4247" s="5" t="str">
        <f t="shared" si="75"/>
        <v>202317</v>
      </c>
      <c r="B4247" s="5" t="str">
        <f>"23085040513"</f>
        <v>23085040513</v>
      </c>
      <c r="C4247" s="6">
        <v>91.5</v>
      </c>
      <c r="D4247" s="6">
        <v>99.5</v>
      </c>
      <c r="E4247" s="6">
        <v>191</v>
      </c>
      <c r="F4247" s="11"/>
    </row>
    <row r="4248" spans="1:6">
      <c r="A4248" s="5" t="str">
        <f t="shared" si="75"/>
        <v>202317</v>
      </c>
      <c r="B4248" s="5" t="str">
        <f>"23085033916"</f>
        <v>23085033916</v>
      </c>
      <c r="C4248" s="6">
        <v>76.5</v>
      </c>
      <c r="D4248" s="6">
        <v>114.5</v>
      </c>
      <c r="E4248" s="6">
        <v>191</v>
      </c>
      <c r="F4248" s="11"/>
    </row>
    <row r="4249" spans="1:6">
      <c r="A4249" s="5" t="str">
        <f t="shared" si="75"/>
        <v>202317</v>
      </c>
      <c r="B4249" s="5" t="str">
        <f>"23085040416"</f>
        <v>23085040416</v>
      </c>
      <c r="C4249" s="6">
        <v>72</v>
      </c>
      <c r="D4249" s="6">
        <v>118.5</v>
      </c>
      <c r="E4249" s="6">
        <v>190.5</v>
      </c>
      <c r="F4249" s="11"/>
    </row>
    <row r="4250" spans="1:6">
      <c r="A4250" s="5" t="str">
        <f t="shared" si="75"/>
        <v>202317</v>
      </c>
      <c r="B4250" s="5" t="str">
        <f>"23085033814"</f>
        <v>23085033814</v>
      </c>
      <c r="C4250" s="6">
        <v>84</v>
      </c>
      <c r="D4250" s="6">
        <v>106.5</v>
      </c>
      <c r="E4250" s="6">
        <v>190.5</v>
      </c>
      <c r="F4250" s="11"/>
    </row>
    <row r="4251" spans="1:6">
      <c r="A4251" s="5" t="str">
        <f t="shared" si="75"/>
        <v>202317</v>
      </c>
      <c r="B4251" s="5" t="str">
        <f>"23085032703"</f>
        <v>23085032703</v>
      </c>
      <c r="C4251" s="6">
        <v>78</v>
      </c>
      <c r="D4251" s="6">
        <v>112.5</v>
      </c>
      <c r="E4251" s="6">
        <v>190.5</v>
      </c>
      <c r="F4251" s="11"/>
    </row>
    <row r="4252" spans="1:6">
      <c r="A4252" s="5" t="str">
        <f t="shared" si="75"/>
        <v>202317</v>
      </c>
      <c r="B4252" s="5" t="str">
        <f>"23085033706"</f>
        <v>23085033706</v>
      </c>
      <c r="C4252" s="6">
        <v>91.5</v>
      </c>
      <c r="D4252" s="6">
        <v>99</v>
      </c>
      <c r="E4252" s="6">
        <v>190.5</v>
      </c>
      <c r="F4252" s="11"/>
    </row>
    <row r="4253" spans="1:6">
      <c r="A4253" s="5" t="str">
        <f t="shared" si="75"/>
        <v>202317</v>
      </c>
      <c r="B4253" s="5" t="str">
        <f>"23085033701"</f>
        <v>23085033701</v>
      </c>
      <c r="C4253" s="6">
        <v>88.5</v>
      </c>
      <c r="D4253" s="6">
        <v>102</v>
      </c>
      <c r="E4253" s="6">
        <v>190.5</v>
      </c>
      <c r="F4253" s="11"/>
    </row>
    <row r="4254" spans="1:6">
      <c r="A4254" s="5" t="str">
        <f t="shared" si="75"/>
        <v>202317</v>
      </c>
      <c r="B4254" s="5" t="str">
        <f>"23085033001"</f>
        <v>23085033001</v>
      </c>
      <c r="C4254" s="6">
        <v>73.5</v>
      </c>
      <c r="D4254" s="6">
        <v>117</v>
      </c>
      <c r="E4254" s="6">
        <v>190.5</v>
      </c>
      <c r="F4254" s="11"/>
    </row>
    <row r="4255" spans="1:6">
      <c r="A4255" s="5" t="str">
        <f t="shared" si="75"/>
        <v>202317</v>
      </c>
      <c r="B4255" s="5" t="str">
        <f>"23085032715"</f>
        <v>23085032715</v>
      </c>
      <c r="C4255" s="6">
        <v>73.5</v>
      </c>
      <c r="D4255" s="6">
        <v>116.5</v>
      </c>
      <c r="E4255" s="6">
        <v>190</v>
      </c>
      <c r="F4255" s="11"/>
    </row>
    <row r="4256" spans="1:6">
      <c r="A4256" s="5" t="str">
        <f t="shared" si="75"/>
        <v>202317</v>
      </c>
      <c r="B4256" s="5" t="str">
        <f>"23085033911"</f>
        <v>23085033911</v>
      </c>
      <c r="C4256" s="6">
        <v>82.5</v>
      </c>
      <c r="D4256" s="6">
        <v>107.5</v>
      </c>
      <c r="E4256" s="6">
        <v>190</v>
      </c>
      <c r="F4256" s="11"/>
    </row>
    <row r="4257" spans="1:6">
      <c r="A4257" s="5" t="str">
        <f t="shared" si="75"/>
        <v>202317</v>
      </c>
      <c r="B4257" s="5" t="str">
        <f>"23085033016"</f>
        <v>23085033016</v>
      </c>
      <c r="C4257" s="6">
        <v>73.5</v>
      </c>
      <c r="D4257" s="6">
        <v>116.5</v>
      </c>
      <c r="E4257" s="6">
        <v>190</v>
      </c>
      <c r="F4257" s="11"/>
    </row>
    <row r="4258" spans="1:6">
      <c r="A4258" s="5" t="str">
        <f t="shared" si="75"/>
        <v>202317</v>
      </c>
      <c r="B4258" s="5" t="str">
        <f>"23085031915"</f>
        <v>23085031915</v>
      </c>
      <c r="C4258" s="6">
        <v>72</v>
      </c>
      <c r="D4258" s="6">
        <v>117.5</v>
      </c>
      <c r="E4258" s="6">
        <v>189.5</v>
      </c>
      <c r="F4258" s="11"/>
    </row>
    <row r="4259" spans="1:6">
      <c r="A4259" s="5" t="str">
        <f t="shared" si="75"/>
        <v>202317</v>
      </c>
      <c r="B4259" s="5" t="str">
        <f>"23085032024"</f>
        <v>23085032024</v>
      </c>
      <c r="C4259" s="6">
        <v>82.5</v>
      </c>
      <c r="D4259" s="6">
        <v>107</v>
      </c>
      <c r="E4259" s="6">
        <v>189.5</v>
      </c>
      <c r="F4259" s="11"/>
    </row>
    <row r="4260" spans="1:6">
      <c r="A4260" s="5" t="str">
        <f t="shared" si="75"/>
        <v>202317</v>
      </c>
      <c r="B4260" s="5" t="str">
        <f>"23085032115"</f>
        <v>23085032115</v>
      </c>
      <c r="C4260" s="6">
        <v>85.5</v>
      </c>
      <c r="D4260" s="6">
        <v>104</v>
      </c>
      <c r="E4260" s="6">
        <v>189.5</v>
      </c>
      <c r="F4260" s="11"/>
    </row>
    <row r="4261" spans="1:6">
      <c r="A4261" s="5" t="str">
        <f t="shared" si="75"/>
        <v>202317</v>
      </c>
      <c r="B4261" s="5" t="str">
        <f>"23085033914"</f>
        <v>23085033914</v>
      </c>
      <c r="C4261" s="6">
        <v>87</v>
      </c>
      <c r="D4261" s="6">
        <v>102.5</v>
      </c>
      <c r="E4261" s="6">
        <v>189.5</v>
      </c>
      <c r="F4261" s="11"/>
    </row>
    <row r="4262" spans="1:6">
      <c r="A4262" s="5" t="str">
        <f t="shared" si="75"/>
        <v>202317</v>
      </c>
      <c r="B4262" s="5" t="str">
        <f>"23085032903"</f>
        <v>23085032903</v>
      </c>
      <c r="C4262" s="6">
        <v>78</v>
      </c>
      <c r="D4262" s="6">
        <v>111.5</v>
      </c>
      <c r="E4262" s="6">
        <v>189.5</v>
      </c>
      <c r="F4262" s="11"/>
    </row>
    <row r="4263" spans="1:6">
      <c r="A4263" s="5" t="str">
        <f t="shared" si="75"/>
        <v>202317</v>
      </c>
      <c r="B4263" s="5" t="str">
        <f>"23085033819"</f>
        <v>23085033819</v>
      </c>
      <c r="C4263" s="6">
        <v>72</v>
      </c>
      <c r="D4263" s="6">
        <v>117.5</v>
      </c>
      <c r="E4263" s="6">
        <v>189.5</v>
      </c>
      <c r="F4263" s="11"/>
    </row>
    <row r="4264" spans="1:6">
      <c r="A4264" s="5" t="str">
        <f t="shared" si="75"/>
        <v>202317</v>
      </c>
      <c r="B4264" s="5" t="str">
        <f>"23085040301"</f>
        <v>23085040301</v>
      </c>
      <c r="C4264" s="6">
        <v>76.5</v>
      </c>
      <c r="D4264" s="6">
        <v>113</v>
      </c>
      <c r="E4264" s="6">
        <v>189.5</v>
      </c>
      <c r="F4264" s="11"/>
    </row>
    <row r="4265" spans="1:6">
      <c r="A4265" s="5" t="str">
        <f t="shared" si="75"/>
        <v>202317</v>
      </c>
      <c r="B4265" s="5" t="str">
        <f>"23085040419"</f>
        <v>23085040419</v>
      </c>
      <c r="C4265" s="6">
        <v>76.5</v>
      </c>
      <c r="D4265" s="6">
        <v>112.5</v>
      </c>
      <c r="E4265" s="6">
        <v>189</v>
      </c>
      <c r="F4265" s="11"/>
    </row>
    <row r="4266" spans="1:6">
      <c r="A4266" s="5" t="str">
        <f t="shared" si="75"/>
        <v>202317</v>
      </c>
      <c r="B4266" s="5" t="str">
        <f>"23085033609"</f>
        <v>23085033609</v>
      </c>
      <c r="C4266" s="6">
        <v>76.5</v>
      </c>
      <c r="D4266" s="6">
        <v>112.5</v>
      </c>
      <c r="E4266" s="6">
        <v>189</v>
      </c>
      <c r="F4266" s="11"/>
    </row>
    <row r="4267" spans="1:6">
      <c r="A4267" s="5" t="str">
        <f t="shared" si="75"/>
        <v>202317</v>
      </c>
      <c r="B4267" s="5" t="str">
        <f>"23085032418"</f>
        <v>23085032418</v>
      </c>
      <c r="C4267" s="6">
        <v>72</v>
      </c>
      <c r="D4267" s="6">
        <v>117</v>
      </c>
      <c r="E4267" s="6">
        <v>189</v>
      </c>
      <c r="F4267" s="11"/>
    </row>
    <row r="4268" spans="1:6">
      <c r="A4268" s="5" t="str">
        <f t="shared" si="75"/>
        <v>202317</v>
      </c>
      <c r="B4268" s="5" t="str">
        <f>"23085033223"</f>
        <v>23085033223</v>
      </c>
      <c r="C4268" s="6">
        <v>82.5</v>
      </c>
      <c r="D4268" s="6">
        <v>106.5</v>
      </c>
      <c r="E4268" s="6">
        <v>189</v>
      </c>
      <c r="F4268" s="11"/>
    </row>
    <row r="4269" spans="1:6">
      <c r="A4269" s="5" t="str">
        <f t="shared" si="75"/>
        <v>202317</v>
      </c>
      <c r="B4269" s="5" t="str">
        <f>"23085040121"</f>
        <v>23085040121</v>
      </c>
      <c r="C4269" s="6">
        <v>70.5</v>
      </c>
      <c r="D4269" s="6">
        <v>118.5</v>
      </c>
      <c r="E4269" s="6">
        <v>189</v>
      </c>
      <c r="F4269" s="11"/>
    </row>
    <row r="4270" spans="1:6">
      <c r="A4270" s="5" t="str">
        <f t="shared" si="75"/>
        <v>202317</v>
      </c>
      <c r="B4270" s="5" t="str">
        <f>"23085040401"</f>
        <v>23085040401</v>
      </c>
      <c r="C4270" s="6">
        <v>72</v>
      </c>
      <c r="D4270" s="6">
        <v>117</v>
      </c>
      <c r="E4270" s="6">
        <v>189</v>
      </c>
      <c r="F4270" s="11"/>
    </row>
    <row r="4271" spans="1:6">
      <c r="A4271" s="5" t="str">
        <f t="shared" si="75"/>
        <v>202317</v>
      </c>
      <c r="B4271" s="5" t="str">
        <f>"23085040413"</f>
        <v>23085040413</v>
      </c>
      <c r="C4271" s="6">
        <v>76.5</v>
      </c>
      <c r="D4271" s="6">
        <v>112.5</v>
      </c>
      <c r="E4271" s="6">
        <v>189</v>
      </c>
      <c r="F4271" s="11"/>
    </row>
    <row r="4272" spans="1:6">
      <c r="A4272" s="5" t="str">
        <f t="shared" si="75"/>
        <v>202317</v>
      </c>
      <c r="B4272" s="5" t="str">
        <f>"23085033227"</f>
        <v>23085033227</v>
      </c>
      <c r="C4272" s="6">
        <v>75</v>
      </c>
      <c r="D4272" s="6">
        <v>114</v>
      </c>
      <c r="E4272" s="6">
        <v>189</v>
      </c>
      <c r="F4272" s="11"/>
    </row>
    <row r="4273" spans="1:6">
      <c r="A4273" s="5" t="str">
        <f t="shared" si="75"/>
        <v>202317</v>
      </c>
      <c r="B4273" s="5" t="str">
        <f>"23085033011"</f>
        <v>23085033011</v>
      </c>
      <c r="C4273" s="6">
        <v>79.5</v>
      </c>
      <c r="D4273" s="6">
        <v>109</v>
      </c>
      <c r="E4273" s="6">
        <v>188.5</v>
      </c>
      <c r="F4273" s="11"/>
    </row>
    <row r="4274" spans="1:6">
      <c r="A4274" s="5" t="str">
        <f t="shared" si="75"/>
        <v>202317</v>
      </c>
      <c r="B4274" s="5" t="str">
        <f>"23085033406"</f>
        <v>23085033406</v>
      </c>
      <c r="C4274" s="6">
        <v>79.5</v>
      </c>
      <c r="D4274" s="6">
        <v>109</v>
      </c>
      <c r="E4274" s="6">
        <v>188.5</v>
      </c>
      <c r="F4274" s="11"/>
    </row>
    <row r="4275" spans="1:6">
      <c r="A4275" s="5" t="str">
        <f t="shared" si="75"/>
        <v>202317</v>
      </c>
      <c r="B4275" s="5" t="str">
        <f>"23085032620"</f>
        <v>23085032620</v>
      </c>
      <c r="C4275" s="6">
        <v>81</v>
      </c>
      <c r="D4275" s="6">
        <v>107.5</v>
      </c>
      <c r="E4275" s="6">
        <v>188.5</v>
      </c>
      <c r="F4275" s="11"/>
    </row>
    <row r="4276" spans="1:6">
      <c r="A4276" s="5" t="str">
        <f t="shared" si="75"/>
        <v>202317</v>
      </c>
      <c r="B4276" s="5" t="str">
        <f>"23085032025"</f>
        <v>23085032025</v>
      </c>
      <c r="C4276" s="6">
        <v>90</v>
      </c>
      <c r="D4276" s="6">
        <v>98.5</v>
      </c>
      <c r="E4276" s="6">
        <v>188.5</v>
      </c>
      <c r="F4276" s="11"/>
    </row>
    <row r="4277" spans="1:6">
      <c r="A4277" s="5" t="str">
        <f t="shared" si="75"/>
        <v>202317</v>
      </c>
      <c r="B4277" s="5" t="str">
        <f>"23085033611"</f>
        <v>23085033611</v>
      </c>
      <c r="C4277" s="6">
        <v>94.5</v>
      </c>
      <c r="D4277" s="6">
        <v>94</v>
      </c>
      <c r="E4277" s="6">
        <v>188.5</v>
      </c>
      <c r="F4277" s="11"/>
    </row>
    <row r="4278" spans="1:6">
      <c r="A4278" s="5" t="str">
        <f t="shared" si="75"/>
        <v>202317</v>
      </c>
      <c r="B4278" s="5" t="str">
        <f>"23085033003"</f>
        <v>23085033003</v>
      </c>
      <c r="C4278" s="6">
        <v>87</v>
      </c>
      <c r="D4278" s="6">
        <v>101.5</v>
      </c>
      <c r="E4278" s="6">
        <v>188.5</v>
      </c>
      <c r="F4278" s="11"/>
    </row>
    <row r="4279" spans="1:6">
      <c r="A4279" s="5" t="str">
        <f t="shared" si="75"/>
        <v>202317</v>
      </c>
      <c r="B4279" s="5" t="str">
        <f>"23085033626"</f>
        <v>23085033626</v>
      </c>
      <c r="C4279" s="6">
        <v>76.5</v>
      </c>
      <c r="D4279" s="6">
        <v>111.5</v>
      </c>
      <c r="E4279" s="6">
        <v>188</v>
      </c>
      <c r="F4279" s="11"/>
    </row>
    <row r="4280" spans="1:6">
      <c r="A4280" s="5" t="str">
        <f t="shared" si="75"/>
        <v>202317</v>
      </c>
      <c r="B4280" s="5" t="str">
        <f>"23085040412"</f>
        <v>23085040412</v>
      </c>
      <c r="C4280" s="6">
        <v>69</v>
      </c>
      <c r="D4280" s="6">
        <v>118.5</v>
      </c>
      <c r="E4280" s="6">
        <v>187.5</v>
      </c>
      <c r="F4280" s="11"/>
    </row>
    <row r="4281" spans="1:6">
      <c r="A4281" s="5" t="str">
        <f t="shared" si="75"/>
        <v>202317</v>
      </c>
      <c r="B4281" s="5" t="str">
        <f>"23085040612"</f>
        <v>23085040612</v>
      </c>
      <c r="C4281" s="6">
        <v>81</v>
      </c>
      <c r="D4281" s="6">
        <v>106.5</v>
      </c>
      <c r="E4281" s="6">
        <v>187.5</v>
      </c>
      <c r="F4281" s="11"/>
    </row>
    <row r="4282" spans="1:6">
      <c r="A4282" s="5" t="str">
        <f t="shared" si="75"/>
        <v>202317</v>
      </c>
      <c r="B4282" s="5" t="str">
        <f>"23085040209"</f>
        <v>23085040209</v>
      </c>
      <c r="C4282" s="6">
        <v>67.5</v>
      </c>
      <c r="D4282" s="6">
        <v>119.5</v>
      </c>
      <c r="E4282" s="6">
        <v>187</v>
      </c>
      <c r="F4282" s="11"/>
    </row>
    <row r="4283" spans="1:6">
      <c r="A4283" s="5" t="str">
        <f t="shared" si="75"/>
        <v>202317</v>
      </c>
      <c r="B4283" s="5" t="str">
        <f>"23085033017"</f>
        <v>23085033017</v>
      </c>
      <c r="C4283" s="6">
        <v>70.5</v>
      </c>
      <c r="D4283" s="6">
        <v>116.5</v>
      </c>
      <c r="E4283" s="6">
        <v>187</v>
      </c>
      <c r="F4283" s="11"/>
    </row>
    <row r="4284" spans="1:6">
      <c r="A4284" s="5" t="str">
        <f t="shared" si="75"/>
        <v>202317</v>
      </c>
      <c r="B4284" s="5" t="str">
        <f>"23085033203"</f>
        <v>23085033203</v>
      </c>
      <c r="C4284" s="6">
        <v>75</v>
      </c>
      <c r="D4284" s="6">
        <v>112</v>
      </c>
      <c r="E4284" s="6">
        <v>187</v>
      </c>
      <c r="F4284" s="11"/>
    </row>
    <row r="4285" spans="1:6">
      <c r="A4285" s="5" t="str">
        <f t="shared" si="75"/>
        <v>202317</v>
      </c>
      <c r="B4285" s="5" t="str">
        <f>"23085040409"</f>
        <v>23085040409</v>
      </c>
      <c r="C4285" s="6">
        <v>79.5</v>
      </c>
      <c r="D4285" s="6">
        <v>107.5</v>
      </c>
      <c r="E4285" s="6">
        <v>187</v>
      </c>
      <c r="F4285" s="11"/>
    </row>
    <row r="4286" spans="1:6">
      <c r="A4286" s="5" t="str">
        <f t="shared" si="75"/>
        <v>202317</v>
      </c>
      <c r="B4286" s="5" t="str">
        <f>"23085040313"</f>
        <v>23085040313</v>
      </c>
      <c r="C4286" s="6">
        <v>84</v>
      </c>
      <c r="D4286" s="6">
        <v>103</v>
      </c>
      <c r="E4286" s="6">
        <v>187</v>
      </c>
      <c r="F4286" s="11"/>
    </row>
    <row r="4287" spans="1:6">
      <c r="A4287" s="5" t="str">
        <f t="shared" si="75"/>
        <v>202317</v>
      </c>
      <c r="B4287" s="5" t="str">
        <f>"23085040108"</f>
        <v>23085040108</v>
      </c>
      <c r="C4287" s="6">
        <v>76.5</v>
      </c>
      <c r="D4287" s="6">
        <v>110.5</v>
      </c>
      <c r="E4287" s="6">
        <v>187</v>
      </c>
      <c r="F4287" s="11"/>
    </row>
    <row r="4288" spans="1:6">
      <c r="A4288" s="5" t="str">
        <f t="shared" ref="A4288:A4351" si="76">"202317"</f>
        <v>202317</v>
      </c>
      <c r="B4288" s="5" t="str">
        <f>"23085032404"</f>
        <v>23085032404</v>
      </c>
      <c r="C4288" s="6">
        <v>78</v>
      </c>
      <c r="D4288" s="6">
        <v>108.5</v>
      </c>
      <c r="E4288" s="6">
        <v>186.5</v>
      </c>
      <c r="F4288" s="11"/>
    </row>
    <row r="4289" spans="1:6">
      <c r="A4289" s="5" t="str">
        <f t="shared" si="76"/>
        <v>202317</v>
      </c>
      <c r="B4289" s="5" t="str">
        <f>"23085033229"</f>
        <v>23085033229</v>
      </c>
      <c r="C4289" s="6">
        <v>78</v>
      </c>
      <c r="D4289" s="6">
        <v>108.5</v>
      </c>
      <c r="E4289" s="6">
        <v>186.5</v>
      </c>
      <c r="F4289" s="11"/>
    </row>
    <row r="4290" spans="1:6">
      <c r="A4290" s="5" t="str">
        <f t="shared" si="76"/>
        <v>202317</v>
      </c>
      <c r="B4290" s="5" t="str">
        <f>"23085040305"</f>
        <v>23085040305</v>
      </c>
      <c r="C4290" s="6">
        <v>76.5</v>
      </c>
      <c r="D4290" s="6">
        <v>110</v>
      </c>
      <c r="E4290" s="6">
        <v>186.5</v>
      </c>
      <c r="F4290" s="11"/>
    </row>
    <row r="4291" spans="1:6">
      <c r="A4291" s="5" t="str">
        <f t="shared" si="76"/>
        <v>202317</v>
      </c>
      <c r="B4291" s="5" t="str">
        <f>"23085032018"</f>
        <v>23085032018</v>
      </c>
      <c r="C4291" s="6">
        <v>87</v>
      </c>
      <c r="D4291" s="6">
        <v>99</v>
      </c>
      <c r="E4291" s="6">
        <v>186</v>
      </c>
      <c r="F4291" s="11"/>
    </row>
    <row r="4292" spans="1:6">
      <c r="A4292" s="5" t="str">
        <f t="shared" si="76"/>
        <v>202317</v>
      </c>
      <c r="B4292" s="5" t="str">
        <f>"23085040302"</f>
        <v>23085040302</v>
      </c>
      <c r="C4292" s="6">
        <v>87</v>
      </c>
      <c r="D4292" s="6">
        <v>99</v>
      </c>
      <c r="E4292" s="6">
        <v>186</v>
      </c>
      <c r="F4292" s="11"/>
    </row>
    <row r="4293" spans="1:6">
      <c r="A4293" s="5" t="str">
        <f t="shared" si="76"/>
        <v>202317</v>
      </c>
      <c r="B4293" s="5" t="str">
        <f>"23085033322"</f>
        <v>23085033322</v>
      </c>
      <c r="C4293" s="6">
        <v>76.5</v>
      </c>
      <c r="D4293" s="6">
        <v>109</v>
      </c>
      <c r="E4293" s="6">
        <v>185.5</v>
      </c>
      <c r="F4293" s="11"/>
    </row>
    <row r="4294" spans="1:6">
      <c r="A4294" s="5" t="str">
        <f t="shared" si="76"/>
        <v>202317</v>
      </c>
      <c r="B4294" s="5" t="str">
        <f>"23085040530"</f>
        <v>23085040530</v>
      </c>
      <c r="C4294" s="6">
        <v>76.5</v>
      </c>
      <c r="D4294" s="6">
        <v>109</v>
      </c>
      <c r="E4294" s="6">
        <v>185.5</v>
      </c>
      <c r="F4294" s="11"/>
    </row>
    <row r="4295" spans="1:6">
      <c r="A4295" s="5" t="str">
        <f t="shared" si="76"/>
        <v>202317</v>
      </c>
      <c r="B4295" s="5" t="str">
        <f>"23085040122"</f>
        <v>23085040122</v>
      </c>
      <c r="C4295" s="6">
        <v>75</v>
      </c>
      <c r="D4295" s="6">
        <v>110.5</v>
      </c>
      <c r="E4295" s="6">
        <v>185.5</v>
      </c>
      <c r="F4295" s="11"/>
    </row>
    <row r="4296" spans="1:6">
      <c r="A4296" s="5" t="str">
        <f t="shared" si="76"/>
        <v>202317</v>
      </c>
      <c r="B4296" s="5" t="str">
        <f>"23085033023"</f>
        <v>23085033023</v>
      </c>
      <c r="C4296" s="6">
        <v>78</v>
      </c>
      <c r="D4296" s="6">
        <v>107.5</v>
      </c>
      <c r="E4296" s="6">
        <v>185.5</v>
      </c>
      <c r="F4296" s="11"/>
    </row>
    <row r="4297" spans="1:6">
      <c r="A4297" s="5" t="str">
        <f t="shared" si="76"/>
        <v>202317</v>
      </c>
      <c r="B4297" s="5" t="str">
        <f>"23085032422"</f>
        <v>23085032422</v>
      </c>
      <c r="C4297" s="6">
        <v>94.5</v>
      </c>
      <c r="D4297" s="6">
        <v>90.5</v>
      </c>
      <c r="E4297" s="6">
        <v>185</v>
      </c>
      <c r="F4297" s="11"/>
    </row>
    <row r="4298" spans="1:6">
      <c r="A4298" s="5" t="str">
        <f t="shared" si="76"/>
        <v>202317</v>
      </c>
      <c r="B4298" s="5" t="str">
        <f>"23085032502"</f>
        <v>23085032502</v>
      </c>
      <c r="C4298" s="6">
        <v>73.5</v>
      </c>
      <c r="D4298" s="6">
        <v>111.5</v>
      </c>
      <c r="E4298" s="6">
        <v>185</v>
      </c>
      <c r="F4298" s="11"/>
    </row>
    <row r="4299" spans="1:6">
      <c r="A4299" s="5" t="str">
        <f t="shared" si="76"/>
        <v>202317</v>
      </c>
      <c r="B4299" s="5" t="str">
        <f>"23085032522"</f>
        <v>23085032522</v>
      </c>
      <c r="C4299" s="6">
        <v>82.5</v>
      </c>
      <c r="D4299" s="6">
        <v>102.5</v>
      </c>
      <c r="E4299" s="6">
        <v>185</v>
      </c>
      <c r="F4299" s="11"/>
    </row>
    <row r="4300" spans="1:6">
      <c r="A4300" s="5" t="str">
        <f t="shared" si="76"/>
        <v>202317</v>
      </c>
      <c r="B4300" s="5" t="str">
        <f>"23085034027"</f>
        <v>23085034027</v>
      </c>
      <c r="C4300" s="6">
        <v>70.5</v>
      </c>
      <c r="D4300" s="6">
        <v>114.5</v>
      </c>
      <c r="E4300" s="6">
        <v>185</v>
      </c>
      <c r="F4300" s="11"/>
    </row>
    <row r="4301" spans="1:6">
      <c r="A4301" s="5" t="str">
        <f t="shared" si="76"/>
        <v>202317</v>
      </c>
      <c r="B4301" s="5" t="str">
        <f>"23085033510"</f>
        <v>23085033510</v>
      </c>
      <c r="C4301" s="6">
        <v>63</v>
      </c>
      <c r="D4301" s="6">
        <v>122</v>
      </c>
      <c r="E4301" s="6">
        <v>185</v>
      </c>
      <c r="F4301" s="11"/>
    </row>
    <row r="4302" spans="1:6">
      <c r="A4302" s="5" t="str">
        <f t="shared" si="76"/>
        <v>202317</v>
      </c>
      <c r="B4302" s="5" t="str">
        <f>"23085033020"</f>
        <v>23085033020</v>
      </c>
      <c r="C4302" s="6">
        <v>72</v>
      </c>
      <c r="D4302" s="6">
        <v>113</v>
      </c>
      <c r="E4302" s="6">
        <v>185</v>
      </c>
      <c r="F4302" s="11"/>
    </row>
    <row r="4303" spans="1:6">
      <c r="A4303" s="5" t="str">
        <f t="shared" si="76"/>
        <v>202317</v>
      </c>
      <c r="B4303" s="5" t="str">
        <f>"23085032501"</f>
        <v>23085032501</v>
      </c>
      <c r="C4303" s="6">
        <v>79.5</v>
      </c>
      <c r="D4303" s="6">
        <v>105.5</v>
      </c>
      <c r="E4303" s="6">
        <v>185</v>
      </c>
      <c r="F4303" s="11"/>
    </row>
    <row r="4304" spans="1:6">
      <c r="A4304" s="5" t="str">
        <f t="shared" si="76"/>
        <v>202317</v>
      </c>
      <c r="B4304" s="5" t="str">
        <f>"23085031909"</f>
        <v>23085031909</v>
      </c>
      <c r="C4304" s="6">
        <v>87</v>
      </c>
      <c r="D4304" s="6">
        <v>97.5</v>
      </c>
      <c r="E4304" s="6">
        <v>184.5</v>
      </c>
      <c r="F4304" s="11"/>
    </row>
    <row r="4305" spans="1:6">
      <c r="A4305" s="5" t="str">
        <f t="shared" si="76"/>
        <v>202317</v>
      </c>
      <c r="B4305" s="5" t="str">
        <f>"23085033624"</f>
        <v>23085033624</v>
      </c>
      <c r="C4305" s="6">
        <v>82.5</v>
      </c>
      <c r="D4305" s="6">
        <v>102</v>
      </c>
      <c r="E4305" s="6">
        <v>184.5</v>
      </c>
      <c r="F4305" s="11"/>
    </row>
    <row r="4306" spans="1:6">
      <c r="A4306" s="5" t="str">
        <f t="shared" si="76"/>
        <v>202317</v>
      </c>
      <c r="B4306" s="5" t="str">
        <f>"23085033828"</f>
        <v>23085033828</v>
      </c>
      <c r="C4306" s="6">
        <v>72</v>
      </c>
      <c r="D4306" s="6">
        <v>112.5</v>
      </c>
      <c r="E4306" s="6">
        <v>184.5</v>
      </c>
      <c r="F4306" s="11"/>
    </row>
    <row r="4307" spans="1:6">
      <c r="A4307" s="5" t="str">
        <f t="shared" si="76"/>
        <v>202317</v>
      </c>
      <c r="B4307" s="5" t="str">
        <f>"23085032027"</f>
        <v>23085032027</v>
      </c>
      <c r="C4307" s="6">
        <v>72</v>
      </c>
      <c r="D4307" s="6">
        <v>112</v>
      </c>
      <c r="E4307" s="6">
        <v>184</v>
      </c>
      <c r="F4307" s="11"/>
    </row>
    <row r="4308" spans="1:6">
      <c r="A4308" s="5" t="str">
        <f t="shared" si="76"/>
        <v>202317</v>
      </c>
      <c r="B4308" s="5" t="str">
        <f>"23085032203"</f>
        <v>23085032203</v>
      </c>
      <c r="C4308" s="6">
        <v>73.5</v>
      </c>
      <c r="D4308" s="6">
        <v>110.5</v>
      </c>
      <c r="E4308" s="6">
        <v>184</v>
      </c>
      <c r="F4308" s="11"/>
    </row>
    <row r="4309" spans="1:6">
      <c r="A4309" s="5" t="str">
        <f t="shared" si="76"/>
        <v>202317</v>
      </c>
      <c r="B4309" s="5" t="str">
        <f>"23085040525"</f>
        <v>23085040525</v>
      </c>
      <c r="C4309" s="6">
        <v>81</v>
      </c>
      <c r="D4309" s="6">
        <v>103</v>
      </c>
      <c r="E4309" s="6">
        <v>184</v>
      </c>
      <c r="F4309" s="11"/>
    </row>
    <row r="4310" spans="1:6">
      <c r="A4310" s="5" t="str">
        <f t="shared" si="76"/>
        <v>202317</v>
      </c>
      <c r="B4310" s="5" t="str">
        <f>"23085033009"</f>
        <v>23085033009</v>
      </c>
      <c r="C4310" s="6">
        <v>87</v>
      </c>
      <c r="D4310" s="6">
        <v>97</v>
      </c>
      <c r="E4310" s="6">
        <v>184</v>
      </c>
      <c r="F4310" s="11"/>
    </row>
    <row r="4311" spans="1:6">
      <c r="A4311" s="5" t="str">
        <f t="shared" si="76"/>
        <v>202317</v>
      </c>
      <c r="B4311" s="5" t="str">
        <f>"23085032924"</f>
        <v>23085032924</v>
      </c>
      <c r="C4311" s="6">
        <v>105</v>
      </c>
      <c r="D4311" s="6">
        <v>79</v>
      </c>
      <c r="E4311" s="6">
        <v>184</v>
      </c>
      <c r="F4311" s="11"/>
    </row>
    <row r="4312" spans="1:6">
      <c r="A4312" s="5" t="str">
        <f t="shared" si="76"/>
        <v>202317</v>
      </c>
      <c r="B4312" s="5" t="str">
        <f>"23085040516"</f>
        <v>23085040516</v>
      </c>
      <c r="C4312" s="6">
        <v>76.5</v>
      </c>
      <c r="D4312" s="6">
        <v>107.5</v>
      </c>
      <c r="E4312" s="6">
        <v>184</v>
      </c>
      <c r="F4312" s="11"/>
    </row>
    <row r="4313" spans="1:6">
      <c r="A4313" s="5" t="str">
        <f t="shared" si="76"/>
        <v>202317</v>
      </c>
      <c r="B4313" s="5" t="str">
        <f>"23085040506"</f>
        <v>23085040506</v>
      </c>
      <c r="C4313" s="6">
        <v>85.5</v>
      </c>
      <c r="D4313" s="6">
        <v>98.5</v>
      </c>
      <c r="E4313" s="6">
        <v>184</v>
      </c>
      <c r="F4313" s="11"/>
    </row>
    <row r="4314" spans="1:6">
      <c r="A4314" s="5" t="str">
        <f t="shared" si="76"/>
        <v>202317</v>
      </c>
      <c r="B4314" s="5" t="str">
        <f>"23085032518"</f>
        <v>23085032518</v>
      </c>
      <c r="C4314" s="6">
        <v>73.5</v>
      </c>
      <c r="D4314" s="6">
        <v>110</v>
      </c>
      <c r="E4314" s="6">
        <v>183.5</v>
      </c>
      <c r="F4314" s="11"/>
    </row>
    <row r="4315" spans="1:6">
      <c r="A4315" s="5" t="str">
        <f t="shared" si="76"/>
        <v>202317</v>
      </c>
      <c r="B4315" s="5" t="str">
        <f>"23085032323"</f>
        <v>23085032323</v>
      </c>
      <c r="C4315" s="6">
        <v>72</v>
      </c>
      <c r="D4315" s="6">
        <v>111.5</v>
      </c>
      <c r="E4315" s="6">
        <v>183.5</v>
      </c>
      <c r="F4315" s="11"/>
    </row>
    <row r="4316" spans="1:6">
      <c r="A4316" s="5" t="str">
        <f t="shared" si="76"/>
        <v>202317</v>
      </c>
      <c r="B4316" s="5" t="str">
        <f>"23085032012"</f>
        <v>23085032012</v>
      </c>
      <c r="C4316" s="6">
        <v>85.5</v>
      </c>
      <c r="D4316" s="6">
        <v>98</v>
      </c>
      <c r="E4316" s="6">
        <v>183.5</v>
      </c>
      <c r="F4316" s="11"/>
    </row>
    <row r="4317" spans="1:6">
      <c r="A4317" s="5" t="str">
        <f t="shared" si="76"/>
        <v>202317</v>
      </c>
      <c r="B4317" s="5" t="str">
        <f>"23085032822"</f>
        <v>23085032822</v>
      </c>
      <c r="C4317" s="6">
        <v>73.5</v>
      </c>
      <c r="D4317" s="6">
        <v>109.5</v>
      </c>
      <c r="E4317" s="6">
        <v>183</v>
      </c>
      <c r="F4317" s="11"/>
    </row>
    <row r="4318" spans="1:6">
      <c r="A4318" s="5" t="str">
        <f t="shared" si="76"/>
        <v>202317</v>
      </c>
      <c r="B4318" s="5" t="str">
        <f>"23085033021"</f>
        <v>23085033021</v>
      </c>
      <c r="C4318" s="6">
        <v>79.5</v>
      </c>
      <c r="D4318" s="6">
        <v>103.5</v>
      </c>
      <c r="E4318" s="6">
        <v>183</v>
      </c>
      <c r="F4318" s="11"/>
    </row>
    <row r="4319" spans="1:6">
      <c r="A4319" s="5" t="str">
        <f t="shared" si="76"/>
        <v>202317</v>
      </c>
      <c r="B4319" s="5" t="str">
        <f>"23085033604"</f>
        <v>23085033604</v>
      </c>
      <c r="C4319" s="6">
        <v>87</v>
      </c>
      <c r="D4319" s="6">
        <v>96</v>
      </c>
      <c r="E4319" s="6">
        <v>183</v>
      </c>
      <c r="F4319" s="11"/>
    </row>
    <row r="4320" spans="1:6">
      <c r="A4320" s="5" t="str">
        <f t="shared" si="76"/>
        <v>202317</v>
      </c>
      <c r="B4320" s="5" t="str">
        <f>"23085031919"</f>
        <v>23085031919</v>
      </c>
      <c r="C4320" s="6">
        <v>96</v>
      </c>
      <c r="D4320" s="6">
        <v>87</v>
      </c>
      <c r="E4320" s="6">
        <v>183</v>
      </c>
      <c r="F4320" s="11"/>
    </row>
    <row r="4321" spans="1:6">
      <c r="A4321" s="5" t="str">
        <f t="shared" si="76"/>
        <v>202317</v>
      </c>
      <c r="B4321" s="5" t="str">
        <f>"23085040604"</f>
        <v>23085040604</v>
      </c>
      <c r="C4321" s="6">
        <v>75</v>
      </c>
      <c r="D4321" s="6">
        <v>108</v>
      </c>
      <c r="E4321" s="6">
        <v>183</v>
      </c>
      <c r="F4321" s="11"/>
    </row>
    <row r="4322" spans="1:6">
      <c r="A4322" s="5" t="str">
        <f t="shared" si="76"/>
        <v>202317</v>
      </c>
      <c r="B4322" s="5" t="str">
        <f>"23085033218"</f>
        <v>23085033218</v>
      </c>
      <c r="C4322" s="6">
        <v>85.5</v>
      </c>
      <c r="D4322" s="6">
        <v>97</v>
      </c>
      <c r="E4322" s="6">
        <v>182.5</v>
      </c>
      <c r="F4322" s="11"/>
    </row>
    <row r="4323" spans="1:6">
      <c r="A4323" s="5" t="str">
        <f t="shared" si="76"/>
        <v>202317</v>
      </c>
      <c r="B4323" s="5" t="str">
        <f>"23085031911"</f>
        <v>23085031911</v>
      </c>
      <c r="C4323" s="6">
        <v>70.5</v>
      </c>
      <c r="D4323" s="6">
        <v>112</v>
      </c>
      <c r="E4323" s="6">
        <v>182.5</v>
      </c>
      <c r="F4323" s="11"/>
    </row>
    <row r="4324" spans="1:6">
      <c r="A4324" s="5" t="str">
        <f t="shared" si="76"/>
        <v>202317</v>
      </c>
      <c r="B4324" s="5" t="str">
        <f>"23085033225"</f>
        <v>23085033225</v>
      </c>
      <c r="C4324" s="6">
        <v>93</v>
      </c>
      <c r="D4324" s="6">
        <v>89.5</v>
      </c>
      <c r="E4324" s="6">
        <v>182.5</v>
      </c>
      <c r="F4324" s="11"/>
    </row>
    <row r="4325" spans="1:6">
      <c r="A4325" s="5" t="str">
        <f t="shared" si="76"/>
        <v>202317</v>
      </c>
      <c r="B4325" s="5" t="str">
        <f>"23085034011"</f>
        <v>23085034011</v>
      </c>
      <c r="C4325" s="6">
        <v>69</v>
      </c>
      <c r="D4325" s="6">
        <v>113.5</v>
      </c>
      <c r="E4325" s="6">
        <v>182.5</v>
      </c>
      <c r="F4325" s="11"/>
    </row>
    <row r="4326" spans="1:6">
      <c r="A4326" s="5" t="str">
        <f t="shared" si="76"/>
        <v>202317</v>
      </c>
      <c r="B4326" s="5" t="str">
        <f>"23085040217"</f>
        <v>23085040217</v>
      </c>
      <c r="C4326" s="6">
        <v>66</v>
      </c>
      <c r="D4326" s="6">
        <v>116.5</v>
      </c>
      <c r="E4326" s="6">
        <v>182.5</v>
      </c>
      <c r="F4326" s="11"/>
    </row>
    <row r="4327" spans="1:6">
      <c r="A4327" s="5" t="str">
        <f t="shared" si="76"/>
        <v>202317</v>
      </c>
      <c r="B4327" s="5" t="str">
        <f>"23085032616"</f>
        <v>23085032616</v>
      </c>
      <c r="C4327" s="6">
        <v>69</v>
      </c>
      <c r="D4327" s="6">
        <v>113.5</v>
      </c>
      <c r="E4327" s="6">
        <v>182.5</v>
      </c>
      <c r="F4327" s="11"/>
    </row>
    <row r="4328" spans="1:6">
      <c r="A4328" s="5" t="str">
        <f t="shared" si="76"/>
        <v>202317</v>
      </c>
      <c r="B4328" s="5" t="str">
        <f>"23085040414"</f>
        <v>23085040414</v>
      </c>
      <c r="C4328" s="6">
        <v>72</v>
      </c>
      <c r="D4328" s="6">
        <v>110</v>
      </c>
      <c r="E4328" s="6">
        <v>182</v>
      </c>
      <c r="F4328" s="11"/>
    </row>
    <row r="4329" spans="1:6">
      <c r="A4329" s="5" t="str">
        <f t="shared" si="76"/>
        <v>202317</v>
      </c>
      <c r="B4329" s="5" t="str">
        <f>"23085032723"</f>
        <v>23085032723</v>
      </c>
      <c r="C4329" s="6">
        <v>76.5</v>
      </c>
      <c r="D4329" s="6">
        <v>105.5</v>
      </c>
      <c r="E4329" s="6">
        <v>182</v>
      </c>
      <c r="F4329" s="11"/>
    </row>
    <row r="4330" spans="1:6">
      <c r="A4330" s="5" t="str">
        <f t="shared" si="76"/>
        <v>202317</v>
      </c>
      <c r="B4330" s="5" t="str">
        <f>"23085040307"</f>
        <v>23085040307</v>
      </c>
      <c r="C4330" s="6">
        <v>82.5</v>
      </c>
      <c r="D4330" s="6">
        <v>99.5</v>
      </c>
      <c r="E4330" s="6">
        <v>182</v>
      </c>
      <c r="F4330" s="11"/>
    </row>
    <row r="4331" spans="1:6">
      <c r="A4331" s="5" t="str">
        <f t="shared" si="76"/>
        <v>202317</v>
      </c>
      <c r="B4331" s="5" t="str">
        <f>"23085040407"</f>
        <v>23085040407</v>
      </c>
      <c r="C4331" s="6">
        <v>75</v>
      </c>
      <c r="D4331" s="6">
        <v>107</v>
      </c>
      <c r="E4331" s="6">
        <v>182</v>
      </c>
      <c r="F4331" s="11"/>
    </row>
    <row r="4332" spans="1:6">
      <c r="A4332" s="5" t="str">
        <f t="shared" si="76"/>
        <v>202317</v>
      </c>
      <c r="B4332" s="5" t="str">
        <f>"23085031904"</f>
        <v>23085031904</v>
      </c>
      <c r="C4332" s="6">
        <v>63</v>
      </c>
      <c r="D4332" s="6">
        <v>119</v>
      </c>
      <c r="E4332" s="6">
        <v>182</v>
      </c>
      <c r="F4332" s="11"/>
    </row>
    <row r="4333" spans="1:6">
      <c r="A4333" s="5" t="str">
        <f t="shared" si="76"/>
        <v>202317</v>
      </c>
      <c r="B4333" s="5" t="str">
        <f>"23085033523"</f>
        <v>23085033523</v>
      </c>
      <c r="C4333" s="6">
        <v>69</v>
      </c>
      <c r="D4333" s="6">
        <v>113</v>
      </c>
      <c r="E4333" s="6">
        <v>182</v>
      </c>
      <c r="F4333" s="11"/>
    </row>
    <row r="4334" spans="1:6">
      <c r="A4334" s="5" t="str">
        <f t="shared" si="76"/>
        <v>202317</v>
      </c>
      <c r="B4334" s="5" t="str">
        <f>"23085040312"</f>
        <v>23085040312</v>
      </c>
      <c r="C4334" s="6">
        <v>72</v>
      </c>
      <c r="D4334" s="6">
        <v>110</v>
      </c>
      <c r="E4334" s="6">
        <v>182</v>
      </c>
      <c r="F4334" s="11"/>
    </row>
    <row r="4335" spans="1:6">
      <c r="A4335" s="5" t="str">
        <f t="shared" si="76"/>
        <v>202317</v>
      </c>
      <c r="B4335" s="5" t="str">
        <f>"23085032112"</f>
        <v>23085032112</v>
      </c>
      <c r="C4335" s="6">
        <v>69</v>
      </c>
      <c r="D4335" s="6">
        <v>113</v>
      </c>
      <c r="E4335" s="6">
        <v>182</v>
      </c>
      <c r="F4335" s="11"/>
    </row>
    <row r="4336" spans="1:6">
      <c r="A4336" s="5" t="str">
        <f t="shared" si="76"/>
        <v>202317</v>
      </c>
      <c r="B4336" s="5" t="str">
        <f>"23085040410"</f>
        <v>23085040410</v>
      </c>
      <c r="C4336" s="6">
        <v>70.5</v>
      </c>
      <c r="D4336" s="6">
        <v>111.5</v>
      </c>
      <c r="E4336" s="6">
        <v>182</v>
      </c>
      <c r="F4336" s="11"/>
    </row>
    <row r="4337" spans="1:6">
      <c r="A4337" s="5" t="str">
        <f t="shared" si="76"/>
        <v>202317</v>
      </c>
      <c r="B4337" s="5" t="str">
        <f>"23085032312"</f>
        <v>23085032312</v>
      </c>
      <c r="C4337" s="6">
        <v>81</v>
      </c>
      <c r="D4337" s="6">
        <v>101</v>
      </c>
      <c r="E4337" s="6">
        <v>182</v>
      </c>
      <c r="F4337" s="11"/>
    </row>
    <row r="4338" spans="1:6">
      <c r="A4338" s="5" t="str">
        <f t="shared" si="76"/>
        <v>202317</v>
      </c>
      <c r="B4338" s="5" t="str">
        <f>"23085032807"</f>
        <v>23085032807</v>
      </c>
      <c r="C4338" s="6">
        <v>76.5</v>
      </c>
      <c r="D4338" s="6">
        <v>105.5</v>
      </c>
      <c r="E4338" s="6">
        <v>182</v>
      </c>
      <c r="F4338" s="11"/>
    </row>
    <row r="4339" spans="1:6">
      <c r="A4339" s="5" t="str">
        <f t="shared" si="76"/>
        <v>202317</v>
      </c>
      <c r="B4339" s="5" t="str">
        <f>"23085032713"</f>
        <v>23085032713</v>
      </c>
      <c r="C4339" s="6">
        <v>72</v>
      </c>
      <c r="D4339" s="6">
        <v>110</v>
      </c>
      <c r="E4339" s="6">
        <v>182</v>
      </c>
      <c r="F4339" s="11"/>
    </row>
    <row r="4340" spans="1:6">
      <c r="A4340" s="5" t="str">
        <f t="shared" si="76"/>
        <v>202317</v>
      </c>
      <c r="B4340" s="5" t="str">
        <f>"23085032930"</f>
        <v>23085032930</v>
      </c>
      <c r="C4340" s="6">
        <v>73.5</v>
      </c>
      <c r="D4340" s="6">
        <v>108</v>
      </c>
      <c r="E4340" s="6">
        <v>181.5</v>
      </c>
      <c r="F4340" s="11"/>
    </row>
    <row r="4341" spans="1:6">
      <c r="A4341" s="5" t="str">
        <f t="shared" si="76"/>
        <v>202317</v>
      </c>
      <c r="B4341" s="5" t="str">
        <f>"23085033630"</f>
        <v>23085033630</v>
      </c>
      <c r="C4341" s="6">
        <v>66</v>
      </c>
      <c r="D4341" s="6">
        <v>115.5</v>
      </c>
      <c r="E4341" s="6">
        <v>181.5</v>
      </c>
      <c r="F4341" s="11"/>
    </row>
    <row r="4342" spans="1:6">
      <c r="A4342" s="5" t="str">
        <f t="shared" si="76"/>
        <v>202317</v>
      </c>
      <c r="B4342" s="5" t="str">
        <f>"23085033219"</f>
        <v>23085033219</v>
      </c>
      <c r="C4342" s="6">
        <v>73.5</v>
      </c>
      <c r="D4342" s="6">
        <v>108</v>
      </c>
      <c r="E4342" s="6">
        <v>181.5</v>
      </c>
      <c r="F4342" s="11"/>
    </row>
    <row r="4343" spans="1:6">
      <c r="A4343" s="5" t="str">
        <f t="shared" si="76"/>
        <v>202317</v>
      </c>
      <c r="B4343" s="5" t="str">
        <f>"23085032409"</f>
        <v>23085032409</v>
      </c>
      <c r="C4343" s="6">
        <v>84</v>
      </c>
      <c r="D4343" s="6">
        <v>97</v>
      </c>
      <c r="E4343" s="6">
        <v>181</v>
      </c>
      <c r="F4343" s="11"/>
    </row>
    <row r="4344" spans="1:6">
      <c r="A4344" s="5" t="str">
        <f t="shared" si="76"/>
        <v>202317</v>
      </c>
      <c r="B4344" s="5" t="str">
        <f>"23085032307"</f>
        <v>23085032307</v>
      </c>
      <c r="C4344" s="6">
        <v>67.5</v>
      </c>
      <c r="D4344" s="6">
        <v>113.5</v>
      </c>
      <c r="E4344" s="6">
        <v>181</v>
      </c>
      <c r="F4344" s="11"/>
    </row>
    <row r="4345" spans="1:6">
      <c r="A4345" s="5" t="str">
        <f t="shared" si="76"/>
        <v>202317</v>
      </c>
      <c r="B4345" s="5" t="str">
        <f>"23085033205"</f>
        <v>23085033205</v>
      </c>
      <c r="C4345" s="6">
        <v>70.5</v>
      </c>
      <c r="D4345" s="6">
        <v>110.5</v>
      </c>
      <c r="E4345" s="6">
        <v>181</v>
      </c>
      <c r="F4345" s="11"/>
    </row>
    <row r="4346" spans="1:6">
      <c r="A4346" s="5" t="str">
        <f t="shared" si="76"/>
        <v>202317</v>
      </c>
      <c r="B4346" s="5" t="str">
        <f>"23085032810"</f>
        <v>23085032810</v>
      </c>
      <c r="C4346" s="6">
        <v>84</v>
      </c>
      <c r="D4346" s="6">
        <v>97</v>
      </c>
      <c r="E4346" s="6">
        <v>181</v>
      </c>
      <c r="F4346" s="11"/>
    </row>
    <row r="4347" spans="1:6">
      <c r="A4347" s="5" t="str">
        <f t="shared" si="76"/>
        <v>202317</v>
      </c>
      <c r="B4347" s="5" t="str">
        <f>"23085033417"</f>
        <v>23085033417</v>
      </c>
      <c r="C4347" s="6">
        <v>64.5</v>
      </c>
      <c r="D4347" s="6">
        <v>116</v>
      </c>
      <c r="E4347" s="6">
        <v>180.5</v>
      </c>
      <c r="F4347" s="11"/>
    </row>
    <row r="4348" spans="1:6">
      <c r="A4348" s="5" t="str">
        <f t="shared" si="76"/>
        <v>202317</v>
      </c>
      <c r="B4348" s="5" t="str">
        <f>"23085040523"</f>
        <v>23085040523</v>
      </c>
      <c r="C4348" s="6">
        <v>72</v>
      </c>
      <c r="D4348" s="6">
        <v>108</v>
      </c>
      <c r="E4348" s="6">
        <v>180</v>
      </c>
      <c r="F4348" s="11"/>
    </row>
    <row r="4349" spans="1:6">
      <c r="A4349" s="5" t="str">
        <f t="shared" si="76"/>
        <v>202317</v>
      </c>
      <c r="B4349" s="5" t="str">
        <f>"23085033729"</f>
        <v>23085033729</v>
      </c>
      <c r="C4349" s="6">
        <v>78</v>
      </c>
      <c r="D4349" s="6">
        <v>102</v>
      </c>
      <c r="E4349" s="6">
        <v>180</v>
      </c>
      <c r="F4349" s="11"/>
    </row>
    <row r="4350" spans="1:6">
      <c r="A4350" s="5" t="str">
        <f t="shared" si="76"/>
        <v>202317</v>
      </c>
      <c r="B4350" s="5" t="str">
        <f>"23085032017"</f>
        <v>23085032017</v>
      </c>
      <c r="C4350" s="6">
        <v>72</v>
      </c>
      <c r="D4350" s="6">
        <v>107.5</v>
      </c>
      <c r="E4350" s="6">
        <v>179.5</v>
      </c>
      <c r="F4350" s="11"/>
    </row>
    <row r="4351" spans="1:6">
      <c r="A4351" s="5" t="str">
        <f t="shared" si="76"/>
        <v>202317</v>
      </c>
      <c r="B4351" s="5" t="str">
        <f>"23085031825"</f>
        <v>23085031825</v>
      </c>
      <c r="C4351" s="6">
        <v>73.5</v>
      </c>
      <c r="D4351" s="6">
        <v>106</v>
      </c>
      <c r="E4351" s="6">
        <v>179.5</v>
      </c>
      <c r="F4351" s="11"/>
    </row>
    <row r="4352" spans="1:6">
      <c r="A4352" s="5" t="str">
        <f t="shared" ref="A4352:A4415" si="77">"202317"</f>
        <v>202317</v>
      </c>
      <c r="B4352" s="5" t="str">
        <f>"23085032914"</f>
        <v>23085032914</v>
      </c>
      <c r="C4352" s="6">
        <v>72</v>
      </c>
      <c r="D4352" s="6">
        <v>107.5</v>
      </c>
      <c r="E4352" s="6">
        <v>179.5</v>
      </c>
      <c r="F4352" s="11"/>
    </row>
    <row r="4353" spans="1:6">
      <c r="A4353" s="5" t="str">
        <f t="shared" si="77"/>
        <v>202317</v>
      </c>
      <c r="B4353" s="5" t="str">
        <f>"23085032629"</f>
        <v>23085032629</v>
      </c>
      <c r="C4353" s="6">
        <v>73.5</v>
      </c>
      <c r="D4353" s="6">
        <v>106</v>
      </c>
      <c r="E4353" s="6">
        <v>179.5</v>
      </c>
      <c r="F4353" s="11"/>
    </row>
    <row r="4354" spans="1:6">
      <c r="A4354" s="5" t="str">
        <f t="shared" si="77"/>
        <v>202317</v>
      </c>
      <c r="B4354" s="5" t="str">
        <f>"23085033430"</f>
        <v>23085033430</v>
      </c>
      <c r="C4354" s="6">
        <v>75</v>
      </c>
      <c r="D4354" s="6">
        <v>104</v>
      </c>
      <c r="E4354" s="6">
        <v>179</v>
      </c>
      <c r="F4354" s="11"/>
    </row>
    <row r="4355" spans="1:6">
      <c r="A4355" s="5" t="str">
        <f t="shared" si="77"/>
        <v>202317</v>
      </c>
      <c r="B4355" s="5" t="str">
        <f>"23085040423"</f>
        <v>23085040423</v>
      </c>
      <c r="C4355" s="6">
        <v>73.5</v>
      </c>
      <c r="D4355" s="6">
        <v>105</v>
      </c>
      <c r="E4355" s="6">
        <v>178.5</v>
      </c>
      <c r="F4355" s="11"/>
    </row>
    <row r="4356" spans="1:6">
      <c r="A4356" s="5" t="str">
        <f t="shared" si="77"/>
        <v>202317</v>
      </c>
      <c r="B4356" s="5" t="str">
        <f>"23085033014"</f>
        <v>23085033014</v>
      </c>
      <c r="C4356" s="6">
        <v>67.5</v>
      </c>
      <c r="D4356" s="6">
        <v>111</v>
      </c>
      <c r="E4356" s="6">
        <v>178.5</v>
      </c>
      <c r="F4356" s="11"/>
    </row>
    <row r="4357" spans="1:6">
      <c r="A4357" s="5" t="str">
        <f t="shared" si="77"/>
        <v>202317</v>
      </c>
      <c r="B4357" s="5" t="str">
        <f>"23085033513"</f>
        <v>23085033513</v>
      </c>
      <c r="C4357" s="6">
        <v>76.5</v>
      </c>
      <c r="D4357" s="6">
        <v>101.5</v>
      </c>
      <c r="E4357" s="6">
        <v>178</v>
      </c>
      <c r="F4357" s="11"/>
    </row>
    <row r="4358" spans="1:6">
      <c r="A4358" s="5" t="str">
        <f t="shared" si="77"/>
        <v>202317</v>
      </c>
      <c r="B4358" s="5" t="str">
        <f>"23085034018"</f>
        <v>23085034018</v>
      </c>
      <c r="C4358" s="6">
        <v>76.5</v>
      </c>
      <c r="D4358" s="6">
        <v>101.5</v>
      </c>
      <c r="E4358" s="6">
        <v>178</v>
      </c>
      <c r="F4358" s="11"/>
    </row>
    <row r="4359" spans="1:6">
      <c r="A4359" s="5" t="str">
        <f t="shared" si="77"/>
        <v>202317</v>
      </c>
      <c r="B4359" s="5" t="str">
        <f>"23085034023"</f>
        <v>23085034023</v>
      </c>
      <c r="C4359" s="6">
        <v>64.5</v>
      </c>
      <c r="D4359" s="6">
        <v>113</v>
      </c>
      <c r="E4359" s="6">
        <v>177.5</v>
      </c>
      <c r="F4359" s="11"/>
    </row>
    <row r="4360" spans="1:6">
      <c r="A4360" s="5" t="str">
        <f t="shared" si="77"/>
        <v>202317</v>
      </c>
      <c r="B4360" s="5" t="str">
        <f>"23085033213"</f>
        <v>23085033213</v>
      </c>
      <c r="C4360" s="6">
        <v>63</v>
      </c>
      <c r="D4360" s="6">
        <v>114.5</v>
      </c>
      <c r="E4360" s="6">
        <v>177.5</v>
      </c>
      <c r="F4360" s="11"/>
    </row>
    <row r="4361" spans="1:6">
      <c r="A4361" s="5" t="str">
        <f t="shared" si="77"/>
        <v>202317</v>
      </c>
      <c r="B4361" s="5" t="str">
        <f>"23085040310"</f>
        <v>23085040310</v>
      </c>
      <c r="C4361" s="6">
        <v>69</v>
      </c>
      <c r="D4361" s="6">
        <v>108</v>
      </c>
      <c r="E4361" s="6">
        <v>177</v>
      </c>
      <c r="F4361" s="11"/>
    </row>
    <row r="4362" spans="1:6">
      <c r="A4362" s="5" t="str">
        <f t="shared" si="77"/>
        <v>202317</v>
      </c>
      <c r="B4362" s="5" t="str">
        <f>"23085040204"</f>
        <v>23085040204</v>
      </c>
      <c r="C4362" s="6">
        <v>72</v>
      </c>
      <c r="D4362" s="6">
        <v>105</v>
      </c>
      <c r="E4362" s="6">
        <v>177</v>
      </c>
      <c r="F4362" s="11"/>
    </row>
    <row r="4363" spans="1:6">
      <c r="A4363" s="5" t="str">
        <f t="shared" si="77"/>
        <v>202317</v>
      </c>
      <c r="B4363" s="5" t="str">
        <f>"23085033117"</f>
        <v>23085033117</v>
      </c>
      <c r="C4363" s="6">
        <v>64.5</v>
      </c>
      <c r="D4363" s="6">
        <v>112</v>
      </c>
      <c r="E4363" s="6">
        <v>176.5</v>
      </c>
      <c r="F4363" s="11"/>
    </row>
    <row r="4364" spans="1:6">
      <c r="A4364" s="5" t="str">
        <f t="shared" si="77"/>
        <v>202317</v>
      </c>
      <c r="B4364" s="5" t="str">
        <f>"23085031912"</f>
        <v>23085031912</v>
      </c>
      <c r="C4364" s="6">
        <v>76.5</v>
      </c>
      <c r="D4364" s="6">
        <v>100</v>
      </c>
      <c r="E4364" s="6">
        <v>176.5</v>
      </c>
      <c r="F4364" s="11"/>
    </row>
    <row r="4365" spans="1:6">
      <c r="A4365" s="5" t="str">
        <f t="shared" si="77"/>
        <v>202317</v>
      </c>
      <c r="B4365" s="5" t="str">
        <f>"23085034009"</f>
        <v>23085034009</v>
      </c>
      <c r="C4365" s="6">
        <v>67.5</v>
      </c>
      <c r="D4365" s="6">
        <v>108</v>
      </c>
      <c r="E4365" s="6">
        <v>175.5</v>
      </c>
      <c r="F4365" s="11"/>
    </row>
    <row r="4366" spans="1:6">
      <c r="A4366" s="5" t="str">
        <f t="shared" si="77"/>
        <v>202317</v>
      </c>
      <c r="B4366" s="5" t="str">
        <f>"23085032329"</f>
        <v>23085032329</v>
      </c>
      <c r="C4366" s="6">
        <v>82.5</v>
      </c>
      <c r="D4366" s="6">
        <v>92.5</v>
      </c>
      <c r="E4366" s="6">
        <v>175</v>
      </c>
      <c r="F4366" s="11"/>
    </row>
    <row r="4367" spans="1:6">
      <c r="A4367" s="5" t="str">
        <f t="shared" si="77"/>
        <v>202317</v>
      </c>
      <c r="B4367" s="5" t="str">
        <f>"23085033702"</f>
        <v>23085033702</v>
      </c>
      <c r="C4367" s="6">
        <v>61.5</v>
      </c>
      <c r="D4367" s="6">
        <v>113.5</v>
      </c>
      <c r="E4367" s="6">
        <v>175</v>
      </c>
      <c r="F4367" s="11"/>
    </row>
    <row r="4368" spans="1:6">
      <c r="A4368" s="5" t="str">
        <f t="shared" si="77"/>
        <v>202317</v>
      </c>
      <c r="B4368" s="5" t="str">
        <f>"23085032120"</f>
        <v>23085032120</v>
      </c>
      <c r="C4368" s="6">
        <v>64.5</v>
      </c>
      <c r="D4368" s="6">
        <v>110.5</v>
      </c>
      <c r="E4368" s="6">
        <v>175</v>
      </c>
      <c r="F4368" s="11"/>
    </row>
    <row r="4369" spans="1:6">
      <c r="A4369" s="5" t="str">
        <f t="shared" si="77"/>
        <v>202317</v>
      </c>
      <c r="B4369" s="5" t="str">
        <f>"23085040611"</f>
        <v>23085040611</v>
      </c>
      <c r="C4369" s="6">
        <v>64.5</v>
      </c>
      <c r="D4369" s="6">
        <v>110.5</v>
      </c>
      <c r="E4369" s="6">
        <v>175</v>
      </c>
      <c r="F4369" s="11"/>
    </row>
    <row r="4370" spans="1:6">
      <c r="A4370" s="5" t="str">
        <f t="shared" si="77"/>
        <v>202317</v>
      </c>
      <c r="B4370" s="5" t="str">
        <f>"23085040405"</f>
        <v>23085040405</v>
      </c>
      <c r="C4370" s="6">
        <v>78</v>
      </c>
      <c r="D4370" s="6">
        <v>96.5</v>
      </c>
      <c r="E4370" s="6">
        <v>174.5</v>
      </c>
      <c r="F4370" s="11"/>
    </row>
    <row r="4371" spans="1:6">
      <c r="A4371" s="5" t="str">
        <f t="shared" si="77"/>
        <v>202317</v>
      </c>
      <c r="B4371" s="5" t="str">
        <f>"23085032815"</f>
        <v>23085032815</v>
      </c>
      <c r="C4371" s="6">
        <v>66</v>
      </c>
      <c r="D4371" s="6">
        <v>108.5</v>
      </c>
      <c r="E4371" s="6">
        <v>174.5</v>
      </c>
      <c r="F4371" s="11"/>
    </row>
    <row r="4372" spans="1:6">
      <c r="A4372" s="5" t="str">
        <f t="shared" si="77"/>
        <v>202317</v>
      </c>
      <c r="B4372" s="5" t="str">
        <f>"23085033120"</f>
        <v>23085033120</v>
      </c>
      <c r="C4372" s="6">
        <v>54</v>
      </c>
      <c r="D4372" s="6">
        <v>120</v>
      </c>
      <c r="E4372" s="6">
        <v>174</v>
      </c>
      <c r="F4372" s="11"/>
    </row>
    <row r="4373" spans="1:6">
      <c r="A4373" s="5" t="str">
        <f t="shared" si="77"/>
        <v>202317</v>
      </c>
      <c r="B4373" s="5" t="str">
        <f>"23085040320"</f>
        <v>23085040320</v>
      </c>
      <c r="C4373" s="6">
        <v>64.5</v>
      </c>
      <c r="D4373" s="6">
        <v>109</v>
      </c>
      <c r="E4373" s="6">
        <v>173.5</v>
      </c>
      <c r="F4373" s="11"/>
    </row>
    <row r="4374" spans="1:6">
      <c r="A4374" s="5" t="str">
        <f t="shared" si="77"/>
        <v>202317</v>
      </c>
      <c r="B4374" s="5" t="str">
        <f>"23085032603"</f>
        <v>23085032603</v>
      </c>
      <c r="C4374" s="6">
        <v>66</v>
      </c>
      <c r="D4374" s="6">
        <v>107.5</v>
      </c>
      <c r="E4374" s="6">
        <v>173.5</v>
      </c>
      <c r="F4374" s="11"/>
    </row>
    <row r="4375" spans="1:6">
      <c r="A4375" s="5" t="str">
        <f t="shared" si="77"/>
        <v>202317</v>
      </c>
      <c r="B4375" s="5" t="str">
        <f>"23085040309"</f>
        <v>23085040309</v>
      </c>
      <c r="C4375" s="6">
        <v>63</v>
      </c>
      <c r="D4375" s="6">
        <v>110.5</v>
      </c>
      <c r="E4375" s="6">
        <v>173.5</v>
      </c>
      <c r="F4375" s="11"/>
    </row>
    <row r="4376" spans="1:6">
      <c r="A4376" s="5" t="str">
        <f t="shared" si="77"/>
        <v>202317</v>
      </c>
      <c r="B4376" s="5" t="str">
        <f>"23085040125"</f>
        <v>23085040125</v>
      </c>
      <c r="C4376" s="6">
        <v>73.5</v>
      </c>
      <c r="D4376" s="6">
        <v>99.5</v>
      </c>
      <c r="E4376" s="6">
        <v>173</v>
      </c>
      <c r="F4376" s="11"/>
    </row>
    <row r="4377" spans="1:6">
      <c r="A4377" s="5" t="str">
        <f t="shared" si="77"/>
        <v>202317</v>
      </c>
      <c r="B4377" s="5" t="str">
        <f>"23085032217"</f>
        <v>23085032217</v>
      </c>
      <c r="C4377" s="6">
        <v>72</v>
      </c>
      <c r="D4377" s="6">
        <v>101</v>
      </c>
      <c r="E4377" s="6">
        <v>173</v>
      </c>
      <c r="F4377" s="11"/>
    </row>
    <row r="4378" spans="1:6">
      <c r="A4378" s="5" t="str">
        <f t="shared" si="77"/>
        <v>202317</v>
      </c>
      <c r="B4378" s="5" t="str">
        <f>"23085032014"</f>
        <v>23085032014</v>
      </c>
      <c r="C4378" s="6">
        <v>61.5</v>
      </c>
      <c r="D4378" s="6">
        <v>111</v>
      </c>
      <c r="E4378" s="6">
        <v>172.5</v>
      </c>
      <c r="F4378" s="11"/>
    </row>
    <row r="4379" spans="1:6">
      <c r="A4379" s="5" t="str">
        <f t="shared" si="77"/>
        <v>202317</v>
      </c>
      <c r="B4379" s="5" t="str">
        <f>"23085032319"</f>
        <v>23085032319</v>
      </c>
      <c r="C4379" s="6">
        <v>63</v>
      </c>
      <c r="D4379" s="6">
        <v>109</v>
      </c>
      <c r="E4379" s="6">
        <v>172</v>
      </c>
      <c r="F4379" s="11"/>
    </row>
    <row r="4380" spans="1:6">
      <c r="A4380" s="5" t="str">
        <f t="shared" si="77"/>
        <v>202317</v>
      </c>
      <c r="B4380" s="5" t="str">
        <f>"23085032506"</f>
        <v>23085032506</v>
      </c>
      <c r="C4380" s="6">
        <v>78</v>
      </c>
      <c r="D4380" s="6">
        <v>93.5</v>
      </c>
      <c r="E4380" s="6">
        <v>171.5</v>
      </c>
      <c r="F4380" s="11"/>
    </row>
    <row r="4381" spans="1:6">
      <c r="A4381" s="5" t="str">
        <f t="shared" si="77"/>
        <v>202317</v>
      </c>
      <c r="B4381" s="5" t="str">
        <f>"23085032622"</f>
        <v>23085032622</v>
      </c>
      <c r="C4381" s="6">
        <v>66</v>
      </c>
      <c r="D4381" s="6">
        <v>105.5</v>
      </c>
      <c r="E4381" s="6">
        <v>171.5</v>
      </c>
      <c r="F4381" s="11"/>
    </row>
    <row r="4382" spans="1:6">
      <c r="A4382" s="5" t="str">
        <f t="shared" si="77"/>
        <v>202317</v>
      </c>
      <c r="B4382" s="5" t="str">
        <f>"23085032230"</f>
        <v>23085032230</v>
      </c>
      <c r="C4382" s="6">
        <v>90</v>
      </c>
      <c r="D4382" s="6">
        <v>81</v>
      </c>
      <c r="E4382" s="6">
        <v>171</v>
      </c>
      <c r="F4382" s="11"/>
    </row>
    <row r="4383" spans="1:6">
      <c r="A4383" s="5" t="str">
        <f t="shared" si="77"/>
        <v>202317</v>
      </c>
      <c r="B4383" s="5" t="str">
        <f>"23085033704"</f>
        <v>23085033704</v>
      </c>
      <c r="C4383" s="6">
        <v>64.5</v>
      </c>
      <c r="D4383" s="6">
        <v>106.5</v>
      </c>
      <c r="E4383" s="6">
        <v>171</v>
      </c>
      <c r="F4383" s="11"/>
    </row>
    <row r="4384" spans="1:6">
      <c r="A4384" s="5" t="str">
        <f t="shared" si="77"/>
        <v>202317</v>
      </c>
      <c r="B4384" s="5" t="str">
        <f>"23085033328"</f>
        <v>23085033328</v>
      </c>
      <c r="C4384" s="6">
        <v>64.5</v>
      </c>
      <c r="D4384" s="6">
        <v>106.5</v>
      </c>
      <c r="E4384" s="6">
        <v>171</v>
      </c>
      <c r="F4384" s="11"/>
    </row>
    <row r="4385" spans="1:6">
      <c r="A4385" s="5" t="str">
        <f t="shared" si="77"/>
        <v>202317</v>
      </c>
      <c r="B4385" s="5" t="str">
        <f>"23085032812"</f>
        <v>23085032812</v>
      </c>
      <c r="C4385" s="6">
        <v>60</v>
      </c>
      <c r="D4385" s="6">
        <v>110.5</v>
      </c>
      <c r="E4385" s="6">
        <v>170.5</v>
      </c>
      <c r="F4385" s="11"/>
    </row>
    <row r="4386" spans="1:6">
      <c r="A4386" s="5" t="str">
        <f t="shared" si="77"/>
        <v>202317</v>
      </c>
      <c r="B4386" s="5" t="str">
        <f>"23085032130"</f>
        <v>23085032130</v>
      </c>
      <c r="C4386" s="6">
        <v>61.5</v>
      </c>
      <c r="D4386" s="6">
        <v>108.5</v>
      </c>
      <c r="E4386" s="6">
        <v>170</v>
      </c>
      <c r="F4386" s="11"/>
    </row>
    <row r="4387" spans="1:6">
      <c r="A4387" s="5" t="str">
        <f t="shared" si="77"/>
        <v>202317</v>
      </c>
      <c r="B4387" s="5" t="str">
        <f>"23085040105"</f>
        <v>23085040105</v>
      </c>
      <c r="C4387" s="6">
        <v>60</v>
      </c>
      <c r="D4387" s="6">
        <v>110</v>
      </c>
      <c r="E4387" s="6">
        <v>170</v>
      </c>
      <c r="F4387" s="11"/>
    </row>
    <row r="4388" spans="1:6">
      <c r="A4388" s="5" t="str">
        <f t="shared" si="77"/>
        <v>202317</v>
      </c>
      <c r="B4388" s="5" t="str">
        <f>"23085034028"</f>
        <v>23085034028</v>
      </c>
      <c r="C4388" s="6">
        <v>61.5</v>
      </c>
      <c r="D4388" s="6">
        <v>107.5</v>
      </c>
      <c r="E4388" s="6">
        <v>169</v>
      </c>
      <c r="F4388" s="11"/>
    </row>
    <row r="4389" spans="1:6">
      <c r="A4389" s="5" t="str">
        <f t="shared" si="77"/>
        <v>202317</v>
      </c>
      <c r="B4389" s="5" t="str">
        <f>"23085033101"</f>
        <v>23085033101</v>
      </c>
      <c r="C4389" s="6">
        <v>60</v>
      </c>
      <c r="D4389" s="6">
        <v>108.5</v>
      </c>
      <c r="E4389" s="6">
        <v>168.5</v>
      </c>
      <c r="F4389" s="11"/>
    </row>
    <row r="4390" spans="1:6">
      <c r="A4390" s="5" t="str">
        <f t="shared" si="77"/>
        <v>202317</v>
      </c>
      <c r="B4390" s="5" t="str">
        <f>"23085032208"</f>
        <v>23085032208</v>
      </c>
      <c r="C4390" s="6">
        <v>55.5</v>
      </c>
      <c r="D4390" s="6">
        <v>112.5</v>
      </c>
      <c r="E4390" s="6">
        <v>168</v>
      </c>
      <c r="F4390" s="11"/>
    </row>
    <row r="4391" spans="1:6">
      <c r="A4391" s="5" t="str">
        <f t="shared" si="77"/>
        <v>202317</v>
      </c>
      <c r="B4391" s="5" t="str">
        <f>"23085040107"</f>
        <v>23085040107</v>
      </c>
      <c r="C4391" s="6">
        <v>49.5</v>
      </c>
      <c r="D4391" s="6">
        <v>118.5</v>
      </c>
      <c r="E4391" s="6">
        <v>168</v>
      </c>
      <c r="F4391" s="11"/>
    </row>
    <row r="4392" spans="1:6">
      <c r="A4392" s="5" t="str">
        <f t="shared" si="77"/>
        <v>202317</v>
      </c>
      <c r="B4392" s="5" t="str">
        <f>"23085033723"</f>
        <v>23085033723</v>
      </c>
      <c r="C4392" s="6">
        <v>70.5</v>
      </c>
      <c r="D4392" s="6">
        <v>97</v>
      </c>
      <c r="E4392" s="6">
        <v>167.5</v>
      </c>
      <c r="F4392" s="11"/>
    </row>
    <row r="4393" spans="1:6">
      <c r="A4393" s="5" t="str">
        <f t="shared" si="77"/>
        <v>202317</v>
      </c>
      <c r="B4393" s="5" t="str">
        <f>"23085032910"</f>
        <v>23085032910</v>
      </c>
      <c r="C4393" s="6">
        <v>60</v>
      </c>
      <c r="D4393" s="6">
        <v>106.5</v>
      </c>
      <c r="E4393" s="6">
        <v>166.5</v>
      </c>
      <c r="F4393" s="11"/>
    </row>
    <row r="4394" spans="1:6">
      <c r="A4394" s="5" t="str">
        <f t="shared" si="77"/>
        <v>202317</v>
      </c>
      <c r="B4394" s="5" t="str">
        <f>"23085032411"</f>
        <v>23085032411</v>
      </c>
      <c r="C4394" s="6">
        <v>63</v>
      </c>
      <c r="D4394" s="6">
        <v>103</v>
      </c>
      <c r="E4394" s="6">
        <v>166</v>
      </c>
      <c r="F4394" s="11"/>
    </row>
    <row r="4395" spans="1:6">
      <c r="A4395" s="5" t="str">
        <f t="shared" si="77"/>
        <v>202317</v>
      </c>
      <c r="B4395" s="5" t="str">
        <f>"23085032220"</f>
        <v>23085032220</v>
      </c>
      <c r="C4395" s="6">
        <v>63</v>
      </c>
      <c r="D4395" s="6">
        <v>102.5</v>
      </c>
      <c r="E4395" s="6">
        <v>165.5</v>
      </c>
      <c r="F4395" s="11"/>
    </row>
    <row r="4396" spans="1:6">
      <c r="A4396" s="5" t="str">
        <f t="shared" si="77"/>
        <v>202317</v>
      </c>
      <c r="B4396" s="5" t="str">
        <f>"23085031930"</f>
        <v>23085031930</v>
      </c>
      <c r="C4396" s="6">
        <v>58.5</v>
      </c>
      <c r="D4396" s="6">
        <v>106</v>
      </c>
      <c r="E4396" s="6">
        <v>164.5</v>
      </c>
      <c r="F4396" s="11"/>
    </row>
    <row r="4397" spans="1:6">
      <c r="A4397" s="5" t="str">
        <f t="shared" si="77"/>
        <v>202317</v>
      </c>
      <c r="B4397" s="5" t="str">
        <f>"23085040512"</f>
        <v>23085040512</v>
      </c>
      <c r="C4397" s="6">
        <v>75</v>
      </c>
      <c r="D4397" s="6">
        <v>89.5</v>
      </c>
      <c r="E4397" s="6">
        <v>164.5</v>
      </c>
      <c r="F4397" s="11"/>
    </row>
    <row r="4398" spans="1:6">
      <c r="A4398" s="5" t="str">
        <f t="shared" si="77"/>
        <v>202317</v>
      </c>
      <c r="B4398" s="5" t="str">
        <f>"23085033730"</f>
        <v>23085033730</v>
      </c>
      <c r="C4398" s="6">
        <v>79.5</v>
      </c>
      <c r="D4398" s="6">
        <v>83</v>
      </c>
      <c r="E4398" s="6">
        <v>162.5</v>
      </c>
      <c r="F4398" s="11"/>
    </row>
    <row r="4399" spans="1:6">
      <c r="A4399" s="5" t="str">
        <f t="shared" si="77"/>
        <v>202317</v>
      </c>
      <c r="B4399" s="5" t="str">
        <f>"23085033717"</f>
        <v>23085033717</v>
      </c>
      <c r="C4399" s="6">
        <v>51</v>
      </c>
      <c r="D4399" s="6">
        <v>111</v>
      </c>
      <c r="E4399" s="6">
        <v>162</v>
      </c>
      <c r="F4399" s="11"/>
    </row>
    <row r="4400" spans="1:6">
      <c r="A4400" s="5" t="str">
        <f t="shared" si="77"/>
        <v>202317</v>
      </c>
      <c r="B4400" s="5" t="str">
        <f>"23085032302"</f>
        <v>23085032302</v>
      </c>
      <c r="C4400" s="6">
        <v>51</v>
      </c>
      <c r="D4400" s="6">
        <v>110.5</v>
      </c>
      <c r="E4400" s="6">
        <v>161.5</v>
      </c>
      <c r="F4400" s="11"/>
    </row>
    <row r="4401" spans="1:6">
      <c r="A4401" s="5" t="str">
        <f t="shared" si="77"/>
        <v>202317</v>
      </c>
      <c r="B4401" s="5" t="str">
        <f>"23085032602"</f>
        <v>23085032602</v>
      </c>
      <c r="C4401" s="6">
        <v>55.5</v>
      </c>
      <c r="D4401" s="6">
        <v>106</v>
      </c>
      <c r="E4401" s="6">
        <v>161.5</v>
      </c>
      <c r="F4401" s="11"/>
    </row>
    <row r="4402" spans="1:6">
      <c r="A4402" s="5" t="str">
        <f t="shared" si="77"/>
        <v>202317</v>
      </c>
      <c r="B4402" s="5" t="str">
        <f>"23085033310"</f>
        <v>23085033310</v>
      </c>
      <c r="C4402" s="6">
        <v>82.5</v>
      </c>
      <c r="D4402" s="6">
        <v>78.5</v>
      </c>
      <c r="E4402" s="6">
        <v>161</v>
      </c>
      <c r="F4402" s="11"/>
    </row>
    <row r="4403" spans="1:6">
      <c r="A4403" s="5" t="str">
        <f t="shared" si="77"/>
        <v>202317</v>
      </c>
      <c r="B4403" s="5" t="str">
        <f>"23085040509"</f>
        <v>23085040509</v>
      </c>
      <c r="C4403" s="6">
        <v>57</v>
      </c>
      <c r="D4403" s="6">
        <v>101.5</v>
      </c>
      <c r="E4403" s="6">
        <v>158.5</v>
      </c>
      <c r="F4403" s="11"/>
    </row>
    <row r="4404" spans="1:6">
      <c r="A4404" s="5" t="str">
        <f t="shared" si="77"/>
        <v>202317</v>
      </c>
      <c r="B4404" s="5" t="str">
        <f>"23085033113"</f>
        <v>23085033113</v>
      </c>
      <c r="C4404" s="6">
        <v>57</v>
      </c>
      <c r="D4404" s="6">
        <v>101.5</v>
      </c>
      <c r="E4404" s="6">
        <v>158.5</v>
      </c>
      <c r="F4404" s="11"/>
    </row>
    <row r="4405" spans="1:6">
      <c r="A4405" s="5" t="str">
        <f t="shared" si="77"/>
        <v>202317</v>
      </c>
      <c r="B4405" s="5" t="str">
        <f>"23085033714"</f>
        <v>23085033714</v>
      </c>
      <c r="C4405" s="6">
        <v>46.5</v>
      </c>
      <c r="D4405" s="6">
        <v>110.5</v>
      </c>
      <c r="E4405" s="6">
        <v>157</v>
      </c>
      <c r="F4405" s="11"/>
    </row>
    <row r="4406" spans="1:6">
      <c r="A4406" s="5" t="str">
        <f t="shared" si="77"/>
        <v>202317</v>
      </c>
      <c r="B4406" s="5" t="str">
        <f>"23085033809"</f>
        <v>23085033809</v>
      </c>
      <c r="C4406" s="6">
        <v>75</v>
      </c>
      <c r="D4406" s="6">
        <v>81</v>
      </c>
      <c r="E4406" s="6">
        <v>156</v>
      </c>
      <c r="F4406" s="11"/>
    </row>
    <row r="4407" spans="1:6">
      <c r="A4407" s="5" t="str">
        <f t="shared" si="77"/>
        <v>202317</v>
      </c>
      <c r="B4407" s="5" t="str">
        <f>"23085032714"</f>
        <v>23085032714</v>
      </c>
      <c r="C4407" s="6">
        <v>45</v>
      </c>
      <c r="D4407" s="6">
        <v>110</v>
      </c>
      <c r="E4407" s="6">
        <v>155</v>
      </c>
      <c r="F4407" s="11"/>
    </row>
    <row r="4408" spans="1:6">
      <c r="A4408" s="5" t="str">
        <f t="shared" si="77"/>
        <v>202317</v>
      </c>
      <c r="B4408" s="5" t="str">
        <f>"23085031914"</f>
        <v>23085031914</v>
      </c>
      <c r="C4408" s="6">
        <v>52.5</v>
      </c>
      <c r="D4408" s="6">
        <v>102.5</v>
      </c>
      <c r="E4408" s="6">
        <v>155</v>
      </c>
      <c r="F4408" s="11"/>
    </row>
    <row r="4409" spans="1:6">
      <c r="A4409" s="5" t="str">
        <f t="shared" si="77"/>
        <v>202317</v>
      </c>
      <c r="B4409" s="5" t="str">
        <f>"23085032610"</f>
        <v>23085032610</v>
      </c>
      <c r="C4409" s="6">
        <v>66</v>
      </c>
      <c r="D4409" s="6">
        <v>88</v>
      </c>
      <c r="E4409" s="6">
        <v>154</v>
      </c>
      <c r="F4409" s="11"/>
    </row>
    <row r="4410" spans="1:6">
      <c r="A4410" s="5" t="str">
        <f t="shared" si="77"/>
        <v>202317</v>
      </c>
      <c r="B4410" s="5" t="str">
        <f>"23085040421"</f>
        <v>23085040421</v>
      </c>
      <c r="C4410" s="6">
        <v>48</v>
      </c>
      <c r="D4410" s="6">
        <v>103</v>
      </c>
      <c r="E4410" s="6">
        <v>151</v>
      </c>
      <c r="F4410" s="11"/>
    </row>
    <row r="4411" spans="1:6">
      <c r="A4411" s="5" t="str">
        <f t="shared" si="77"/>
        <v>202317</v>
      </c>
      <c r="B4411" s="5" t="str">
        <f>"23085040507"</f>
        <v>23085040507</v>
      </c>
      <c r="C4411" s="6">
        <v>46.5</v>
      </c>
      <c r="D4411" s="6">
        <v>102.5</v>
      </c>
      <c r="E4411" s="6">
        <v>149</v>
      </c>
      <c r="F4411" s="11"/>
    </row>
    <row r="4412" spans="1:6">
      <c r="A4412" s="5" t="str">
        <f t="shared" si="77"/>
        <v>202317</v>
      </c>
      <c r="B4412" s="5" t="str">
        <f>"23085033127"</f>
        <v>23085033127</v>
      </c>
      <c r="C4412" s="6">
        <v>66</v>
      </c>
      <c r="D4412" s="6">
        <v>81</v>
      </c>
      <c r="E4412" s="6">
        <v>147</v>
      </c>
      <c r="F4412" s="11"/>
    </row>
    <row r="4413" spans="1:6">
      <c r="A4413" s="5" t="str">
        <f t="shared" si="77"/>
        <v>202317</v>
      </c>
      <c r="B4413" s="5" t="str">
        <f>"23085032618"</f>
        <v>23085032618</v>
      </c>
      <c r="C4413" s="6">
        <v>64.5</v>
      </c>
      <c r="D4413" s="6">
        <v>81.5</v>
      </c>
      <c r="E4413" s="6">
        <v>146</v>
      </c>
      <c r="F4413" s="11"/>
    </row>
    <row r="4414" spans="1:6">
      <c r="A4414" s="5" t="str">
        <f t="shared" si="77"/>
        <v>202317</v>
      </c>
      <c r="B4414" s="5" t="str">
        <f>"23085033201"</f>
        <v>23085033201</v>
      </c>
      <c r="C4414" s="6">
        <v>76.5</v>
      </c>
      <c r="D4414" s="6">
        <v>69</v>
      </c>
      <c r="E4414" s="6">
        <v>145.5</v>
      </c>
      <c r="F4414" s="11"/>
    </row>
    <row r="4415" spans="1:6">
      <c r="A4415" s="5" t="str">
        <f t="shared" si="77"/>
        <v>202317</v>
      </c>
      <c r="B4415" s="5" t="str">
        <f>"23085033220"</f>
        <v>23085033220</v>
      </c>
      <c r="C4415" s="6">
        <v>37.5</v>
      </c>
      <c r="D4415" s="6">
        <v>106.5</v>
      </c>
      <c r="E4415" s="6">
        <v>144</v>
      </c>
      <c r="F4415" s="11"/>
    </row>
    <row r="4416" spans="1:6">
      <c r="A4416" s="5" t="str">
        <f t="shared" ref="A4416:A4479" si="78">"202317"</f>
        <v>202317</v>
      </c>
      <c r="B4416" s="5" t="str">
        <f>"23085033408"</f>
        <v>23085033408</v>
      </c>
      <c r="C4416" s="6">
        <v>67.5</v>
      </c>
      <c r="D4416" s="6">
        <v>74.5</v>
      </c>
      <c r="E4416" s="6">
        <v>142</v>
      </c>
      <c r="F4416" s="11"/>
    </row>
    <row r="4417" spans="1:6">
      <c r="A4417" s="5" t="str">
        <f t="shared" si="78"/>
        <v>202317</v>
      </c>
      <c r="B4417" s="5" t="str">
        <f>"23085034012"</f>
        <v>23085034012</v>
      </c>
      <c r="C4417" s="6">
        <v>75</v>
      </c>
      <c r="D4417" s="6">
        <v>61.5</v>
      </c>
      <c r="E4417" s="6">
        <v>136.5</v>
      </c>
      <c r="F4417" s="11"/>
    </row>
    <row r="4418" spans="1:6">
      <c r="A4418" s="5" t="str">
        <f t="shared" si="78"/>
        <v>202317</v>
      </c>
      <c r="B4418" s="5" t="str">
        <f>"23085033119"</f>
        <v>23085033119</v>
      </c>
      <c r="C4418" s="6">
        <v>61.5</v>
      </c>
      <c r="D4418" s="6">
        <v>62</v>
      </c>
      <c r="E4418" s="6">
        <v>123.5</v>
      </c>
      <c r="F4418" s="11"/>
    </row>
    <row r="4419" spans="1:6">
      <c r="A4419" s="5" t="str">
        <f t="shared" si="78"/>
        <v>202317</v>
      </c>
      <c r="B4419" s="5" t="str">
        <f>"23085032206"</f>
        <v>23085032206</v>
      </c>
      <c r="C4419" s="6">
        <v>85.5</v>
      </c>
      <c r="D4419" s="6">
        <v>35</v>
      </c>
      <c r="E4419" s="6">
        <v>120.5</v>
      </c>
      <c r="F4419" s="11"/>
    </row>
    <row r="4420" spans="1:6">
      <c r="A4420" s="5" t="str">
        <f t="shared" si="78"/>
        <v>202317</v>
      </c>
      <c r="B4420" s="5" t="str">
        <f>"23085032515"</f>
        <v>23085032515</v>
      </c>
      <c r="C4420" s="6">
        <v>67.5</v>
      </c>
      <c r="D4420" s="6">
        <v>50.5</v>
      </c>
      <c r="E4420" s="6">
        <v>118</v>
      </c>
      <c r="F4420" s="11"/>
    </row>
    <row r="4421" spans="1:6">
      <c r="A4421" s="5" t="str">
        <f t="shared" si="78"/>
        <v>202317</v>
      </c>
      <c r="B4421" s="5" t="str">
        <f>"23085032605"</f>
        <v>23085032605</v>
      </c>
      <c r="C4421" s="6">
        <v>82.5</v>
      </c>
      <c r="D4421" s="6">
        <v>35</v>
      </c>
      <c r="E4421" s="6">
        <v>117.5</v>
      </c>
      <c r="F4421" s="11"/>
    </row>
    <row r="4422" spans="1:6">
      <c r="A4422" s="5" t="str">
        <f t="shared" si="78"/>
        <v>202317</v>
      </c>
      <c r="B4422" s="5" t="str">
        <f>"23085040518"</f>
        <v>23085040518</v>
      </c>
      <c r="C4422" s="6">
        <v>55.5</v>
      </c>
      <c r="D4422" s="6">
        <v>48.5</v>
      </c>
      <c r="E4422" s="6">
        <v>104</v>
      </c>
      <c r="F4422" s="11"/>
    </row>
    <row r="4423" spans="1:6">
      <c r="A4423" s="5" t="str">
        <f t="shared" si="78"/>
        <v>202317</v>
      </c>
      <c r="B4423" s="5" t="str">
        <f>"23085033927"</f>
        <v>23085033927</v>
      </c>
      <c r="C4423" s="6">
        <v>58.5</v>
      </c>
      <c r="D4423" s="6">
        <v>44.5</v>
      </c>
      <c r="E4423" s="6">
        <v>103</v>
      </c>
      <c r="F4423" s="11"/>
    </row>
    <row r="4424" spans="1:6">
      <c r="A4424" s="5" t="str">
        <f t="shared" si="78"/>
        <v>202317</v>
      </c>
      <c r="B4424" s="5" t="str">
        <f>"23085033627"</f>
        <v>23085033627</v>
      </c>
      <c r="C4424" s="6">
        <v>4.5</v>
      </c>
      <c r="D4424" s="6">
        <v>24.5</v>
      </c>
      <c r="E4424" s="6">
        <v>29</v>
      </c>
      <c r="F4424" s="11"/>
    </row>
    <row r="4425" spans="1:6">
      <c r="A4425" s="5" t="str">
        <f t="shared" si="78"/>
        <v>202317</v>
      </c>
      <c r="B4425" s="5" t="str">
        <f>"23085040519"</f>
        <v>23085040519</v>
      </c>
      <c r="C4425" s="6">
        <v>0</v>
      </c>
      <c r="D4425" s="6">
        <v>0</v>
      </c>
      <c r="E4425" s="6">
        <v>0</v>
      </c>
      <c r="F4425" s="11" t="s">
        <v>7</v>
      </c>
    </row>
    <row r="4426" spans="1:6">
      <c r="A4426" s="5" t="str">
        <f t="shared" si="78"/>
        <v>202317</v>
      </c>
      <c r="B4426" s="5" t="str">
        <f>"23085033929"</f>
        <v>23085033929</v>
      </c>
      <c r="C4426" s="6">
        <v>0</v>
      </c>
      <c r="D4426" s="6">
        <v>0</v>
      </c>
      <c r="E4426" s="6">
        <v>0</v>
      </c>
      <c r="F4426" s="11" t="s">
        <v>7</v>
      </c>
    </row>
    <row r="4427" spans="1:6">
      <c r="A4427" s="5" t="str">
        <f t="shared" si="78"/>
        <v>202317</v>
      </c>
      <c r="B4427" s="5" t="str">
        <f>"23085032003"</f>
        <v>23085032003</v>
      </c>
      <c r="C4427" s="6">
        <v>0</v>
      </c>
      <c r="D4427" s="6">
        <v>0</v>
      </c>
      <c r="E4427" s="6">
        <v>0</v>
      </c>
      <c r="F4427" s="11" t="s">
        <v>7</v>
      </c>
    </row>
    <row r="4428" spans="1:6">
      <c r="A4428" s="5" t="str">
        <f t="shared" si="78"/>
        <v>202317</v>
      </c>
      <c r="B4428" s="5" t="str">
        <f>"23085033208"</f>
        <v>23085033208</v>
      </c>
      <c r="C4428" s="6">
        <v>0</v>
      </c>
      <c r="D4428" s="6">
        <v>0</v>
      </c>
      <c r="E4428" s="6">
        <v>0</v>
      </c>
      <c r="F4428" s="11" t="s">
        <v>7</v>
      </c>
    </row>
    <row r="4429" spans="1:6">
      <c r="A4429" s="5" t="str">
        <f t="shared" si="78"/>
        <v>202317</v>
      </c>
      <c r="B4429" s="5" t="str">
        <f>"23085033425"</f>
        <v>23085033425</v>
      </c>
      <c r="C4429" s="6">
        <v>0</v>
      </c>
      <c r="D4429" s="6">
        <v>0</v>
      </c>
      <c r="E4429" s="6">
        <v>0</v>
      </c>
      <c r="F4429" s="11" t="s">
        <v>7</v>
      </c>
    </row>
    <row r="4430" spans="1:6">
      <c r="A4430" s="5" t="str">
        <f t="shared" si="78"/>
        <v>202317</v>
      </c>
      <c r="B4430" s="5" t="str">
        <f>"23085040408"</f>
        <v>23085040408</v>
      </c>
      <c r="C4430" s="6">
        <v>0</v>
      </c>
      <c r="D4430" s="6">
        <v>0</v>
      </c>
      <c r="E4430" s="6">
        <v>0</v>
      </c>
      <c r="F4430" s="11" t="s">
        <v>7</v>
      </c>
    </row>
    <row r="4431" spans="1:6">
      <c r="A4431" s="5" t="str">
        <f t="shared" si="78"/>
        <v>202317</v>
      </c>
      <c r="B4431" s="5" t="str">
        <f>"23085032527"</f>
        <v>23085032527</v>
      </c>
      <c r="C4431" s="6">
        <v>0</v>
      </c>
      <c r="D4431" s="6">
        <v>0</v>
      </c>
      <c r="E4431" s="6">
        <v>0</v>
      </c>
      <c r="F4431" s="11" t="s">
        <v>7</v>
      </c>
    </row>
    <row r="4432" spans="1:6">
      <c r="A4432" s="5" t="str">
        <f t="shared" si="78"/>
        <v>202317</v>
      </c>
      <c r="B4432" s="5" t="str">
        <f>"23085032222"</f>
        <v>23085032222</v>
      </c>
      <c r="C4432" s="6">
        <v>0</v>
      </c>
      <c r="D4432" s="6">
        <v>0</v>
      </c>
      <c r="E4432" s="6">
        <v>0</v>
      </c>
      <c r="F4432" s="11" t="s">
        <v>7</v>
      </c>
    </row>
    <row r="4433" spans="1:6">
      <c r="A4433" s="5" t="str">
        <f t="shared" si="78"/>
        <v>202317</v>
      </c>
      <c r="B4433" s="5" t="str">
        <f>"23085032727"</f>
        <v>23085032727</v>
      </c>
      <c r="C4433" s="6">
        <v>0</v>
      </c>
      <c r="D4433" s="6">
        <v>0</v>
      </c>
      <c r="E4433" s="6">
        <v>0</v>
      </c>
      <c r="F4433" s="11" t="s">
        <v>7</v>
      </c>
    </row>
    <row r="4434" spans="1:6">
      <c r="A4434" s="5" t="str">
        <f t="shared" si="78"/>
        <v>202317</v>
      </c>
      <c r="B4434" s="5" t="str">
        <f>"23085032314"</f>
        <v>23085032314</v>
      </c>
      <c r="C4434" s="6">
        <v>0</v>
      </c>
      <c r="D4434" s="6">
        <v>0</v>
      </c>
      <c r="E4434" s="6">
        <v>0</v>
      </c>
      <c r="F4434" s="11" t="s">
        <v>7</v>
      </c>
    </row>
    <row r="4435" spans="1:6">
      <c r="A4435" s="5" t="str">
        <f t="shared" si="78"/>
        <v>202317</v>
      </c>
      <c r="B4435" s="5" t="str">
        <f>"23085040321"</f>
        <v>23085040321</v>
      </c>
      <c r="C4435" s="6">
        <v>0</v>
      </c>
      <c r="D4435" s="6">
        <v>0</v>
      </c>
      <c r="E4435" s="6">
        <v>0</v>
      </c>
      <c r="F4435" s="11" t="s">
        <v>7</v>
      </c>
    </row>
    <row r="4436" spans="1:6">
      <c r="A4436" s="5" t="str">
        <f t="shared" si="78"/>
        <v>202317</v>
      </c>
      <c r="B4436" s="5" t="str">
        <f>"23085040524"</f>
        <v>23085040524</v>
      </c>
      <c r="C4436" s="6">
        <v>0</v>
      </c>
      <c r="D4436" s="6">
        <v>0</v>
      </c>
      <c r="E4436" s="6">
        <v>0</v>
      </c>
      <c r="F4436" s="11" t="s">
        <v>7</v>
      </c>
    </row>
    <row r="4437" spans="1:6">
      <c r="A4437" s="5" t="str">
        <f t="shared" si="78"/>
        <v>202317</v>
      </c>
      <c r="B4437" s="5" t="str">
        <f>"23085034015"</f>
        <v>23085034015</v>
      </c>
      <c r="C4437" s="6">
        <v>0</v>
      </c>
      <c r="D4437" s="6">
        <v>0</v>
      </c>
      <c r="E4437" s="6">
        <v>0</v>
      </c>
      <c r="F4437" s="11" t="s">
        <v>7</v>
      </c>
    </row>
    <row r="4438" spans="1:6">
      <c r="A4438" s="5" t="str">
        <f t="shared" si="78"/>
        <v>202317</v>
      </c>
      <c r="B4438" s="5" t="str">
        <f>"23085034022"</f>
        <v>23085034022</v>
      </c>
      <c r="C4438" s="6">
        <v>0</v>
      </c>
      <c r="D4438" s="6">
        <v>0</v>
      </c>
      <c r="E4438" s="6">
        <v>0</v>
      </c>
      <c r="F4438" s="11" t="s">
        <v>7</v>
      </c>
    </row>
    <row r="4439" spans="1:6">
      <c r="A4439" s="5" t="str">
        <f t="shared" si="78"/>
        <v>202317</v>
      </c>
      <c r="B4439" s="5" t="str">
        <f>"23085040104"</f>
        <v>23085040104</v>
      </c>
      <c r="C4439" s="6">
        <v>0</v>
      </c>
      <c r="D4439" s="6">
        <v>0</v>
      </c>
      <c r="E4439" s="6">
        <v>0</v>
      </c>
      <c r="F4439" s="11" t="s">
        <v>7</v>
      </c>
    </row>
    <row r="4440" spans="1:6">
      <c r="A4440" s="5" t="str">
        <f t="shared" si="78"/>
        <v>202317</v>
      </c>
      <c r="B4440" s="5" t="str">
        <f>"23085032330"</f>
        <v>23085032330</v>
      </c>
      <c r="C4440" s="6">
        <v>0</v>
      </c>
      <c r="D4440" s="6">
        <v>0</v>
      </c>
      <c r="E4440" s="6">
        <v>0</v>
      </c>
      <c r="F4440" s="11" t="s">
        <v>7</v>
      </c>
    </row>
    <row r="4441" spans="1:6">
      <c r="A4441" s="5" t="str">
        <f t="shared" si="78"/>
        <v>202317</v>
      </c>
      <c r="B4441" s="5" t="str">
        <f>"23085032528"</f>
        <v>23085032528</v>
      </c>
      <c r="C4441" s="6">
        <v>0</v>
      </c>
      <c r="D4441" s="6">
        <v>0</v>
      </c>
      <c r="E4441" s="6">
        <v>0</v>
      </c>
      <c r="F4441" s="11" t="s">
        <v>7</v>
      </c>
    </row>
    <row r="4442" spans="1:6">
      <c r="A4442" s="5" t="str">
        <f t="shared" si="78"/>
        <v>202317</v>
      </c>
      <c r="B4442" s="5" t="str">
        <f>"23085032201"</f>
        <v>23085032201</v>
      </c>
      <c r="C4442" s="6">
        <v>0</v>
      </c>
      <c r="D4442" s="6">
        <v>0</v>
      </c>
      <c r="E4442" s="6">
        <v>0</v>
      </c>
      <c r="F4442" s="11" t="s">
        <v>7</v>
      </c>
    </row>
    <row r="4443" spans="1:6">
      <c r="A4443" s="5" t="str">
        <f t="shared" si="78"/>
        <v>202317</v>
      </c>
      <c r="B4443" s="5" t="str">
        <f>"23085031906"</f>
        <v>23085031906</v>
      </c>
      <c r="C4443" s="6">
        <v>0</v>
      </c>
      <c r="D4443" s="6">
        <v>0</v>
      </c>
      <c r="E4443" s="6">
        <v>0</v>
      </c>
      <c r="F4443" s="11" t="s">
        <v>7</v>
      </c>
    </row>
    <row r="4444" spans="1:6">
      <c r="A4444" s="5" t="str">
        <f t="shared" si="78"/>
        <v>202317</v>
      </c>
      <c r="B4444" s="5" t="str">
        <f>"23085032912"</f>
        <v>23085032912</v>
      </c>
      <c r="C4444" s="6">
        <v>0</v>
      </c>
      <c r="D4444" s="6">
        <v>0</v>
      </c>
      <c r="E4444" s="6">
        <v>0</v>
      </c>
      <c r="F4444" s="11" t="s">
        <v>7</v>
      </c>
    </row>
    <row r="4445" spans="1:6">
      <c r="A4445" s="5" t="str">
        <f t="shared" si="78"/>
        <v>202317</v>
      </c>
      <c r="B4445" s="5" t="str">
        <f>"23085040318"</f>
        <v>23085040318</v>
      </c>
      <c r="C4445" s="6">
        <v>0</v>
      </c>
      <c r="D4445" s="6">
        <v>0</v>
      </c>
      <c r="E4445" s="6">
        <v>0</v>
      </c>
      <c r="F4445" s="11" t="s">
        <v>7</v>
      </c>
    </row>
    <row r="4446" spans="1:6">
      <c r="A4446" s="5" t="str">
        <f t="shared" si="78"/>
        <v>202317</v>
      </c>
      <c r="B4446" s="5" t="str">
        <f>"23085040110"</f>
        <v>23085040110</v>
      </c>
      <c r="C4446" s="6">
        <v>0</v>
      </c>
      <c r="D4446" s="6">
        <v>0</v>
      </c>
      <c r="E4446" s="6">
        <v>0</v>
      </c>
      <c r="F4446" s="11" t="s">
        <v>7</v>
      </c>
    </row>
    <row r="4447" spans="1:6">
      <c r="A4447" s="5" t="str">
        <f t="shared" si="78"/>
        <v>202317</v>
      </c>
      <c r="B4447" s="5" t="str">
        <f>"23085032308"</f>
        <v>23085032308</v>
      </c>
      <c r="C4447" s="6">
        <v>0</v>
      </c>
      <c r="D4447" s="6">
        <v>0</v>
      </c>
      <c r="E4447" s="6">
        <v>0</v>
      </c>
      <c r="F4447" s="11" t="s">
        <v>7</v>
      </c>
    </row>
    <row r="4448" spans="1:6">
      <c r="A4448" s="5" t="str">
        <f t="shared" si="78"/>
        <v>202317</v>
      </c>
      <c r="B4448" s="5" t="str">
        <f>"23085033423"</f>
        <v>23085033423</v>
      </c>
      <c r="C4448" s="6">
        <v>0</v>
      </c>
      <c r="D4448" s="6">
        <v>0</v>
      </c>
      <c r="E4448" s="6">
        <v>0</v>
      </c>
      <c r="F4448" s="11" t="s">
        <v>7</v>
      </c>
    </row>
    <row r="4449" spans="1:6">
      <c r="A4449" s="5" t="str">
        <f t="shared" si="78"/>
        <v>202317</v>
      </c>
      <c r="B4449" s="5" t="str">
        <f>"23085034029"</f>
        <v>23085034029</v>
      </c>
      <c r="C4449" s="6">
        <v>0</v>
      </c>
      <c r="D4449" s="6">
        <v>0</v>
      </c>
      <c r="E4449" s="6">
        <v>0</v>
      </c>
      <c r="F4449" s="11" t="s">
        <v>7</v>
      </c>
    </row>
    <row r="4450" spans="1:6">
      <c r="A4450" s="5" t="str">
        <f t="shared" si="78"/>
        <v>202317</v>
      </c>
      <c r="B4450" s="5" t="str">
        <f>"23085032716"</f>
        <v>23085032716</v>
      </c>
      <c r="C4450" s="6">
        <v>0</v>
      </c>
      <c r="D4450" s="6">
        <v>0</v>
      </c>
      <c r="E4450" s="6">
        <v>0</v>
      </c>
      <c r="F4450" s="11" t="s">
        <v>7</v>
      </c>
    </row>
    <row r="4451" spans="1:6">
      <c r="A4451" s="5" t="str">
        <f t="shared" si="78"/>
        <v>202317</v>
      </c>
      <c r="B4451" s="5" t="str">
        <f>"23085033210"</f>
        <v>23085033210</v>
      </c>
      <c r="C4451" s="6">
        <v>0</v>
      </c>
      <c r="D4451" s="6">
        <v>0</v>
      </c>
      <c r="E4451" s="6">
        <v>0</v>
      </c>
      <c r="F4451" s="11" t="s">
        <v>7</v>
      </c>
    </row>
    <row r="4452" spans="1:6">
      <c r="A4452" s="5" t="str">
        <f t="shared" si="78"/>
        <v>202317</v>
      </c>
      <c r="B4452" s="5" t="str">
        <f>"23085032129"</f>
        <v>23085032129</v>
      </c>
      <c r="C4452" s="6">
        <v>0</v>
      </c>
      <c r="D4452" s="6">
        <v>0</v>
      </c>
      <c r="E4452" s="6">
        <v>0</v>
      </c>
      <c r="F4452" s="11" t="s">
        <v>7</v>
      </c>
    </row>
    <row r="4453" spans="1:6">
      <c r="A4453" s="5" t="str">
        <f t="shared" si="78"/>
        <v>202317</v>
      </c>
      <c r="B4453" s="5" t="str">
        <f>"23085032110"</f>
        <v>23085032110</v>
      </c>
      <c r="C4453" s="6">
        <v>0</v>
      </c>
      <c r="D4453" s="6">
        <v>0</v>
      </c>
      <c r="E4453" s="6">
        <v>0</v>
      </c>
      <c r="F4453" s="11" t="s">
        <v>7</v>
      </c>
    </row>
    <row r="4454" spans="1:6">
      <c r="A4454" s="5" t="str">
        <f t="shared" si="78"/>
        <v>202317</v>
      </c>
      <c r="B4454" s="5" t="str">
        <f>"23085031901"</f>
        <v>23085031901</v>
      </c>
      <c r="C4454" s="6">
        <v>0</v>
      </c>
      <c r="D4454" s="6">
        <v>0</v>
      </c>
      <c r="E4454" s="6">
        <v>0</v>
      </c>
      <c r="F4454" s="11" t="s">
        <v>7</v>
      </c>
    </row>
    <row r="4455" spans="1:6">
      <c r="A4455" s="5" t="str">
        <f t="shared" si="78"/>
        <v>202317</v>
      </c>
      <c r="B4455" s="5" t="str">
        <f>"23085033022"</f>
        <v>23085033022</v>
      </c>
      <c r="C4455" s="6">
        <v>0</v>
      </c>
      <c r="D4455" s="6">
        <v>0</v>
      </c>
      <c r="E4455" s="6">
        <v>0</v>
      </c>
      <c r="F4455" s="11" t="s">
        <v>7</v>
      </c>
    </row>
    <row r="4456" spans="1:6">
      <c r="A4456" s="5" t="str">
        <f t="shared" si="78"/>
        <v>202317</v>
      </c>
      <c r="B4456" s="5" t="str">
        <f>"23085033110"</f>
        <v>23085033110</v>
      </c>
      <c r="C4456" s="6">
        <v>0</v>
      </c>
      <c r="D4456" s="6">
        <v>0</v>
      </c>
      <c r="E4456" s="6">
        <v>0</v>
      </c>
      <c r="F4456" s="11" t="s">
        <v>7</v>
      </c>
    </row>
    <row r="4457" spans="1:6">
      <c r="A4457" s="5" t="str">
        <f t="shared" si="78"/>
        <v>202317</v>
      </c>
      <c r="B4457" s="5" t="str">
        <f>"23085034003"</f>
        <v>23085034003</v>
      </c>
      <c r="C4457" s="6">
        <v>0</v>
      </c>
      <c r="D4457" s="6">
        <v>0</v>
      </c>
      <c r="E4457" s="6">
        <v>0</v>
      </c>
      <c r="F4457" s="11" t="s">
        <v>7</v>
      </c>
    </row>
    <row r="4458" spans="1:6">
      <c r="A4458" s="5" t="str">
        <f t="shared" si="78"/>
        <v>202317</v>
      </c>
      <c r="B4458" s="5" t="str">
        <f>"23085033319"</f>
        <v>23085033319</v>
      </c>
      <c r="C4458" s="6">
        <v>0</v>
      </c>
      <c r="D4458" s="6">
        <v>0</v>
      </c>
      <c r="E4458" s="6">
        <v>0</v>
      </c>
      <c r="F4458" s="11" t="s">
        <v>7</v>
      </c>
    </row>
    <row r="4459" spans="1:6">
      <c r="A4459" s="5" t="str">
        <f t="shared" si="78"/>
        <v>202317</v>
      </c>
      <c r="B4459" s="5" t="str">
        <f>"23085040124"</f>
        <v>23085040124</v>
      </c>
      <c r="C4459" s="6">
        <v>0</v>
      </c>
      <c r="D4459" s="6">
        <v>0</v>
      </c>
      <c r="E4459" s="6">
        <v>0</v>
      </c>
      <c r="F4459" s="11" t="s">
        <v>7</v>
      </c>
    </row>
    <row r="4460" spans="1:6">
      <c r="A4460" s="5" t="str">
        <f t="shared" si="78"/>
        <v>202317</v>
      </c>
      <c r="B4460" s="5" t="str">
        <f>"23085032205"</f>
        <v>23085032205</v>
      </c>
      <c r="C4460" s="6">
        <v>0</v>
      </c>
      <c r="D4460" s="6">
        <v>0</v>
      </c>
      <c r="E4460" s="6">
        <v>0</v>
      </c>
      <c r="F4460" s="11" t="s">
        <v>7</v>
      </c>
    </row>
    <row r="4461" spans="1:6">
      <c r="A4461" s="5" t="str">
        <f t="shared" si="78"/>
        <v>202317</v>
      </c>
      <c r="B4461" s="5" t="str">
        <f>"23085032906"</f>
        <v>23085032906</v>
      </c>
      <c r="C4461" s="6">
        <v>0</v>
      </c>
      <c r="D4461" s="6">
        <v>0</v>
      </c>
      <c r="E4461" s="6">
        <v>0</v>
      </c>
      <c r="F4461" s="11" t="s">
        <v>7</v>
      </c>
    </row>
    <row r="4462" spans="1:6">
      <c r="A4462" s="5" t="str">
        <f t="shared" si="78"/>
        <v>202317</v>
      </c>
      <c r="B4462" s="5" t="str">
        <f>"23085040411"</f>
        <v>23085040411</v>
      </c>
      <c r="C4462" s="6">
        <v>0</v>
      </c>
      <c r="D4462" s="6">
        <v>0</v>
      </c>
      <c r="E4462" s="6">
        <v>0</v>
      </c>
      <c r="F4462" s="11" t="s">
        <v>7</v>
      </c>
    </row>
    <row r="4463" spans="1:6">
      <c r="A4463" s="5" t="str">
        <f t="shared" si="78"/>
        <v>202317</v>
      </c>
      <c r="B4463" s="5" t="str">
        <f>"23085032127"</f>
        <v>23085032127</v>
      </c>
      <c r="C4463" s="6">
        <v>0</v>
      </c>
      <c r="D4463" s="6">
        <v>0</v>
      </c>
      <c r="E4463" s="6">
        <v>0</v>
      </c>
      <c r="F4463" s="11" t="s">
        <v>7</v>
      </c>
    </row>
    <row r="4464" spans="1:6">
      <c r="A4464" s="5" t="str">
        <f t="shared" si="78"/>
        <v>202317</v>
      </c>
      <c r="B4464" s="5" t="str">
        <f>"23085033904"</f>
        <v>23085033904</v>
      </c>
      <c r="C4464" s="6">
        <v>0</v>
      </c>
      <c r="D4464" s="6">
        <v>0</v>
      </c>
      <c r="E4464" s="6">
        <v>0</v>
      </c>
      <c r="F4464" s="11" t="s">
        <v>7</v>
      </c>
    </row>
    <row r="4465" spans="1:6">
      <c r="A4465" s="5" t="str">
        <f t="shared" si="78"/>
        <v>202317</v>
      </c>
      <c r="B4465" s="5" t="str">
        <f>"23085032513"</f>
        <v>23085032513</v>
      </c>
      <c r="C4465" s="6">
        <v>0</v>
      </c>
      <c r="D4465" s="6">
        <v>0</v>
      </c>
      <c r="E4465" s="6">
        <v>0</v>
      </c>
      <c r="F4465" s="11" t="s">
        <v>7</v>
      </c>
    </row>
    <row r="4466" spans="1:6">
      <c r="A4466" s="5" t="str">
        <f t="shared" si="78"/>
        <v>202317</v>
      </c>
      <c r="B4466" s="5" t="str">
        <f>"23085032819"</f>
        <v>23085032819</v>
      </c>
      <c r="C4466" s="6">
        <v>0</v>
      </c>
      <c r="D4466" s="6">
        <v>0</v>
      </c>
      <c r="E4466" s="6">
        <v>0</v>
      </c>
      <c r="F4466" s="11" t="s">
        <v>7</v>
      </c>
    </row>
    <row r="4467" spans="1:6">
      <c r="A4467" s="5" t="str">
        <f t="shared" si="78"/>
        <v>202317</v>
      </c>
      <c r="B4467" s="5" t="str">
        <f>"23085033530"</f>
        <v>23085033530</v>
      </c>
      <c r="C4467" s="6">
        <v>0</v>
      </c>
      <c r="D4467" s="6">
        <v>0</v>
      </c>
      <c r="E4467" s="6">
        <v>0</v>
      </c>
      <c r="F4467" s="11" t="s">
        <v>7</v>
      </c>
    </row>
    <row r="4468" spans="1:6">
      <c r="A4468" s="5" t="str">
        <f t="shared" si="78"/>
        <v>202317</v>
      </c>
      <c r="B4468" s="5" t="str">
        <f>"23085033224"</f>
        <v>23085033224</v>
      </c>
      <c r="C4468" s="6">
        <v>0</v>
      </c>
      <c r="D4468" s="6">
        <v>0</v>
      </c>
      <c r="E4468" s="6">
        <v>0</v>
      </c>
      <c r="F4468" s="11" t="s">
        <v>7</v>
      </c>
    </row>
    <row r="4469" spans="1:6">
      <c r="A4469" s="5" t="str">
        <f t="shared" si="78"/>
        <v>202317</v>
      </c>
      <c r="B4469" s="5" t="str">
        <f>"23085032720"</f>
        <v>23085032720</v>
      </c>
      <c r="C4469" s="6">
        <v>0</v>
      </c>
      <c r="D4469" s="6">
        <v>0</v>
      </c>
      <c r="E4469" s="6">
        <v>0</v>
      </c>
      <c r="F4469" s="11" t="s">
        <v>7</v>
      </c>
    </row>
    <row r="4470" spans="1:6">
      <c r="A4470" s="5" t="str">
        <f t="shared" si="78"/>
        <v>202317</v>
      </c>
      <c r="B4470" s="5" t="str">
        <f>"23085033109"</f>
        <v>23085033109</v>
      </c>
      <c r="C4470" s="6">
        <v>0</v>
      </c>
      <c r="D4470" s="6">
        <v>0</v>
      </c>
      <c r="E4470" s="6">
        <v>0</v>
      </c>
      <c r="F4470" s="11" t="s">
        <v>7</v>
      </c>
    </row>
    <row r="4471" spans="1:6">
      <c r="A4471" s="5" t="str">
        <f t="shared" si="78"/>
        <v>202317</v>
      </c>
      <c r="B4471" s="5" t="str">
        <f>"23085031920"</f>
        <v>23085031920</v>
      </c>
      <c r="C4471" s="6">
        <v>0</v>
      </c>
      <c r="D4471" s="6">
        <v>0</v>
      </c>
      <c r="E4471" s="6">
        <v>0</v>
      </c>
      <c r="F4471" s="11" t="s">
        <v>7</v>
      </c>
    </row>
    <row r="4472" spans="1:6">
      <c r="A4472" s="5" t="str">
        <f t="shared" si="78"/>
        <v>202317</v>
      </c>
      <c r="B4472" s="5" t="str">
        <f>"23085032209"</f>
        <v>23085032209</v>
      </c>
      <c r="C4472" s="6">
        <v>0</v>
      </c>
      <c r="D4472" s="6">
        <v>0</v>
      </c>
      <c r="E4472" s="6">
        <v>0</v>
      </c>
      <c r="F4472" s="11" t="s">
        <v>7</v>
      </c>
    </row>
    <row r="4473" spans="1:6">
      <c r="A4473" s="5" t="str">
        <f t="shared" si="78"/>
        <v>202317</v>
      </c>
      <c r="B4473" s="5" t="str">
        <f>"23085033504"</f>
        <v>23085033504</v>
      </c>
      <c r="C4473" s="6">
        <v>0</v>
      </c>
      <c r="D4473" s="6">
        <v>0</v>
      </c>
      <c r="E4473" s="6">
        <v>0</v>
      </c>
      <c r="F4473" s="11" t="s">
        <v>7</v>
      </c>
    </row>
    <row r="4474" spans="1:6">
      <c r="A4474" s="5" t="str">
        <f t="shared" si="78"/>
        <v>202317</v>
      </c>
      <c r="B4474" s="5" t="str">
        <f>"23085033005"</f>
        <v>23085033005</v>
      </c>
      <c r="C4474" s="6">
        <v>0</v>
      </c>
      <c r="D4474" s="6">
        <v>0</v>
      </c>
      <c r="E4474" s="6">
        <v>0</v>
      </c>
      <c r="F4474" s="11" t="s">
        <v>7</v>
      </c>
    </row>
    <row r="4475" spans="1:6">
      <c r="A4475" s="5" t="str">
        <f t="shared" si="78"/>
        <v>202317</v>
      </c>
      <c r="B4475" s="5" t="str">
        <f>"23085032015"</f>
        <v>23085032015</v>
      </c>
      <c r="C4475" s="6">
        <v>0</v>
      </c>
      <c r="D4475" s="6">
        <v>0</v>
      </c>
      <c r="E4475" s="6">
        <v>0</v>
      </c>
      <c r="F4475" s="11" t="s">
        <v>7</v>
      </c>
    </row>
    <row r="4476" spans="1:6">
      <c r="A4476" s="5" t="str">
        <f t="shared" si="78"/>
        <v>202317</v>
      </c>
      <c r="B4476" s="5" t="str">
        <f>"23085033727"</f>
        <v>23085033727</v>
      </c>
      <c r="C4476" s="6">
        <v>0</v>
      </c>
      <c r="D4476" s="6">
        <v>0</v>
      </c>
      <c r="E4476" s="6">
        <v>0</v>
      </c>
      <c r="F4476" s="11" t="s">
        <v>7</v>
      </c>
    </row>
    <row r="4477" spans="1:6">
      <c r="A4477" s="5" t="str">
        <f t="shared" si="78"/>
        <v>202317</v>
      </c>
      <c r="B4477" s="5" t="str">
        <f>"23085033807"</f>
        <v>23085033807</v>
      </c>
      <c r="C4477" s="6">
        <v>0</v>
      </c>
      <c r="D4477" s="6">
        <v>0</v>
      </c>
      <c r="E4477" s="6">
        <v>0</v>
      </c>
      <c r="F4477" s="11" t="s">
        <v>7</v>
      </c>
    </row>
    <row r="4478" spans="1:6">
      <c r="A4478" s="5" t="str">
        <f t="shared" si="78"/>
        <v>202317</v>
      </c>
      <c r="B4478" s="5" t="str">
        <f>"23085033623"</f>
        <v>23085033623</v>
      </c>
      <c r="C4478" s="6">
        <v>0</v>
      </c>
      <c r="D4478" s="6">
        <v>0</v>
      </c>
      <c r="E4478" s="6">
        <v>0</v>
      </c>
      <c r="F4478" s="11" t="s">
        <v>7</v>
      </c>
    </row>
    <row r="4479" spans="1:6">
      <c r="A4479" s="5" t="str">
        <f t="shared" si="78"/>
        <v>202317</v>
      </c>
      <c r="B4479" s="5" t="str">
        <f>"23085040528"</f>
        <v>23085040528</v>
      </c>
      <c r="C4479" s="6">
        <v>0</v>
      </c>
      <c r="D4479" s="6">
        <v>0</v>
      </c>
      <c r="E4479" s="6">
        <v>0</v>
      </c>
      <c r="F4479" s="11" t="s">
        <v>7</v>
      </c>
    </row>
    <row r="4480" spans="1:6">
      <c r="A4480" s="5" t="str">
        <f t="shared" ref="A4480:A4543" si="79">"202317"</f>
        <v>202317</v>
      </c>
      <c r="B4480" s="5" t="str">
        <f>"23085040326"</f>
        <v>23085040326</v>
      </c>
      <c r="C4480" s="6">
        <v>0</v>
      </c>
      <c r="D4480" s="6">
        <v>0</v>
      </c>
      <c r="E4480" s="6">
        <v>0</v>
      </c>
      <c r="F4480" s="11" t="s">
        <v>7</v>
      </c>
    </row>
    <row r="4481" spans="1:6">
      <c r="A4481" s="5" t="str">
        <f t="shared" si="79"/>
        <v>202317</v>
      </c>
      <c r="B4481" s="5" t="str">
        <f>"23085033719"</f>
        <v>23085033719</v>
      </c>
      <c r="C4481" s="6">
        <v>0</v>
      </c>
      <c r="D4481" s="6">
        <v>0</v>
      </c>
      <c r="E4481" s="6">
        <v>0</v>
      </c>
      <c r="F4481" s="11" t="s">
        <v>7</v>
      </c>
    </row>
    <row r="4482" spans="1:6">
      <c r="A4482" s="5" t="str">
        <f t="shared" si="79"/>
        <v>202317</v>
      </c>
      <c r="B4482" s="5" t="str">
        <f>"23085040106"</f>
        <v>23085040106</v>
      </c>
      <c r="C4482" s="6">
        <v>0</v>
      </c>
      <c r="D4482" s="6">
        <v>0</v>
      </c>
      <c r="E4482" s="6">
        <v>0</v>
      </c>
      <c r="F4482" s="11" t="s">
        <v>7</v>
      </c>
    </row>
    <row r="4483" spans="1:6">
      <c r="A4483" s="5" t="str">
        <f t="shared" si="79"/>
        <v>202317</v>
      </c>
      <c r="B4483" s="5" t="str">
        <f>"23085033305"</f>
        <v>23085033305</v>
      </c>
      <c r="C4483" s="6">
        <v>0</v>
      </c>
      <c r="D4483" s="6">
        <v>0</v>
      </c>
      <c r="E4483" s="6">
        <v>0</v>
      </c>
      <c r="F4483" s="11" t="s">
        <v>7</v>
      </c>
    </row>
    <row r="4484" spans="1:6">
      <c r="A4484" s="5" t="str">
        <f t="shared" si="79"/>
        <v>202317</v>
      </c>
      <c r="B4484" s="5" t="str">
        <f>"23085033412"</f>
        <v>23085033412</v>
      </c>
      <c r="C4484" s="6">
        <v>0</v>
      </c>
      <c r="D4484" s="6">
        <v>0</v>
      </c>
      <c r="E4484" s="6">
        <v>0</v>
      </c>
      <c r="F4484" s="11" t="s">
        <v>7</v>
      </c>
    </row>
    <row r="4485" spans="1:6">
      <c r="A4485" s="5" t="str">
        <f t="shared" si="79"/>
        <v>202317</v>
      </c>
      <c r="B4485" s="5" t="str">
        <f>"23085033025"</f>
        <v>23085033025</v>
      </c>
      <c r="C4485" s="6">
        <v>0</v>
      </c>
      <c r="D4485" s="6">
        <v>0</v>
      </c>
      <c r="E4485" s="6">
        <v>0</v>
      </c>
      <c r="F4485" s="11" t="s">
        <v>7</v>
      </c>
    </row>
    <row r="4486" spans="1:6">
      <c r="A4486" s="5" t="str">
        <f t="shared" si="79"/>
        <v>202317</v>
      </c>
      <c r="B4486" s="5" t="str">
        <f>"23085040210"</f>
        <v>23085040210</v>
      </c>
      <c r="C4486" s="6">
        <v>0</v>
      </c>
      <c r="D4486" s="6">
        <v>0</v>
      </c>
      <c r="E4486" s="6">
        <v>0</v>
      </c>
      <c r="F4486" s="11" t="s">
        <v>7</v>
      </c>
    </row>
    <row r="4487" spans="1:6">
      <c r="A4487" s="5" t="str">
        <f t="shared" si="79"/>
        <v>202317</v>
      </c>
      <c r="B4487" s="5" t="str">
        <f>"23085032804"</f>
        <v>23085032804</v>
      </c>
      <c r="C4487" s="6">
        <v>0</v>
      </c>
      <c r="D4487" s="6">
        <v>0</v>
      </c>
      <c r="E4487" s="6">
        <v>0</v>
      </c>
      <c r="F4487" s="11" t="s">
        <v>7</v>
      </c>
    </row>
    <row r="4488" spans="1:6">
      <c r="A4488" s="5" t="str">
        <f t="shared" si="79"/>
        <v>202317</v>
      </c>
      <c r="B4488" s="5" t="str">
        <f>"23085033006"</f>
        <v>23085033006</v>
      </c>
      <c r="C4488" s="6">
        <v>0</v>
      </c>
      <c r="D4488" s="6">
        <v>0</v>
      </c>
      <c r="E4488" s="6">
        <v>0</v>
      </c>
      <c r="F4488" s="11" t="s">
        <v>7</v>
      </c>
    </row>
    <row r="4489" spans="1:6">
      <c r="A4489" s="5" t="str">
        <f t="shared" si="79"/>
        <v>202317</v>
      </c>
      <c r="B4489" s="5" t="str">
        <f>"23085033204"</f>
        <v>23085033204</v>
      </c>
      <c r="C4489" s="6">
        <v>0</v>
      </c>
      <c r="D4489" s="6">
        <v>0</v>
      </c>
      <c r="E4489" s="6">
        <v>0</v>
      </c>
      <c r="F4489" s="11" t="s">
        <v>7</v>
      </c>
    </row>
    <row r="4490" spans="1:6">
      <c r="A4490" s="5" t="str">
        <f t="shared" si="79"/>
        <v>202317</v>
      </c>
      <c r="B4490" s="5" t="str">
        <f>"23085033419"</f>
        <v>23085033419</v>
      </c>
      <c r="C4490" s="6">
        <v>0</v>
      </c>
      <c r="D4490" s="6">
        <v>0</v>
      </c>
      <c r="E4490" s="6">
        <v>0</v>
      </c>
      <c r="F4490" s="11" t="s">
        <v>7</v>
      </c>
    </row>
    <row r="4491" spans="1:6">
      <c r="A4491" s="5" t="str">
        <f t="shared" si="79"/>
        <v>202317</v>
      </c>
      <c r="B4491" s="5" t="str">
        <f>"23085040613"</f>
        <v>23085040613</v>
      </c>
      <c r="C4491" s="6">
        <v>0</v>
      </c>
      <c r="D4491" s="6">
        <v>0</v>
      </c>
      <c r="E4491" s="6">
        <v>0</v>
      </c>
      <c r="F4491" s="11" t="s">
        <v>7</v>
      </c>
    </row>
    <row r="4492" spans="1:6">
      <c r="A4492" s="5" t="str">
        <f t="shared" si="79"/>
        <v>202317</v>
      </c>
      <c r="B4492" s="5" t="str">
        <f>"23085031926"</f>
        <v>23085031926</v>
      </c>
      <c r="C4492" s="6">
        <v>0</v>
      </c>
      <c r="D4492" s="6">
        <v>0</v>
      </c>
      <c r="E4492" s="6">
        <v>0</v>
      </c>
      <c r="F4492" s="11" t="s">
        <v>7</v>
      </c>
    </row>
    <row r="4493" spans="1:6">
      <c r="A4493" s="5" t="str">
        <f t="shared" si="79"/>
        <v>202317</v>
      </c>
      <c r="B4493" s="5" t="str">
        <f>"23085033826"</f>
        <v>23085033826</v>
      </c>
      <c r="C4493" s="6">
        <v>0</v>
      </c>
      <c r="D4493" s="6">
        <v>0</v>
      </c>
      <c r="E4493" s="6">
        <v>0</v>
      </c>
      <c r="F4493" s="11" t="s">
        <v>7</v>
      </c>
    </row>
    <row r="4494" spans="1:6">
      <c r="A4494" s="5" t="str">
        <f t="shared" si="79"/>
        <v>202317</v>
      </c>
      <c r="B4494" s="5" t="str">
        <f>"23085033304"</f>
        <v>23085033304</v>
      </c>
      <c r="C4494" s="6">
        <v>0</v>
      </c>
      <c r="D4494" s="6">
        <v>0</v>
      </c>
      <c r="E4494" s="6">
        <v>0</v>
      </c>
      <c r="F4494" s="11" t="s">
        <v>7</v>
      </c>
    </row>
    <row r="4495" spans="1:6">
      <c r="A4495" s="5" t="str">
        <f t="shared" si="79"/>
        <v>202317</v>
      </c>
      <c r="B4495" s="5" t="str">
        <f>"23085032803"</f>
        <v>23085032803</v>
      </c>
      <c r="C4495" s="6">
        <v>0</v>
      </c>
      <c r="D4495" s="6">
        <v>0</v>
      </c>
      <c r="E4495" s="6">
        <v>0</v>
      </c>
      <c r="F4495" s="11" t="s">
        <v>7</v>
      </c>
    </row>
    <row r="4496" spans="1:6">
      <c r="A4496" s="5" t="str">
        <f t="shared" si="79"/>
        <v>202317</v>
      </c>
      <c r="B4496" s="5" t="str">
        <f>"23085032113"</f>
        <v>23085032113</v>
      </c>
      <c r="C4496" s="6">
        <v>0</v>
      </c>
      <c r="D4496" s="6">
        <v>0</v>
      </c>
      <c r="E4496" s="6">
        <v>0</v>
      </c>
      <c r="F4496" s="11" t="s">
        <v>7</v>
      </c>
    </row>
    <row r="4497" spans="1:6">
      <c r="A4497" s="5" t="str">
        <f t="shared" si="79"/>
        <v>202317</v>
      </c>
      <c r="B4497" s="5" t="str">
        <f>"23085031905"</f>
        <v>23085031905</v>
      </c>
      <c r="C4497" s="6">
        <v>0</v>
      </c>
      <c r="D4497" s="6">
        <v>0</v>
      </c>
      <c r="E4497" s="6">
        <v>0</v>
      </c>
      <c r="F4497" s="11" t="s">
        <v>7</v>
      </c>
    </row>
    <row r="4498" spans="1:6">
      <c r="A4498" s="5" t="str">
        <f t="shared" si="79"/>
        <v>202317</v>
      </c>
      <c r="B4498" s="5" t="str">
        <f>"23085032301"</f>
        <v>23085032301</v>
      </c>
      <c r="C4498" s="6">
        <v>0</v>
      </c>
      <c r="D4498" s="6">
        <v>0</v>
      </c>
      <c r="E4498" s="6">
        <v>0</v>
      </c>
      <c r="F4498" s="11" t="s">
        <v>7</v>
      </c>
    </row>
    <row r="4499" spans="1:6">
      <c r="A4499" s="5" t="str">
        <f t="shared" si="79"/>
        <v>202317</v>
      </c>
      <c r="B4499" s="5" t="str">
        <f>"23085032829"</f>
        <v>23085032829</v>
      </c>
      <c r="C4499" s="6">
        <v>0</v>
      </c>
      <c r="D4499" s="6">
        <v>0</v>
      </c>
      <c r="E4499" s="6">
        <v>0</v>
      </c>
      <c r="F4499" s="11" t="s">
        <v>7</v>
      </c>
    </row>
    <row r="4500" spans="1:6">
      <c r="A4500" s="5" t="str">
        <f t="shared" si="79"/>
        <v>202317</v>
      </c>
      <c r="B4500" s="5" t="str">
        <f>"23085032916"</f>
        <v>23085032916</v>
      </c>
      <c r="C4500" s="6">
        <v>0</v>
      </c>
      <c r="D4500" s="6">
        <v>0</v>
      </c>
      <c r="E4500" s="6">
        <v>0</v>
      </c>
      <c r="F4500" s="11" t="s">
        <v>7</v>
      </c>
    </row>
    <row r="4501" spans="1:6">
      <c r="A4501" s="5" t="str">
        <f t="shared" si="79"/>
        <v>202317</v>
      </c>
      <c r="B4501" s="5" t="str">
        <f>"23085033821"</f>
        <v>23085033821</v>
      </c>
      <c r="C4501" s="6">
        <v>0</v>
      </c>
      <c r="D4501" s="6">
        <v>0</v>
      </c>
      <c r="E4501" s="6">
        <v>0</v>
      </c>
      <c r="F4501" s="11" t="s">
        <v>7</v>
      </c>
    </row>
    <row r="4502" spans="1:6">
      <c r="A4502" s="5" t="str">
        <f t="shared" si="79"/>
        <v>202317</v>
      </c>
      <c r="B4502" s="5" t="str">
        <f>"23085033526"</f>
        <v>23085033526</v>
      </c>
      <c r="C4502" s="6">
        <v>0</v>
      </c>
      <c r="D4502" s="6">
        <v>0</v>
      </c>
      <c r="E4502" s="6">
        <v>0</v>
      </c>
      <c r="F4502" s="11" t="s">
        <v>7</v>
      </c>
    </row>
    <row r="4503" spans="1:6">
      <c r="A4503" s="5" t="str">
        <f t="shared" si="79"/>
        <v>202317</v>
      </c>
      <c r="B4503" s="5" t="str">
        <f>"23085040208"</f>
        <v>23085040208</v>
      </c>
      <c r="C4503" s="6">
        <v>0</v>
      </c>
      <c r="D4503" s="6">
        <v>0</v>
      </c>
      <c r="E4503" s="6">
        <v>0</v>
      </c>
      <c r="F4503" s="11" t="s">
        <v>7</v>
      </c>
    </row>
    <row r="4504" spans="1:6">
      <c r="A4504" s="5" t="str">
        <f t="shared" si="79"/>
        <v>202317</v>
      </c>
      <c r="B4504" s="5" t="str">
        <f>"23085033211"</f>
        <v>23085033211</v>
      </c>
      <c r="C4504" s="6">
        <v>0</v>
      </c>
      <c r="D4504" s="6">
        <v>0</v>
      </c>
      <c r="E4504" s="6">
        <v>0</v>
      </c>
      <c r="F4504" s="11" t="s">
        <v>7</v>
      </c>
    </row>
    <row r="4505" spans="1:6">
      <c r="A4505" s="5" t="str">
        <f t="shared" si="79"/>
        <v>202317</v>
      </c>
      <c r="B4505" s="5" t="str">
        <f>"23085032303"</f>
        <v>23085032303</v>
      </c>
      <c r="C4505" s="6">
        <v>0</v>
      </c>
      <c r="D4505" s="6">
        <v>0</v>
      </c>
      <c r="E4505" s="6">
        <v>0</v>
      </c>
      <c r="F4505" s="11" t="s">
        <v>7</v>
      </c>
    </row>
    <row r="4506" spans="1:6">
      <c r="A4506" s="5" t="str">
        <f t="shared" si="79"/>
        <v>202317</v>
      </c>
      <c r="B4506" s="5" t="str">
        <f>"23085033002"</f>
        <v>23085033002</v>
      </c>
      <c r="C4506" s="6">
        <v>0</v>
      </c>
      <c r="D4506" s="6">
        <v>0</v>
      </c>
      <c r="E4506" s="6">
        <v>0</v>
      </c>
      <c r="F4506" s="11" t="s">
        <v>7</v>
      </c>
    </row>
    <row r="4507" spans="1:6">
      <c r="A4507" s="5" t="str">
        <f t="shared" si="79"/>
        <v>202317</v>
      </c>
      <c r="B4507" s="5" t="str">
        <f>"23085031827"</f>
        <v>23085031827</v>
      </c>
      <c r="C4507" s="6">
        <v>0</v>
      </c>
      <c r="D4507" s="6">
        <v>0</v>
      </c>
      <c r="E4507" s="6">
        <v>0</v>
      </c>
      <c r="F4507" s="11" t="s">
        <v>7</v>
      </c>
    </row>
    <row r="4508" spans="1:6">
      <c r="A4508" s="5" t="str">
        <f t="shared" si="79"/>
        <v>202317</v>
      </c>
      <c r="B4508" s="5" t="str">
        <f>"23085040205"</f>
        <v>23085040205</v>
      </c>
      <c r="C4508" s="6">
        <v>0</v>
      </c>
      <c r="D4508" s="6">
        <v>0</v>
      </c>
      <c r="E4508" s="6">
        <v>0</v>
      </c>
      <c r="F4508" s="11" t="s">
        <v>7</v>
      </c>
    </row>
    <row r="4509" spans="1:6">
      <c r="A4509" s="5" t="str">
        <f t="shared" si="79"/>
        <v>202317</v>
      </c>
      <c r="B4509" s="5" t="str">
        <f>"23085032407"</f>
        <v>23085032407</v>
      </c>
      <c r="C4509" s="6">
        <v>0</v>
      </c>
      <c r="D4509" s="6">
        <v>0</v>
      </c>
      <c r="E4509" s="6">
        <v>0</v>
      </c>
      <c r="F4509" s="11" t="s">
        <v>7</v>
      </c>
    </row>
    <row r="4510" spans="1:6">
      <c r="A4510" s="5" t="str">
        <f t="shared" si="79"/>
        <v>202317</v>
      </c>
      <c r="B4510" s="5" t="str">
        <f>"23085034002"</f>
        <v>23085034002</v>
      </c>
      <c r="C4510" s="6">
        <v>0</v>
      </c>
      <c r="D4510" s="6">
        <v>0</v>
      </c>
      <c r="E4510" s="6">
        <v>0</v>
      </c>
      <c r="F4510" s="11" t="s">
        <v>7</v>
      </c>
    </row>
    <row r="4511" spans="1:6">
      <c r="A4511" s="5" t="str">
        <f t="shared" si="79"/>
        <v>202317</v>
      </c>
      <c r="B4511" s="5" t="str">
        <f>"23085034007"</f>
        <v>23085034007</v>
      </c>
      <c r="C4511" s="6">
        <v>0</v>
      </c>
      <c r="D4511" s="6">
        <v>0</v>
      </c>
      <c r="E4511" s="6">
        <v>0</v>
      </c>
      <c r="F4511" s="11" t="s">
        <v>7</v>
      </c>
    </row>
    <row r="4512" spans="1:6">
      <c r="A4512" s="5" t="str">
        <f t="shared" si="79"/>
        <v>202317</v>
      </c>
      <c r="B4512" s="5" t="str">
        <f>"23085033413"</f>
        <v>23085033413</v>
      </c>
      <c r="C4512" s="6">
        <v>0</v>
      </c>
      <c r="D4512" s="6">
        <v>0</v>
      </c>
      <c r="E4512" s="6">
        <v>0</v>
      </c>
      <c r="F4512" s="11" t="s">
        <v>7</v>
      </c>
    </row>
    <row r="4513" spans="1:6">
      <c r="A4513" s="5" t="str">
        <f t="shared" si="79"/>
        <v>202317</v>
      </c>
      <c r="B4513" s="5" t="str">
        <f>"23085034010"</f>
        <v>23085034010</v>
      </c>
      <c r="C4513" s="6">
        <v>0</v>
      </c>
      <c r="D4513" s="6">
        <v>0</v>
      </c>
      <c r="E4513" s="6">
        <v>0</v>
      </c>
      <c r="F4513" s="11" t="s">
        <v>7</v>
      </c>
    </row>
    <row r="4514" spans="1:6">
      <c r="A4514" s="5" t="str">
        <f t="shared" si="79"/>
        <v>202317</v>
      </c>
      <c r="B4514" s="5" t="str">
        <f>"23085032405"</f>
        <v>23085032405</v>
      </c>
      <c r="C4514" s="6">
        <v>0</v>
      </c>
      <c r="D4514" s="6">
        <v>0</v>
      </c>
      <c r="E4514" s="6">
        <v>0</v>
      </c>
      <c r="F4514" s="11" t="s">
        <v>7</v>
      </c>
    </row>
    <row r="4515" spans="1:6">
      <c r="A4515" s="5" t="str">
        <f t="shared" si="79"/>
        <v>202317</v>
      </c>
      <c r="B4515" s="5" t="str">
        <f>"23085040420"</f>
        <v>23085040420</v>
      </c>
      <c r="C4515" s="6">
        <v>0</v>
      </c>
      <c r="D4515" s="6">
        <v>0</v>
      </c>
      <c r="E4515" s="6">
        <v>0</v>
      </c>
      <c r="F4515" s="11" t="s">
        <v>7</v>
      </c>
    </row>
    <row r="4516" spans="1:6">
      <c r="A4516" s="5" t="str">
        <f t="shared" si="79"/>
        <v>202317</v>
      </c>
      <c r="B4516" s="5" t="str">
        <f>"23085033824"</f>
        <v>23085033824</v>
      </c>
      <c r="C4516" s="6">
        <v>0</v>
      </c>
      <c r="D4516" s="6">
        <v>0</v>
      </c>
      <c r="E4516" s="6">
        <v>0</v>
      </c>
      <c r="F4516" s="11" t="s">
        <v>7</v>
      </c>
    </row>
    <row r="4517" spans="1:6">
      <c r="A4517" s="5" t="str">
        <f t="shared" si="79"/>
        <v>202317</v>
      </c>
      <c r="B4517" s="5" t="str">
        <f>"23085033428"</f>
        <v>23085033428</v>
      </c>
      <c r="C4517" s="6">
        <v>0</v>
      </c>
      <c r="D4517" s="6">
        <v>0</v>
      </c>
      <c r="E4517" s="6">
        <v>0</v>
      </c>
      <c r="F4517" s="11" t="s">
        <v>7</v>
      </c>
    </row>
    <row r="4518" spans="1:6">
      <c r="A4518" s="5" t="str">
        <f t="shared" si="79"/>
        <v>202317</v>
      </c>
      <c r="B4518" s="5" t="str">
        <f>"23085032705"</f>
        <v>23085032705</v>
      </c>
      <c r="C4518" s="6">
        <v>0</v>
      </c>
      <c r="D4518" s="6">
        <v>0</v>
      </c>
      <c r="E4518" s="6">
        <v>0</v>
      </c>
      <c r="F4518" s="11" t="s">
        <v>7</v>
      </c>
    </row>
    <row r="4519" spans="1:6">
      <c r="A4519" s="5" t="str">
        <f t="shared" si="79"/>
        <v>202317</v>
      </c>
      <c r="B4519" s="5" t="str">
        <f>"23085040223"</f>
        <v>23085040223</v>
      </c>
      <c r="C4519" s="6">
        <v>0</v>
      </c>
      <c r="D4519" s="6">
        <v>0</v>
      </c>
      <c r="E4519" s="6">
        <v>0</v>
      </c>
      <c r="F4519" s="11" t="s">
        <v>7</v>
      </c>
    </row>
    <row r="4520" spans="1:6">
      <c r="A4520" s="5" t="str">
        <f t="shared" si="79"/>
        <v>202317</v>
      </c>
      <c r="B4520" s="5" t="str">
        <f>"23085032224"</f>
        <v>23085032224</v>
      </c>
      <c r="C4520" s="6">
        <v>0</v>
      </c>
      <c r="D4520" s="6">
        <v>0</v>
      </c>
      <c r="E4520" s="6">
        <v>0</v>
      </c>
      <c r="F4520" s="11" t="s">
        <v>7</v>
      </c>
    </row>
    <row r="4521" spans="1:6">
      <c r="A4521" s="5" t="str">
        <f t="shared" si="79"/>
        <v>202317</v>
      </c>
      <c r="B4521" s="5" t="str">
        <f>"23085040113"</f>
        <v>23085040113</v>
      </c>
      <c r="C4521" s="6">
        <v>0</v>
      </c>
      <c r="D4521" s="6">
        <v>0</v>
      </c>
      <c r="E4521" s="6">
        <v>0</v>
      </c>
      <c r="F4521" s="11" t="s">
        <v>7</v>
      </c>
    </row>
    <row r="4522" spans="1:6">
      <c r="A4522" s="5" t="str">
        <f t="shared" si="79"/>
        <v>202317</v>
      </c>
      <c r="B4522" s="5" t="str">
        <f>"23085040117"</f>
        <v>23085040117</v>
      </c>
      <c r="C4522" s="6">
        <v>0</v>
      </c>
      <c r="D4522" s="6">
        <v>0</v>
      </c>
      <c r="E4522" s="6">
        <v>0</v>
      </c>
      <c r="F4522" s="11" t="s">
        <v>7</v>
      </c>
    </row>
    <row r="4523" spans="1:6">
      <c r="A4523" s="5" t="str">
        <f t="shared" si="79"/>
        <v>202317</v>
      </c>
      <c r="B4523" s="5" t="str">
        <f>"23085033605"</f>
        <v>23085033605</v>
      </c>
      <c r="C4523" s="6">
        <v>0</v>
      </c>
      <c r="D4523" s="6">
        <v>0</v>
      </c>
      <c r="E4523" s="6">
        <v>0</v>
      </c>
      <c r="F4523" s="11" t="s">
        <v>7</v>
      </c>
    </row>
    <row r="4524" spans="1:6">
      <c r="A4524" s="5" t="str">
        <f t="shared" si="79"/>
        <v>202317</v>
      </c>
      <c r="B4524" s="5" t="str">
        <f>"23085040203"</f>
        <v>23085040203</v>
      </c>
      <c r="C4524" s="6">
        <v>0</v>
      </c>
      <c r="D4524" s="6">
        <v>0</v>
      </c>
      <c r="E4524" s="6">
        <v>0</v>
      </c>
      <c r="F4524" s="11" t="s">
        <v>7</v>
      </c>
    </row>
    <row r="4525" spans="1:6">
      <c r="A4525" s="5" t="str">
        <f t="shared" si="79"/>
        <v>202317</v>
      </c>
      <c r="B4525" s="5" t="str">
        <f>"23085033326"</f>
        <v>23085033326</v>
      </c>
      <c r="C4525" s="6">
        <v>0</v>
      </c>
      <c r="D4525" s="6">
        <v>0</v>
      </c>
      <c r="E4525" s="6">
        <v>0</v>
      </c>
      <c r="F4525" s="11" t="s">
        <v>7</v>
      </c>
    </row>
    <row r="4526" spans="1:6">
      <c r="A4526" s="5" t="str">
        <f t="shared" si="79"/>
        <v>202317</v>
      </c>
      <c r="B4526" s="5" t="str">
        <f>"23085040601"</f>
        <v>23085040601</v>
      </c>
      <c r="C4526" s="6">
        <v>0</v>
      </c>
      <c r="D4526" s="6">
        <v>0</v>
      </c>
      <c r="E4526" s="6">
        <v>0</v>
      </c>
      <c r="F4526" s="11" t="s">
        <v>7</v>
      </c>
    </row>
    <row r="4527" spans="1:6">
      <c r="A4527" s="5" t="str">
        <f t="shared" si="79"/>
        <v>202317</v>
      </c>
      <c r="B4527" s="5" t="str">
        <f>"23085033027"</f>
        <v>23085033027</v>
      </c>
      <c r="C4527" s="6">
        <v>0</v>
      </c>
      <c r="D4527" s="6">
        <v>0</v>
      </c>
      <c r="E4527" s="6">
        <v>0</v>
      </c>
      <c r="F4527" s="11" t="s">
        <v>7</v>
      </c>
    </row>
    <row r="4528" spans="1:6">
      <c r="A4528" s="5" t="str">
        <f t="shared" si="79"/>
        <v>202317</v>
      </c>
      <c r="B4528" s="5" t="str">
        <f>"23085032419"</f>
        <v>23085032419</v>
      </c>
      <c r="C4528" s="6">
        <v>0</v>
      </c>
      <c r="D4528" s="6">
        <v>0</v>
      </c>
      <c r="E4528" s="6">
        <v>0</v>
      </c>
      <c r="F4528" s="11" t="s">
        <v>7</v>
      </c>
    </row>
    <row r="4529" spans="1:6">
      <c r="A4529" s="5" t="str">
        <f t="shared" si="79"/>
        <v>202317</v>
      </c>
      <c r="B4529" s="5" t="str">
        <f>"23085032911"</f>
        <v>23085032911</v>
      </c>
      <c r="C4529" s="6">
        <v>0</v>
      </c>
      <c r="D4529" s="6">
        <v>0</v>
      </c>
      <c r="E4529" s="6">
        <v>0</v>
      </c>
      <c r="F4529" s="11" t="s">
        <v>7</v>
      </c>
    </row>
    <row r="4530" spans="1:6">
      <c r="A4530" s="5" t="str">
        <f t="shared" si="79"/>
        <v>202317</v>
      </c>
      <c r="B4530" s="5" t="str">
        <f>"23085033421"</f>
        <v>23085033421</v>
      </c>
      <c r="C4530" s="6">
        <v>0</v>
      </c>
      <c r="D4530" s="6">
        <v>0</v>
      </c>
      <c r="E4530" s="6">
        <v>0</v>
      </c>
      <c r="F4530" s="11" t="s">
        <v>7</v>
      </c>
    </row>
    <row r="4531" spans="1:6">
      <c r="A4531" s="5" t="str">
        <f t="shared" si="79"/>
        <v>202317</v>
      </c>
      <c r="B4531" s="5" t="str">
        <f>"23085033015"</f>
        <v>23085033015</v>
      </c>
      <c r="C4531" s="6">
        <v>0</v>
      </c>
      <c r="D4531" s="6">
        <v>0</v>
      </c>
      <c r="E4531" s="6">
        <v>0</v>
      </c>
      <c r="F4531" s="11" t="s">
        <v>7</v>
      </c>
    </row>
    <row r="4532" spans="1:6">
      <c r="A4532" s="5" t="str">
        <f t="shared" si="79"/>
        <v>202317</v>
      </c>
      <c r="B4532" s="5" t="str">
        <f>"23085033325"</f>
        <v>23085033325</v>
      </c>
      <c r="C4532" s="6">
        <v>0</v>
      </c>
      <c r="D4532" s="6">
        <v>0</v>
      </c>
      <c r="E4532" s="6">
        <v>0</v>
      </c>
      <c r="F4532" s="11" t="s">
        <v>7</v>
      </c>
    </row>
    <row r="4533" spans="1:6">
      <c r="A4533" s="5" t="str">
        <f t="shared" si="79"/>
        <v>202317</v>
      </c>
      <c r="B4533" s="5" t="str">
        <f>"23085032223"</f>
        <v>23085032223</v>
      </c>
      <c r="C4533" s="6">
        <v>0</v>
      </c>
      <c r="D4533" s="6">
        <v>0</v>
      </c>
      <c r="E4533" s="6">
        <v>0</v>
      </c>
      <c r="F4533" s="11" t="s">
        <v>7</v>
      </c>
    </row>
    <row r="4534" spans="1:6">
      <c r="A4534" s="5" t="str">
        <f t="shared" si="79"/>
        <v>202317</v>
      </c>
      <c r="B4534" s="5" t="str">
        <f>"23085033506"</f>
        <v>23085033506</v>
      </c>
      <c r="C4534" s="6">
        <v>0</v>
      </c>
      <c r="D4534" s="6">
        <v>0</v>
      </c>
      <c r="E4534" s="6">
        <v>0</v>
      </c>
      <c r="F4534" s="11" t="s">
        <v>7</v>
      </c>
    </row>
    <row r="4535" spans="1:6">
      <c r="A4535" s="5" t="str">
        <f t="shared" si="79"/>
        <v>202317</v>
      </c>
      <c r="B4535" s="5" t="str">
        <f>"23085032211"</f>
        <v>23085032211</v>
      </c>
      <c r="C4535" s="6">
        <v>0</v>
      </c>
      <c r="D4535" s="6">
        <v>0</v>
      </c>
      <c r="E4535" s="6">
        <v>0</v>
      </c>
      <c r="F4535" s="11" t="s">
        <v>7</v>
      </c>
    </row>
    <row r="4536" spans="1:6">
      <c r="A4536" s="5" t="str">
        <f t="shared" si="79"/>
        <v>202317</v>
      </c>
      <c r="B4536" s="5" t="str">
        <f>"23085032608"</f>
        <v>23085032608</v>
      </c>
      <c r="C4536" s="6">
        <v>0</v>
      </c>
      <c r="D4536" s="6">
        <v>0</v>
      </c>
      <c r="E4536" s="6">
        <v>0</v>
      </c>
      <c r="F4536" s="11" t="s">
        <v>7</v>
      </c>
    </row>
    <row r="4537" spans="1:6">
      <c r="A4537" s="5" t="str">
        <f t="shared" si="79"/>
        <v>202317</v>
      </c>
      <c r="B4537" s="5" t="str">
        <f>"23085032627"</f>
        <v>23085032627</v>
      </c>
      <c r="C4537" s="6">
        <v>0</v>
      </c>
      <c r="D4537" s="6">
        <v>0</v>
      </c>
      <c r="E4537" s="6">
        <v>0</v>
      </c>
      <c r="F4537" s="11" t="s">
        <v>7</v>
      </c>
    </row>
    <row r="4538" spans="1:6">
      <c r="A4538" s="5" t="str">
        <f t="shared" si="79"/>
        <v>202317</v>
      </c>
      <c r="B4538" s="5" t="str">
        <f>"23085033121"</f>
        <v>23085033121</v>
      </c>
      <c r="C4538" s="6">
        <v>0</v>
      </c>
      <c r="D4538" s="6">
        <v>0</v>
      </c>
      <c r="E4538" s="6">
        <v>0</v>
      </c>
      <c r="F4538" s="11" t="s">
        <v>7</v>
      </c>
    </row>
    <row r="4539" spans="1:6">
      <c r="A4539" s="5" t="str">
        <f t="shared" si="79"/>
        <v>202317</v>
      </c>
      <c r="B4539" s="5" t="str">
        <f>"23085040511"</f>
        <v>23085040511</v>
      </c>
      <c r="C4539" s="6">
        <v>0</v>
      </c>
      <c r="D4539" s="6">
        <v>0</v>
      </c>
      <c r="E4539" s="6">
        <v>0</v>
      </c>
      <c r="F4539" s="11" t="s">
        <v>7</v>
      </c>
    </row>
    <row r="4540" spans="1:6">
      <c r="A4540" s="5" t="str">
        <f t="shared" si="79"/>
        <v>202317</v>
      </c>
      <c r="B4540" s="5" t="str">
        <f>"23085033114"</f>
        <v>23085033114</v>
      </c>
      <c r="C4540" s="6">
        <v>0</v>
      </c>
      <c r="D4540" s="6">
        <v>0</v>
      </c>
      <c r="E4540" s="6">
        <v>0</v>
      </c>
      <c r="F4540" s="11" t="s">
        <v>7</v>
      </c>
    </row>
    <row r="4541" spans="1:6">
      <c r="A4541" s="5" t="str">
        <f t="shared" si="79"/>
        <v>202317</v>
      </c>
      <c r="B4541" s="5" t="str">
        <f>"23085033503"</f>
        <v>23085033503</v>
      </c>
      <c r="C4541" s="6">
        <v>0</v>
      </c>
      <c r="D4541" s="6">
        <v>0</v>
      </c>
      <c r="E4541" s="6">
        <v>0</v>
      </c>
      <c r="F4541" s="11" t="s">
        <v>7</v>
      </c>
    </row>
    <row r="4542" spans="1:6">
      <c r="A4542" s="5" t="str">
        <f t="shared" si="79"/>
        <v>202317</v>
      </c>
      <c r="B4542" s="5" t="str">
        <f>"23085032729"</f>
        <v>23085032729</v>
      </c>
      <c r="C4542" s="6">
        <v>0</v>
      </c>
      <c r="D4542" s="6">
        <v>0</v>
      </c>
      <c r="E4542" s="6">
        <v>0</v>
      </c>
      <c r="F4542" s="11" t="s">
        <v>7</v>
      </c>
    </row>
    <row r="4543" spans="1:6">
      <c r="A4543" s="5" t="str">
        <f t="shared" si="79"/>
        <v>202317</v>
      </c>
      <c r="B4543" s="5" t="str">
        <f>"23085033718"</f>
        <v>23085033718</v>
      </c>
      <c r="C4543" s="6">
        <v>0</v>
      </c>
      <c r="D4543" s="6">
        <v>0</v>
      </c>
      <c r="E4543" s="6">
        <v>0</v>
      </c>
      <c r="F4543" s="11" t="s">
        <v>7</v>
      </c>
    </row>
    <row r="4544" spans="1:6">
      <c r="A4544" s="5" t="str">
        <f t="shared" ref="A4544:A4605" si="80">"202317"</f>
        <v>202317</v>
      </c>
      <c r="B4544" s="5" t="str">
        <f>"23085032511"</f>
        <v>23085032511</v>
      </c>
      <c r="C4544" s="6">
        <v>0</v>
      </c>
      <c r="D4544" s="6">
        <v>0</v>
      </c>
      <c r="E4544" s="6">
        <v>0</v>
      </c>
      <c r="F4544" s="11" t="s">
        <v>7</v>
      </c>
    </row>
    <row r="4545" spans="1:6">
      <c r="A4545" s="5" t="str">
        <f t="shared" si="80"/>
        <v>202317</v>
      </c>
      <c r="B4545" s="5" t="str">
        <f>"23085032413"</f>
        <v>23085032413</v>
      </c>
      <c r="C4545" s="6">
        <v>0</v>
      </c>
      <c r="D4545" s="6">
        <v>0</v>
      </c>
      <c r="E4545" s="6">
        <v>0</v>
      </c>
      <c r="F4545" s="11" t="s">
        <v>7</v>
      </c>
    </row>
    <row r="4546" spans="1:6">
      <c r="A4546" s="5" t="str">
        <f t="shared" si="80"/>
        <v>202317</v>
      </c>
      <c r="B4546" s="5" t="str">
        <f>"23085033422"</f>
        <v>23085033422</v>
      </c>
      <c r="C4546" s="6">
        <v>0</v>
      </c>
      <c r="D4546" s="6">
        <v>0</v>
      </c>
      <c r="E4546" s="6">
        <v>0</v>
      </c>
      <c r="F4546" s="11" t="s">
        <v>7</v>
      </c>
    </row>
    <row r="4547" spans="1:6">
      <c r="A4547" s="5" t="str">
        <f t="shared" si="80"/>
        <v>202317</v>
      </c>
      <c r="B4547" s="5" t="str">
        <f>"23085032525"</f>
        <v>23085032525</v>
      </c>
      <c r="C4547" s="6">
        <v>0</v>
      </c>
      <c r="D4547" s="6">
        <v>0</v>
      </c>
      <c r="E4547" s="6">
        <v>0</v>
      </c>
      <c r="F4547" s="11" t="s">
        <v>7</v>
      </c>
    </row>
    <row r="4548" spans="1:6">
      <c r="A4548" s="5" t="str">
        <f t="shared" si="80"/>
        <v>202317</v>
      </c>
      <c r="B4548" s="5" t="str">
        <f>"23085033713"</f>
        <v>23085033713</v>
      </c>
      <c r="C4548" s="6">
        <v>0</v>
      </c>
      <c r="D4548" s="6">
        <v>0</v>
      </c>
      <c r="E4548" s="6">
        <v>0</v>
      </c>
      <c r="F4548" s="11" t="s">
        <v>7</v>
      </c>
    </row>
    <row r="4549" spans="1:6">
      <c r="A4549" s="5" t="str">
        <f t="shared" si="80"/>
        <v>202317</v>
      </c>
      <c r="B4549" s="5" t="str">
        <f>"23085032103"</f>
        <v>23085032103</v>
      </c>
      <c r="C4549" s="6">
        <v>0</v>
      </c>
      <c r="D4549" s="6">
        <v>0</v>
      </c>
      <c r="E4549" s="6">
        <v>0</v>
      </c>
      <c r="F4549" s="11" t="s">
        <v>7</v>
      </c>
    </row>
    <row r="4550" spans="1:6">
      <c r="A4550" s="5" t="str">
        <f t="shared" si="80"/>
        <v>202317</v>
      </c>
      <c r="B4550" s="5" t="str">
        <f>"23085033024"</f>
        <v>23085033024</v>
      </c>
      <c r="C4550" s="6">
        <v>0</v>
      </c>
      <c r="D4550" s="6">
        <v>0</v>
      </c>
      <c r="E4550" s="6">
        <v>0</v>
      </c>
      <c r="F4550" s="11" t="s">
        <v>7</v>
      </c>
    </row>
    <row r="4551" spans="1:6">
      <c r="A4551" s="5" t="str">
        <f t="shared" si="80"/>
        <v>202317</v>
      </c>
      <c r="B4551" s="5" t="str">
        <f>"23085040228"</f>
        <v>23085040228</v>
      </c>
      <c r="C4551" s="6">
        <v>0</v>
      </c>
      <c r="D4551" s="6">
        <v>0</v>
      </c>
      <c r="E4551" s="6">
        <v>0</v>
      </c>
      <c r="F4551" s="11" t="s">
        <v>7</v>
      </c>
    </row>
    <row r="4552" spans="1:6">
      <c r="A4552" s="5" t="str">
        <f t="shared" si="80"/>
        <v>202317</v>
      </c>
      <c r="B4552" s="5" t="str">
        <f>"23085032614"</f>
        <v>23085032614</v>
      </c>
      <c r="C4552" s="6">
        <v>0</v>
      </c>
      <c r="D4552" s="6">
        <v>0</v>
      </c>
      <c r="E4552" s="6">
        <v>0</v>
      </c>
      <c r="F4552" s="11" t="s">
        <v>7</v>
      </c>
    </row>
    <row r="4553" spans="1:6">
      <c r="A4553" s="5" t="str">
        <f t="shared" si="80"/>
        <v>202317</v>
      </c>
      <c r="B4553" s="5" t="str">
        <f>"23085033802"</f>
        <v>23085033802</v>
      </c>
      <c r="C4553" s="6">
        <v>0</v>
      </c>
      <c r="D4553" s="6">
        <v>0</v>
      </c>
      <c r="E4553" s="6">
        <v>0</v>
      </c>
      <c r="F4553" s="11" t="s">
        <v>7</v>
      </c>
    </row>
    <row r="4554" spans="1:6">
      <c r="A4554" s="5" t="str">
        <f t="shared" si="80"/>
        <v>202317</v>
      </c>
      <c r="B4554" s="5" t="str">
        <f>"23085033426"</f>
        <v>23085033426</v>
      </c>
      <c r="C4554" s="6">
        <v>0</v>
      </c>
      <c r="D4554" s="6">
        <v>0</v>
      </c>
      <c r="E4554" s="6">
        <v>0</v>
      </c>
      <c r="F4554" s="11" t="s">
        <v>7</v>
      </c>
    </row>
    <row r="4555" spans="1:6">
      <c r="A4555" s="5" t="str">
        <f t="shared" si="80"/>
        <v>202317</v>
      </c>
      <c r="B4555" s="5" t="str">
        <f>"23085034008"</f>
        <v>23085034008</v>
      </c>
      <c r="C4555" s="6">
        <v>0</v>
      </c>
      <c r="D4555" s="6">
        <v>0</v>
      </c>
      <c r="E4555" s="6">
        <v>0</v>
      </c>
      <c r="F4555" s="11" t="s">
        <v>7</v>
      </c>
    </row>
    <row r="4556" spans="1:6">
      <c r="A4556" s="5" t="str">
        <f t="shared" si="80"/>
        <v>202317</v>
      </c>
      <c r="B4556" s="5" t="str">
        <f>"23085040119"</f>
        <v>23085040119</v>
      </c>
      <c r="C4556" s="6">
        <v>0</v>
      </c>
      <c r="D4556" s="6">
        <v>0</v>
      </c>
      <c r="E4556" s="6">
        <v>0</v>
      </c>
      <c r="F4556" s="11" t="s">
        <v>7</v>
      </c>
    </row>
    <row r="4557" spans="1:6">
      <c r="A4557" s="5" t="str">
        <f t="shared" si="80"/>
        <v>202317</v>
      </c>
      <c r="B4557" s="5" t="str">
        <f>"23085032929"</f>
        <v>23085032929</v>
      </c>
      <c r="C4557" s="6">
        <v>0</v>
      </c>
      <c r="D4557" s="6">
        <v>0</v>
      </c>
      <c r="E4557" s="6">
        <v>0</v>
      </c>
      <c r="F4557" s="11" t="s">
        <v>7</v>
      </c>
    </row>
    <row r="4558" spans="1:6">
      <c r="A4558" s="5" t="str">
        <f t="shared" si="80"/>
        <v>202317</v>
      </c>
      <c r="B4558" s="5" t="str">
        <f>"23085032721"</f>
        <v>23085032721</v>
      </c>
      <c r="C4558" s="6">
        <v>0</v>
      </c>
      <c r="D4558" s="6">
        <v>0</v>
      </c>
      <c r="E4558" s="6">
        <v>0</v>
      </c>
      <c r="F4558" s="11" t="s">
        <v>7</v>
      </c>
    </row>
    <row r="4559" spans="1:6">
      <c r="A4559" s="5" t="str">
        <f t="shared" si="80"/>
        <v>202317</v>
      </c>
      <c r="B4559" s="5" t="str">
        <f>"23085032719"</f>
        <v>23085032719</v>
      </c>
      <c r="C4559" s="6">
        <v>0</v>
      </c>
      <c r="D4559" s="6">
        <v>0</v>
      </c>
      <c r="E4559" s="6">
        <v>0</v>
      </c>
      <c r="F4559" s="11" t="s">
        <v>7</v>
      </c>
    </row>
    <row r="4560" spans="1:6">
      <c r="A4560" s="5" t="str">
        <f t="shared" si="80"/>
        <v>202317</v>
      </c>
      <c r="B4560" s="5" t="str">
        <f>"23085031910"</f>
        <v>23085031910</v>
      </c>
      <c r="C4560" s="6">
        <v>0</v>
      </c>
      <c r="D4560" s="6">
        <v>0</v>
      </c>
      <c r="E4560" s="6">
        <v>0</v>
      </c>
      <c r="F4560" s="11" t="s">
        <v>7</v>
      </c>
    </row>
    <row r="4561" spans="1:6">
      <c r="A4561" s="5" t="str">
        <f t="shared" si="80"/>
        <v>202317</v>
      </c>
      <c r="B4561" s="5" t="str">
        <f>"23085032215"</f>
        <v>23085032215</v>
      </c>
      <c r="C4561" s="6">
        <v>0</v>
      </c>
      <c r="D4561" s="6">
        <v>0</v>
      </c>
      <c r="E4561" s="6">
        <v>0</v>
      </c>
      <c r="F4561" s="11" t="s">
        <v>7</v>
      </c>
    </row>
    <row r="4562" spans="1:6">
      <c r="A4562" s="5" t="str">
        <f t="shared" si="80"/>
        <v>202317</v>
      </c>
      <c r="B4562" s="5" t="str">
        <f>"23085032921"</f>
        <v>23085032921</v>
      </c>
      <c r="C4562" s="6">
        <v>0</v>
      </c>
      <c r="D4562" s="6">
        <v>0</v>
      </c>
      <c r="E4562" s="6">
        <v>0</v>
      </c>
      <c r="F4562" s="11" t="s">
        <v>7</v>
      </c>
    </row>
    <row r="4563" spans="1:6">
      <c r="A4563" s="5" t="str">
        <f t="shared" si="80"/>
        <v>202317</v>
      </c>
      <c r="B4563" s="5" t="str">
        <f>"23085040428"</f>
        <v>23085040428</v>
      </c>
      <c r="C4563" s="6">
        <v>0</v>
      </c>
      <c r="D4563" s="6">
        <v>0</v>
      </c>
      <c r="E4563" s="6">
        <v>0</v>
      </c>
      <c r="F4563" s="11" t="s">
        <v>7</v>
      </c>
    </row>
    <row r="4564" spans="1:6">
      <c r="A4564" s="5" t="str">
        <f t="shared" si="80"/>
        <v>202317</v>
      </c>
      <c r="B4564" s="5" t="str">
        <f>"23085032521"</f>
        <v>23085032521</v>
      </c>
      <c r="C4564" s="6">
        <v>0</v>
      </c>
      <c r="D4564" s="6">
        <v>0</v>
      </c>
      <c r="E4564" s="6">
        <v>0</v>
      </c>
      <c r="F4564" s="11" t="s">
        <v>7</v>
      </c>
    </row>
    <row r="4565" spans="1:6">
      <c r="A4565" s="5" t="str">
        <f t="shared" si="80"/>
        <v>202317</v>
      </c>
      <c r="B4565" s="5" t="str">
        <f>"23085032706"</f>
        <v>23085032706</v>
      </c>
      <c r="C4565" s="6">
        <v>0</v>
      </c>
      <c r="D4565" s="6">
        <v>0</v>
      </c>
      <c r="E4565" s="6">
        <v>0</v>
      </c>
      <c r="F4565" s="11" t="s">
        <v>7</v>
      </c>
    </row>
    <row r="4566" spans="1:6">
      <c r="A4566" s="5" t="str">
        <f t="shared" si="80"/>
        <v>202317</v>
      </c>
      <c r="B4566" s="5" t="str">
        <f>"23085032902"</f>
        <v>23085032902</v>
      </c>
      <c r="C4566" s="6">
        <v>0</v>
      </c>
      <c r="D4566" s="6">
        <v>0</v>
      </c>
      <c r="E4566" s="6">
        <v>0</v>
      </c>
      <c r="F4566" s="11" t="s">
        <v>7</v>
      </c>
    </row>
    <row r="4567" spans="1:6">
      <c r="A4567" s="5" t="str">
        <f t="shared" si="80"/>
        <v>202317</v>
      </c>
      <c r="B4567" s="5" t="str">
        <f>"23085040221"</f>
        <v>23085040221</v>
      </c>
      <c r="C4567" s="6">
        <v>0</v>
      </c>
      <c r="D4567" s="6">
        <v>0</v>
      </c>
      <c r="E4567" s="6">
        <v>0</v>
      </c>
      <c r="F4567" s="11" t="s">
        <v>7</v>
      </c>
    </row>
    <row r="4568" spans="1:6">
      <c r="A4568" s="5" t="str">
        <f t="shared" si="80"/>
        <v>202317</v>
      </c>
      <c r="B4568" s="5" t="str">
        <f>"23085032005"</f>
        <v>23085032005</v>
      </c>
      <c r="C4568" s="6">
        <v>0</v>
      </c>
      <c r="D4568" s="6">
        <v>0</v>
      </c>
      <c r="E4568" s="6">
        <v>0</v>
      </c>
      <c r="F4568" s="11" t="s">
        <v>7</v>
      </c>
    </row>
    <row r="4569" spans="1:6">
      <c r="A4569" s="5" t="str">
        <f t="shared" si="80"/>
        <v>202317</v>
      </c>
      <c r="B4569" s="5" t="str">
        <f>"23085033405"</f>
        <v>23085033405</v>
      </c>
      <c r="C4569" s="6">
        <v>0</v>
      </c>
      <c r="D4569" s="6">
        <v>0</v>
      </c>
      <c r="E4569" s="6">
        <v>0</v>
      </c>
      <c r="F4569" s="11" t="s">
        <v>7</v>
      </c>
    </row>
    <row r="4570" spans="1:6">
      <c r="A4570" s="5" t="str">
        <f t="shared" si="80"/>
        <v>202317</v>
      </c>
      <c r="B4570" s="5" t="str">
        <f>"23085032213"</f>
        <v>23085032213</v>
      </c>
      <c r="C4570" s="6">
        <v>0</v>
      </c>
      <c r="D4570" s="6">
        <v>0</v>
      </c>
      <c r="E4570" s="6">
        <v>0</v>
      </c>
      <c r="F4570" s="11" t="s">
        <v>7</v>
      </c>
    </row>
    <row r="4571" spans="1:6">
      <c r="A4571" s="5" t="str">
        <f t="shared" si="80"/>
        <v>202317</v>
      </c>
      <c r="B4571" s="5" t="str">
        <f>"23085032226"</f>
        <v>23085032226</v>
      </c>
      <c r="C4571" s="6">
        <v>0</v>
      </c>
      <c r="D4571" s="6">
        <v>0</v>
      </c>
      <c r="E4571" s="6">
        <v>0</v>
      </c>
      <c r="F4571" s="11" t="s">
        <v>7</v>
      </c>
    </row>
    <row r="4572" spans="1:6">
      <c r="A4572" s="5" t="str">
        <f t="shared" si="80"/>
        <v>202317</v>
      </c>
      <c r="B4572" s="5" t="str">
        <f>"23085033817"</f>
        <v>23085033817</v>
      </c>
      <c r="C4572" s="6">
        <v>0</v>
      </c>
      <c r="D4572" s="6">
        <v>0</v>
      </c>
      <c r="E4572" s="6">
        <v>0</v>
      </c>
      <c r="F4572" s="11" t="s">
        <v>7</v>
      </c>
    </row>
    <row r="4573" spans="1:6">
      <c r="A4573" s="5" t="str">
        <f t="shared" si="80"/>
        <v>202317</v>
      </c>
      <c r="B4573" s="5" t="str">
        <f>"23085032324"</f>
        <v>23085032324</v>
      </c>
      <c r="C4573" s="6">
        <v>0</v>
      </c>
      <c r="D4573" s="6">
        <v>0</v>
      </c>
      <c r="E4573" s="6">
        <v>0</v>
      </c>
      <c r="F4573" s="11" t="s">
        <v>7</v>
      </c>
    </row>
    <row r="4574" spans="1:6">
      <c r="A4574" s="5" t="str">
        <f t="shared" si="80"/>
        <v>202317</v>
      </c>
      <c r="B4574" s="5" t="str">
        <f>"23085033514"</f>
        <v>23085033514</v>
      </c>
      <c r="C4574" s="6">
        <v>0</v>
      </c>
      <c r="D4574" s="6">
        <v>0</v>
      </c>
      <c r="E4574" s="6">
        <v>0</v>
      </c>
      <c r="F4574" s="11" t="s">
        <v>7</v>
      </c>
    </row>
    <row r="4575" spans="1:6">
      <c r="A4575" s="5" t="str">
        <f t="shared" si="80"/>
        <v>202317</v>
      </c>
      <c r="B4575" s="5" t="str">
        <f>"23085040406"</f>
        <v>23085040406</v>
      </c>
      <c r="C4575" s="6">
        <v>0</v>
      </c>
      <c r="D4575" s="6">
        <v>0</v>
      </c>
      <c r="E4575" s="6">
        <v>0</v>
      </c>
      <c r="F4575" s="11" t="s">
        <v>7</v>
      </c>
    </row>
    <row r="4576" spans="1:6">
      <c r="A4576" s="5" t="str">
        <f t="shared" si="80"/>
        <v>202317</v>
      </c>
      <c r="B4576" s="5" t="str">
        <f>"23085033924"</f>
        <v>23085033924</v>
      </c>
      <c r="C4576" s="6">
        <v>0</v>
      </c>
      <c r="D4576" s="6">
        <v>0</v>
      </c>
      <c r="E4576" s="6">
        <v>0</v>
      </c>
      <c r="F4576" s="11" t="s">
        <v>7</v>
      </c>
    </row>
    <row r="4577" spans="1:6">
      <c r="A4577" s="5" t="str">
        <f t="shared" si="80"/>
        <v>202317</v>
      </c>
      <c r="B4577" s="5" t="str">
        <f>"23085040109"</f>
        <v>23085040109</v>
      </c>
      <c r="C4577" s="6">
        <v>0</v>
      </c>
      <c r="D4577" s="6">
        <v>0</v>
      </c>
      <c r="E4577" s="6">
        <v>0</v>
      </c>
      <c r="F4577" s="11" t="s">
        <v>7</v>
      </c>
    </row>
    <row r="4578" spans="1:6">
      <c r="A4578" s="5" t="str">
        <f t="shared" si="80"/>
        <v>202317</v>
      </c>
      <c r="B4578" s="5" t="str">
        <f>"23085032107"</f>
        <v>23085032107</v>
      </c>
      <c r="C4578" s="6">
        <v>0</v>
      </c>
      <c r="D4578" s="6">
        <v>0</v>
      </c>
      <c r="E4578" s="6">
        <v>0</v>
      </c>
      <c r="F4578" s="11" t="s">
        <v>7</v>
      </c>
    </row>
    <row r="4579" spans="1:6">
      <c r="A4579" s="5" t="str">
        <f t="shared" si="80"/>
        <v>202317</v>
      </c>
      <c r="B4579" s="5" t="str">
        <f>"23085040327"</f>
        <v>23085040327</v>
      </c>
      <c r="C4579" s="6">
        <v>0</v>
      </c>
      <c r="D4579" s="6">
        <v>0</v>
      </c>
      <c r="E4579" s="6">
        <v>0</v>
      </c>
      <c r="F4579" s="11" t="s">
        <v>7</v>
      </c>
    </row>
    <row r="4580" spans="1:6">
      <c r="A4580" s="5" t="str">
        <f t="shared" si="80"/>
        <v>202317</v>
      </c>
      <c r="B4580" s="5" t="str">
        <f>"23085033407"</f>
        <v>23085033407</v>
      </c>
      <c r="C4580" s="6">
        <v>0</v>
      </c>
      <c r="D4580" s="6">
        <v>0</v>
      </c>
      <c r="E4580" s="6">
        <v>0</v>
      </c>
      <c r="F4580" s="11" t="s">
        <v>7</v>
      </c>
    </row>
    <row r="4581" spans="1:6">
      <c r="A4581" s="5" t="str">
        <f t="shared" si="80"/>
        <v>202317</v>
      </c>
      <c r="B4581" s="5" t="str">
        <f>"23085040330"</f>
        <v>23085040330</v>
      </c>
      <c r="C4581" s="6">
        <v>0</v>
      </c>
      <c r="D4581" s="6">
        <v>0</v>
      </c>
      <c r="E4581" s="6">
        <v>0</v>
      </c>
      <c r="F4581" s="11" t="s">
        <v>7</v>
      </c>
    </row>
    <row r="4582" spans="1:6">
      <c r="A4582" s="5" t="str">
        <f t="shared" si="80"/>
        <v>202317</v>
      </c>
      <c r="B4582" s="5" t="str">
        <f>"23085040425"</f>
        <v>23085040425</v>
      </c>
      <c r="C4582" s="6">
        <v>0</v>
      </c>
      <c r="D4582" s="6">
        <v>0</v>
      </c>
      <c r="E4582" s="6">
        <v>0</v>
      </c>
      <c r="F4582" s="11" t="s">
        <v>7</v>
      </c>
    </row>
    <row r="4583" spans="1:6">
      <c r="A4583" s="5" t="str">
        <f t="shared" si="80"/>
        <v>202317</v>
      </c>
      <c r="B4583" s="5" t="str">
        <f>"23085040605"</f>
        <v>23085040605</v>
      </c>
      <c r="C4583" s="6">
        <v>0</v>
      </c>
      <c r="D4583" s="6">
        <v>0</v>
      </c>
      <c r="E4583" s="6">
        <v>0</v>
      </c>
      <c r="F4583" s="11" t="s">
        <v>7</v>
      </c>
    </row>
    <row r="4584" spans="1:6">
      <c r="A4584" s="5" t="str">
        <f t="shared" si="80"/>
        <v>202317</v>
      </c>
      <c r="B4584" s="5" t="str">
        <f>"23085032711"</f>
        <v>23085032711</v>
      </c>
      <c r="C4584" s="6">
        <v>0</v>
      </c>
      <c r="D4584" s="6">
        <v>0</v>
      </c>
      <c r="E4584" s="6">
        <v>0</v>
      </c>
      <c r="F4584" s="11" t="s">
        <v>7</v>
      </c>
    </row>
    <row r="4585" spans="1:6">
      <c r="A4585" s="5" t="str">
        <f t="shared" si="80"/>
        <v>202317</v>
      </c>
      <c r="B4585" s="5" t="str">
        <f>"23085033418"</f>
        <v>23085033418</v>
      </c>
      <c r="C4585" s="6">
        <v>0</v>
      </c>
      <c r="D4585" s="6">
        <v>0</v>
      </c>
      <c r="E4585" s="6">
        <v>0</v>
      </c>
      <c r="F4585" s="11" t="s">
        <v>7</v>
      </c>
    </row>
    <row r="4586" spans="1:6">
      <c r="A4586" s="5" t="str">
        <f t="shared" si="80"/>
        <v>202317</v>
      </c>
      <c r="B4586" s="5" t="str">
        <f>"23085032826"</f>
        <v>23085032826</v>
      </c>
      <c r="C4586" s="6">
        <v>0</v>
      </c>
      <c r="D4586" s="6">
        <v>0</v>
      </c>
      <c r="E4586" s="6">
        <v>0</v>
      </c>
      <c r="F4586" s="11" t="s">
        <v>7</v>
      </c>
    </row>
    <row r="4587" spans="1:6">
      <c r="A4587" s="5" t="str">
        <f t="shared" si="80"/>
        <v>202317</v>
      </c>
      <c r="B4587" s="5" t="str">
        <f>"23085031908"</f>
        <v>23085031908</v>
      </c>
      <c r="C4587" s="6">
        <v>0</v>
      </c>
      <c r="D4587" s="6">
        <v>0</v>
      </c>
      <c r="E4587" s="6">
        <v>0</v>
      </c>
      <c r="F4587" s="11" t="s">
        <v>7</v>
      </c>
    </row>
    <row r="4588" spans="1:6">
      <c r="A4588" s="5" t="str">
        <f t="shared" si="80"/>
        <v>202317</v>
      </c>
      <c r="B4588" s="5" t="str">
        <f>"23085033327"</f>
        <v>23085033327</v>
      </c>
      <c r="C4588" s="6">
        <v>0</v>
      </c>
      <c r="D4588" s="6">
        <v>0</v>
      </c>
      <c r="E4588" s="6">
        <v>0</v>
      </c>
      <c r="F4588" s="11" t="s">
        <v>7</v>
      </c>
    </row>
    <row r="4589" spans="1:6">
      <c r="A4589" s="5" t="str">
        <f t="shared" si="80"/>
        <v>202317</v>
      </c>
      <c r="B4589" s="5" t="str">
        <f>"23085040607"</f>
        <v>23085040607</v>
      </c>
      <c r="C4589" s="6">
        <v>0</v>
      </c>
      <c r="D4589" s="6">
        <v>0</v>
      </c>
      <c r="E4589" s="6">
        <v>0</v>
      </c>
      <c r="F4589" s="11" t="s">
        <v>7</v>
      </c>
    </row>
    <row r="4590" spans="1:6">
      <c r="A4590" s="5" t="str">
        <f t="shared" si="80"/>
        <v>202317</v>
      </c>
      <c r="B4590" s="5" t="str">
        <f>"23085033827"</f>
        <v>23085033827</v>
      </c>
      <c r="C4590" s="6">
        <v>0</v>
      </c>
      <c r="D4590" s="6">
        <v>0</v>
      </c>
      <c r="E4590" s="6">
        <v>0</v>
      </c>
      <c r="F4590" s="11" t="s">
        <v>7</v>
      </c>
    </row>
    <row r="4591" spans="1:6">
      <c r="A4591" s="5" t="str">
        <f t="shared" si="80"/>
        <v>202317</v>
      </c>
      <c r="B4591" s="5" t="str">
        <f>"23085033521"</f>
        <v>23085033521</v>
      </c>
      <c r="C4591" s="6">
        <v>0</v>
      </c>
      <c r="D4591" s="6">
        <v>0</v>
      </c>
      <c r="E4591" s="6">
        <v>0</v>
      </c>
      <c r="F4591" s="11" t="s">
        <v>7</v>
      </c>
    </row>
    <row r="4592" spans="1:6">
      <c r="A4592" s="5" t="str">
        <f t="shared" si="80"/>
        <v>202317</v>
      </c>
      <c r="B4592" s="5" t="str">
        <f>"23085033228"</f>
        <v>23085033228</v>
      </c>
      <c r="C4592" s="6">
        <v>0</v>
      </c>
      <c r="D4592" s="6">
        <v>0</v>
      </c>
      <c r="E4592" s="6">
        <v>0</v>
      </c>
      <c r="F4592" s="11" t="s">
        <v>7</v>
      </c>
    </row>
    <row r="4593" spans="1:6">
      <c r="A4593" s="5" t="str">
        <f t="shared" si="80"/>
        <v>202317</v>
      </c>
      <c r="B4593" s="5" t="str">
        <f>"23085033910"</f>
        <v>23085033910</v>
      </c>
      <c r="C4593" s="6">
        <v>0</v>
      </c>
      <c r="D4593" s="6">
        <v>0</v>
      </c>
      <c r="E4593" s="6">
        <v>0</v>
      </c>
      <c r="F4593" s="11" t="s">
        <v>7</v>
      </c>
    </row>
    <row r="4594" spans="1:6">
      <c r="A4594" s="5" t="str">
        <f t="shared" si="80"/>
        <v>202317</v>
      </c>
      <c r="B4594" s="5" t="str">
        <f>"23085040202"</f>
        <v>23085040202</v>
      </c>
      <c r="C4594" s="6">
        <v>0</v>
      </c>
      <c r="D4594" s="6">
        <v>0</v>
      </c>
      <c r="E4594" s="6">
        <v>0</v>
      </c>
      <c r="F4594" s="11" t="s">
        <v>7</v>
      </c>
    </row>
    <row r="4595" spans="1:6">
      <c r="A4595" s="5" t="str">
        <f t="shared" si="80"/>
        <v>202317</v>
      </c>
      <c r="B4595" s="5" t="str">
        <f>"23085032808"</f>
        <v>23085032808</v>
      </c>
      <c r="C4595" s="6">
        <v>0</v>
      </c>
      <c r="D4595" s="6">
        <v>0</v>
      </c>
      <c r="E4595" s="6">
        <v>0</v>
      </c>
      <c r="F4595" s="11" t="s">
        <v>7</v>
      </c>
    </row>
    <row r="4596" spans="1:6">
      <c r="A4596" s="5" t="str">
        <f t="shared" si="80"/>
        <v>202317</v>
      </c>
      <c r="B4596" s="5" t="str">
        <f>"23085032121"</f>
        <v>23085032121</v>
      </c>
      <c r="C4596" s="6">
        <v>0</v>
      </c>
      <c r="D4596" s="6">
        <v>0</v>
      </c>
      <c r="E4596" s="6">
        <v>0</v>
      </c>
      <c r="F4596" s="11" t="s">
        <v>7</v>
      </c>
    </row>
    <row r="4597" spans="1:6">
      <c r="A4597" s="5" t="str">
        <f t="shared" si="80"/>
        <v>202317</v>
      </c>
      <c r="B4597" s="5" t="str">
        <f>"23085032927"</f>
        <v>23085032927</v>
      </c>
      <c r="C4597" s="6">
        <v>0</v>
      </c>
      <c r="D4597" s="6">
        <v>0</v>
      </c>
      <c r="E4597" s="6">
        <v>0</v>
      </c>
      <c r="F4597" s="11" t="s">
        <v>7</v>
      </c>
    </row>
    <row r="4598" spans="1:6">
      <c r="A4598" s="5" t="str">
        <f t="shared" si="80"/>
        <v>202317</v>
      </c>
      <c r="B4598" s="5" t="str">
        <f>"23085032619"</f>
        <v>23085032619</v>
      </c>
      <c r="C4598" s="6">
        <v>0</v>
      </c>
      <c r="D4598" s="6">
        <v>0</v>
      </c>
      <c r="E4598" s="6">
        <v>0</v>
      </c>
      <c r="F4598" s="11" t="s">
        <v>7</v>
      </c>
    </row>
    <row r="4599" spans="1:6">
      <c r="A4599" s="5" t="str">
        <f t="shared" si="80"/>
        <v>202317</v>
      </c>
      <c r="B4599" s="5" t="str">
        <f>"23085033501"</f>
        <v>23085033501</v>
      </c>
      <c r="C4599" s="6">
        <v>0</v>
      </c>
      <c r="D4599" s="6">
        <v>0</v>
      </c>
      <c r="E4599" s="6">
        <v>0</v>
      </c>
      <c r="F4599" s="11" t="s">
        <v>7</v>
      </c>
    </row>
    <row r="4600" spans="1:6">
      <c r="A4600" s="5" t="str">
        <f t="shared" si="80"/>
        <v>202317</v>
      </c>
      <c r="B4600" s="5" t="str">
        <f>"23085033516"</f>
        <v>23085033516</v>
      </c>
      <c r="C4600" s="6">
        <v>0</v>
      </c>
      <c r="D4600" s="6">
        <v>0</v>
      </c>
      <c r="E4600" s="6">
        <v>0</v>
      </c>
      <c r="F4600" s="11" t="s">
        <v>7</v>
      </c>
    </row>
    <row r="4601" spans="1:6">
      <c r="A4601" s="5" t="str">
        <f t="shared" si="80"/>
        <v>202317</v>
      </c>
      <c r="B4601" s="5" t="str">
        <f>"23085033323"</f>
        <v>23085033323</v>
      </c>
      <c r="C4601" s="6">
        <v>0</v>
      </c>
      <c r="D4601" s="6">
        <v>0</v>
      </c>
      <c r="E4601" s="6">
        <v>0</v>
      </c>
      <c r="F4601" s="11" t="s">
        <v>7</v>
      </c>
    </row>
    <row r="4602" spans="1:6">
      <c r="A4602" s="5" t="str">
        <f t="shared" si="80"/>
        <v>202317</v>
      </c>
      <c r="B4602" s="5" t="str">
        <f>"23085033129"</f>
        <v>23085033129</v>
      </c>
      <c r="C4602" s="6">
        <v>0</v>
      </c>
      <c r="D4602" s="6">
        <v>0</v>
      </c>
      <c r="E4602" s="6">
        <v>0</v>
      </c>
      <c r="F4602" s="11" t="s">
        <v>7</v>
      </c>
    </row>
    <row r="4603" spans="1:6">
      <c r="A4603" s="5" t="str">
        <f t="shared" si="80"/>
        <v>202317</v>
      </c>
      <c r="B4603" s="5" t="str">
        <f>"23085032626"</f>
        <v>23085032626</v>
      </c>
      <c r="C4603" s="6">
        <v>0</v>
      </c>
      <c r="D4603" s="6">
        <v>0</v>
      </c>
      <c r="E4603" s="6">
        <v>0</v>
      </c>
      <c r="F4603" s="11" t="s">
        <v>7</v>
      </c>
    </row>
    <row r="4604" spans="1:6">
      <c r="A4604" s="5" t="str">
        <f t="shared" si="80"/>
        <v>202317</v>
      </c>
      <c r="B4604" s="5" t="str">
        <f>"23085040508"</f>
        <v>23085040508</v>
      </c>
      <c r="C4604" s="6">
        <v>0</v>
      </c>
      <c r="D4604" s="6">
        <v>0</v>
      </c>
      <c r="E4604" s="6">
        <v>0</v>
      </c>
      <c r="F4604" s="11" t="s">
        <v>7</v>
      </c>
    </row>
    <row r="4605" spans="1:6">
      <c r="A4605" s="5" t="str">
        <f t="shared" si="80"/>
        <v>202317</v>
      </c>
      <c r="B4605" s="5" t="str">
        <f>"23085032229"</f>
        <v>23085032229</v>
      </c>
      <c r="C4605" s="6">
        <v>0</v>
      </c>
      <c r="D4605" s="6">
        <v>0</v>
      </c>
      <c r="E4605" s="6">
        <v>0</v>
      </c>
      <c r="F4605" s="11" t="s">
        <v>7</v>
      </c>
    </row>
    <row r="4606" spans="1:6">
      <c r="A4606" s="5" t="str">
        <f t="shared" ref="A4606:A4669" si="81">"202318"</f>
        <v>202318</v>
      </c>
      <c r="B4606" s="5" t="str">
        <f>"23085041513"</f>
        <v>23085041513</v>
      </c>
      <c r="C4606" s="6">
        <v>124.5</v>
      </c>
      <c r="D4606" s="6">
        <v>115</v>
      </c>
      <c r="E4606" s="6">
        <v>239.5</v>
      </c>
      <c r="F4606" s="11"/>
    </row>
    <row r="4607" spans="1:6">
      <c r="A4607" s="5" t="str">
        <f t="shared" si="81"/>
        <v>202318</v>
      </c>
      <c r="B4607" s="5" t="str">
        <f>"23085042029"</f>
        <v>23085042029</v>
      </c>
      <c r="C4607" s="6">
        <v>120</v>
      </c>
      <c r="D4607" s="6">
        <v>118.5</v>
      </c>
      <c r="E4607" s="6">
        <v>238.5</v>
      </c>
      <c r="F4607" s="11"/>
    </row>
    <row r="4608" spans="1:6">
      <c r="A4608" s="5" t="str">
        <f t="shared" si="81"/>
        <v>202318</v>
      </c>
      <c r="B4608" s="5" t="str">
        <f>"23085040910"</f>
        <v>23085040910</v>
      </c>
      <c r="C4608" s="6">
        <v>124.5</v>
      </c>
      <c r="D4608" s="6">
        <v>114</v>
      </c>
      <c r="E4608" s="6">
        <v>238.5</v>
      </c>
      <c r="F4608" s="11"/>
    </row>
    <row r="4609" spans="1:6">
      <c r="A4609" s="5" t="str">
        <f t="shared" si="81"/>
        <v>202318</v>
      </c>
      <c r="B4609" s="5" t="str">
        <f>"23085042124"</f>
        <v>23085042124</v>
      </c>
      <c r="C4609" s="6">
        <v>118.5</v>
      </c>
      <c r="D4609" s="6">
        <v>119.5</v>
      </c>
      <c r="E4609" s="6">
        <v>238</v>
      </c>
      <c r="F4609" s="11"/>
    </row>
    <row r="4610" spans="1:6">
      <c r="A4610" s="5" t="str">
        <f t="shared" si="81"/>
        <v>202318</v>
      </c>
      <c r="B4610" s="5" t="str">
        <f>"23085041419"</f>
        <v>23085041419</v>
      </c>
      <c r="C4610" s="6">
        <v>120</v>
      </c>
      <c r="D4610" s="6">
        <v>117</v>
      </c>
      <c r="E4610" s="6">
        <v>237</v>
      </c>
      <c r="F4610" s="11"/>
    </row>
    <row r="4611" spans="1:6">
      <c r="A4611" s="5" t="str">
        <f t="shared" si="81"/>
        <v>202318</v>
      </c>
      <c r="B4611" s="5" t="str">
        <f>"23085041117"</f>
        <v>23085041117</v>
      </c>
      <c r="C4611" s="6">
        <v>112.5</v>
      </c>
      <c r="D4611" s="6">
        <v>123.5</v>
      </c>
      <c r="E4611" s="6">
        <v>236</v>
      </c>
      <c r="F4611" s="11"/>
    </row>
    <row r="4612" spans="1:6">
      <c r="A4612" s="5" t="str">
        <f t="shared" si="81"/>
        <v>202318</v>
      </c>
      <c r="B4612" s="5" t="str">
        <f>"23085041001"</f>
        <v>23085041001</v>
      </c>
      <c r="C4612" s="6">
        <v>123</v>
      </c>
      <c r="D4612" s="6">
        <v>112</v>
      </c>
      <c r="E4612" s="6">
        <v>235</v>
      </c>
      <c r="F4612" s="11"/>
    </row>
    <row r="4613" spans="1:6">
      <c r="A4613" s="5" t="str">
        <f t="shared" si="81"/>
        <v>202318</v>
      </c>
      <c r="B4613" s="5" t="str">
        <f>"23085040726"</f>
        <v>23085040726</v>
      </c>
      <c r="C4613" s="6">
        <v>112.5</v>
      </c>
      <c r="D4613" s="6">
        <v>120.5</v>
      </c>
      <c r="E4613" s="6">
        <v>233</v>
      </c>
      <c r="F4613" s="11"/>
    </row>
    <row r="4614" spans="1:6">
      <c r="A4614" s="5" t="str">
        <f t="shared" si="81"/>
        <v>202318</v>
      </c>
      <c r="B4614" s="5" t="str">
        <f>"23085042806"</f>
        <v>23085042806</v>
      </c>
      <c r="C4614" s="6">
        <v>109.5</v>
      </c>
      <c r="D4614" s="6">
        <v>123.5</v>
      </c>
      <c r="E4614" s="6">
        <v>233</v>
      </c>
      <c r="F4614" s="11"/>
    </row>
    <row r="4615" spans="1:6">
      <c r="A4615" s="5" t="str">
        <f t="shared" si="81"/>
        <v>202318</v>
      </c>
      <c r="B4615" s="5" t="str">
        <f>"23085041617"</f>
        <v>23085041617</v>
      </c>
      <c r="C4615" s="6">
        <v>118.5</v>
      </c>
      <c r="D4615" s="6">
        <v>114.5</v>
      </c>
      <c r="E4615" s="6">
        <v>233</v>
      </c>
      <c r="F4615" s="11"/>
    </row>
    <row r="4616" spans="1:6">
      <c r="A4616" s="5" t="str">
        <f t="shared" si="81"/>
        <v>202318</v>
      </c>
      <c r="B4616" s="5" t="str">
        <f>"23085041109"</f>
        <v>23085041109</v>
      </c>
      <c r="C4616" s="6">
        <v>112.5</v>
      </c>
      <c r="D4616" s="6">
        <v>120.5</v>
      </c>
      <c r="E4616" s="6">
        <v>233</v>
      </c>
      <c r="F4616" s="11"/>
    </row>
    <row r="4617" spans="1:6">
      <c r="A4617" s="5" t="str">
        <f t="shared" si="81"/>
        <v>202318</v>
      </c>
      <c r="B4617" s="5" t="str">
        <f>"23085042428"</f>
        <v>23085042428</v>
      </c>
      <c r="C4617" s="6">
        <v>115.5</v>
      </c>
      <c r="D4617" s="6">
        <v>117</v>
      </c>
      <c r="E4617" s="6">
        <v>232.5</v>
      </c>
      <c r="F4617" s="11"/>
    </row>
    <row r="4618" spans="1:6">
      <c r="A4618" s="5" t="str">
        <f t="shared" si="81"/>
        <v>202318</v>
      </c>
      <c r="B4618" s="5" t="str">
        <f>"23085042902"</f>
        <v>23085042902</v>
      </c>
      <c r="C4618" s="6">
        <v>120</v>
      </c>
      <c r="D4618" s="6">
        <v>112.5</v>
      </c>
      <c r="E4618" s="6">
        <v>232.5</v>
      </c>
      <c r="F4618" s="11"/>
    </row>
    <row r="4619" spans="1:6">
      <c r="A4619" s="5" t="str">
        <f t="shared" si="81"/>
        <v>202318</v>
      </c>
      <c r="B4619" s="5" t="str">
        <f>"23085043209"</f>
        <v>23085043209</v>
      </c>
      <c r="C4619" s="6">
        <v>114</v>
      </c>
      <c r="D4619" s="6">
        <v>118.5</v>
      </c>
      <c r="E4619" s="6">
        <v>232.5</v>
      </c>
      <c r="F4619" s="11"/>
    </row>
    <row r="4620" spans="1:6">
      <c r="A4620" s="5" t="str">
        <f t="shared" si="81"/>
        <v>202318</v>
      </c>
      <c r="B4620" s="5" t="str">
        <f>"23085043029"</f>
        <v>23085043029</v>
      </c>
      <c r="C4620" s="6">
        <v>118.5</v>
      </c>
      <c r="D4620" s="6">
        <v>113.5</v>
      </c>
      <c r="E4620" s="6">
        <v>232</v>
      </c>
      <c r="F4620" s="11"/>
    </row>
    <row r="4621" spans="1:6">
      <c r="A4621" s="5" t="str">
        <f t="shared" si="81"/>
        <v>202318</v>
      </c>
      <c r="B4621" s="5" t="str">
        <f>"23085043016"</f>
        <v>23085043016</v>
      </c>
      <c r="C4621" s="6">
        <v>109.5</v>
      </c>
      <c r="D4621" s="6">
        <v>122.5</v>
      </c>
      <c r="E4621" s="6">
        <v>232</v>
      </c>
      <c r="F4621" s="11"/>
    </row>
    <row r="4622" spans="1:6">
      <c r="A4622" s="5" t="str">
        <f t="shared" si="81"/>
        <v>202318</v>
      </c>
      <c r="B4622" s="5" t="str">
        <f>"23085041816"</f>
        <v>23085041816</v>
      </c>
      <c r="C4622" s="6">
        <v>114</v>
      </c>
      <c r="D4622" s="6">
        <v>118</v>
      </c>
      <c r="E4622" s="6">
        <v>232</v>
      </c>
      <c r="F4622" s="11"/>
    </row>
    <row r="4623" spans="1:6">
      <c r="A4623" s="5" t="str">
        <f t="shared" si="81"/>
        <v>202318</v>
      </c>
      <c r="B4623" s="5" t="str">
        <f>"23085040821"</f>
        <v>23085040821</v>
      </c>
      <c r="C4623" s="6">
        <v>115.5</v>
      </c>
      <c r="D4623" s="6">
        <v>116.5</v>
      </c>
      <c r="E4623" s="6">
        <v>232</v>
      </c>
      <c r="F4623" s="11"/>
    </row>
    <row r="4624" spans="1:6">
      <c r="A4624" s="5" t="str">
        <f t="shared" si="81"/>
        <v>202318</v>
      </c>
      <c r="B4624" s="5" t="str">
        <f>"23085040811"</f>
        <v>23085040811</v>
      </c>
      <c r="C4624" s="6">
        <v>108</v>
      </c>
      <c r="D4624" s="6">
        <v>124</v>
      </c>
      <c r="E4624" s="6">
        <v>232</v>
      </c>
      <c r="F4624" s="11"/>
    </row>
    <row r="4625" spans="1:6">
      <c r="A4625" s="5" t="str">
        <f t="shared" si="81"/>
        <v>202318</v>
      </c>
      <c r="B4625" s="5" t="str">
        <f>"23085043021"</f>
        <v>23085043021</v>
      </c>
      <c r="C4625" s="6">
        <v>114</v>
      </c>
      <c r="D4625" s="6">
        <v>117.5</v>
      </c>
      <c r="E4625" s="6">
        <v>231.5</v>
      </c>
      <c r="F4625" s="11"/>
    </row>
    <row r="4626" spans="1:6">
      <c r="A4626" s="5" t="str">
        <f t="shared" si="81"/>
        <v>202318</v>
      </c>
      <c r="B4626" s="5" t="str">
        <f>"23085042629"</f>
        <v>23085042629</v>
      </c>
      <c r="C4626" s="6">
        <v>111</v>
      </c>
      <c r="D4626" s="6">
        <v>120.5</v>
      </c>
      <c r="E4626" s="6">
        <v>231.5</v>
      </c>
      <c r="F4626" s="11"/>
    </row>
    <row r="4627" spans="1:6">
      <c r="A4627" s="5" t="str">
        <f t="shared" si="81"/>
        <v>202318</v>
      </c>
      <c r="B4627" s="5" t="str">
        <f>"23085043123"</f>
        <v>23085043123</v>
      </c>
      <c r="C4627" s="6">
        <v>115.5</v>
      </c>
      <c r="D4627" s="6">
        <v>115.5</v>
      </c>
      <c r="E4627" s="6">
        <v>231</v>
      </c>
      <c r="F4627" s="11"/>
    </row>
    <row r="4628" spans="1:6">
      <c r="A4628" s="5" t="str">
        <f t="shared" si="81"/>
        <v>202318</v>
      </c>
      <c r="B4628" s="5" t="str">
        <f>"23085042924"</f>
        <v>23085042924</v>
      </c>
      <c r="C4628" s="6">
        <v>124.5</v>
      </c>
      <c r="D4628" s="6">
        <v>106.5</v>
      </c>
      <c r="E4628" s="6">
        <v>231</v>
      </c>
      <c r="F4628" s="11"/>
    </row>
    <row r="4629" spans="1:6">
      <c r="A4629" s="5" t="str">
        <f t="shared" si="81"/>
        <v>202318</v>
      </c>
      <c r="B4629" s="5" t="str">
        <f>"23085042328"</f>
        <v>23085042328</v>
      </c>
      <c r="C4629" s="6">
        <v>115.5</v>
      </c>
      <c r="D4629" s="6">
        <v>115.5</v>
      </c>
      <c r="E4629" s="6">
        <v>231</v>
      </c>
      <c r="F4629" s="11"/>
    </row>
    <row r="4630" spans="1:6">
      <c r="A4630" s="5" t="str">
        <f t="shared" si="81"/>
        <v>202318</v>
      </c>
      <c r="B4630" s="5" t="str">
        <f>"23085041720"</f>
        <v>23085041720</v>
      </c>
      <c r="C4630" s="6">
        <v>115.5</v>
      </c>
      <c r="D4630" s="6">
        <v>115.5</v>
      </c>
      <c r="E4630" s="6">
        <v>231</v>
      </c>
      <c r="F4630" s="11"/>
    </row>
    <row r="4631" spans="1:6">
      <c r="A4631" s="5" t="str">
        <f t="shared" si="81"/>
        <v>202318</v>
      </c>
      <c r="B4631" s="5" t="str">
        <f>"23085041004"</f>
        <v>23085041004</v>
      </c>
      <c r="C4631" s="6">
        <v>115.5</v>
      </c>
      <c r="D4631" s="6">
        <v>115</v>
      </c>
      <c r="E4631" s="6">
        <v>230.5</v>
      </c>
      <c r="F4631" s="11"/>
    </row>
    <row r="4632" spans="1:6">
      <c r="A4632" s="5" t="str">
        <f t="shared" si="81"/>
        <v>202318</v>
      </c>
      <c r="B4632" s="5" t="str">
        <f>"23085042612"</f>
        <v>23085042612</v>
      </c>
      <c r="C4632" s="6">
        <v>115.5</v>
      </c>
      <c r="D4632" s="6">
        <v>115</v>
      </c>
      <c r="E4632" s="6">
        <v>230.5</v>
      </c>
      <c r="F4632" s="11"/>
    </row>
    <row r="4633" spans="1:6">
      <c r="A4633" s="5" t="str">
        <f t="shared" si="81"/>
        <v>202318</v>
      </c>
      <c r="B4633" s="5" t="str">
        <f>"23085042211"</f>
        <v>23085042211</v>
      </c>
      <c r="C4633" s="6">
        <v>111</v>
      </c>
      <c r="D4633" s="6">
        <v>119.5</v>
      </c>
      <c r="E4633" s="6">
        <v>230.5</v>
      </c>
      <c r="F4633" s="11"/>
    </row>
    <row r="4634" spans="1:6">
      <c r="A4634" s="5" t="str">
        <f t="shared" si="81"/>
        <v>202318</v>
      </c>
      <c r="B4634" s="5" t="str">
        <f>"23085042817"</f>
        <v>23085042817</v>
      </c>
      <c r="C4634" s="6">
        <v>114</v>
      </c>
      <c r="D4634" s="6">
        <v>116</v>
      </c>
      <c r="E4634" s="6">
        <v>230</v>
      </c>
      <c r="F4634" s="11"/>
    </row>
    <row r="4635" spans="1:6">
      <c r="A4635" s="5" t="str">
        <f t="shared" si="81"/>
        <v>202318</v>
      </c>
      <c r="B4635" s="5" t="str">
        <f>"23085041501"</f>
        <v>23085041501</v>
      </c>
      <c r="C4635" s="6">
        <v>114</v>
      </c>
      <c r="D4635" s="6">
        <v>115.5</v>
      </c>
      <c r="E4635" s="6">
        <v>229.5</v>
      </c>
      <c r="F4635" s="11"/>
    </row>
    <row r="4636" spans="1:6">
      <c r="A4636" s="5" t="str">
        <f t="shared" si="81"/>
        <v>202318</v>
      </c>
      <c r="B4636" s="5" t="str">
        <f>"23085042309"</f>
        <v>23085042309</v>
      </c>
      <c r="C4636" s="6">
        <v>117</v>
      </c>
      <c r="D4636" s="6">
        <v>112.5</v>
      </c>
      <c r="E4636" s="6">
        <v>229.5</v>
      </c>
      <c r="F4636" s="11"/>
    </row>
    <row r="4637" spans="1:6">
      <c r="A4637" s="5" t="str">
        <f t="shared" si="81"/>
        <v>202318</v>
      </c>
      <c r="B4637" s="5" t="str">
        <f>"23085041021"</f>
        <v>23085041021</v>
      </c>
      <c r="C4637" s="6">
        <v>114</v>
      </c>
      <c r="D4637" s="6">
        <v>115</v>
      </c>
      <c r="E4637" s="6">
        <v>229</v>
      </c>
      <c r="F4637" s="11"/>
    </row>
    <row r="4638" spans="1:6">
      <c r="A4638" s="5" t="str">
        <f t="shared" si="81"/>
        <v>202318</v>
      </c>
      <c r="B4638" s="5" t="str">
        <f>"23085041104"</f>
        <v>23085041104</v>
      </c>
      <c r="C4638" s="6">
        <v>108</v>
      </c>
      <c r="D4638" s="6">
        <v>121</v>
      </c>
      <c r="E4638" s="6">
        <v>229</v>
      </c>
      <c r="F4638" s="11"/>
    </row>
    <row r="4639" spans="1:6">
      <c r="A4639" s="5" t="str">
        <f t="shared" si="81"/>
        <v>202318</v>
      </c>
      <c r="B4639" s="5" t="str">
        <f>"23085042423"</f>
        <v>23085042423</v>
      </c>
      <c r="C4639" s="6">
        <v>112.5</v>
      </c>
      <c r="D4639" s="6">
        <v>116.5</v>
      </c>
      <c r="E4639" s="6">
        <v>229</v>
      </c>
      <c r="F4639" s="11"/>
    </row>
    <row r="4640" spans="1:6">
      <c r="A4640" s="5" t="str">
        <f t="shared" si="81"/>
        <v>202318</v>
      </c>
      <c r="B4640" s="5" t="str">
        <f>"23085042623"</f>
        <v>23085042623</v>
      </c>
      <c r="C4640" s="6">
        <v>118.5</v>
      </c>
      <c r="D4640" s="6">
        <v>110</v>
      </c>
      <c r="E4640" s="6">
        <v>228.5</v>
      </c>
      <c r="F4640" s="11"/>
    </row>
    <row r="4641" spans="1:6">
      <c r="A4641" s="5" t="str">
        <f t="shared" si="81"/>
        <v>202318</v>
      </c>
      <c r="B4641" s="5" t="str">
        <f>"23085042617"</f>
        <v>23085042617</v>
      </c>
      <c r="C4641" s="6">
        <v>109.5</v>
      </c>
      <c r="D4641" s="6">
        <v>119</v>
      </c>
      <c r="E4641" s="6">
        <v>228.5</v>
      </c>
      <c r="F4641" s="11"/>
    </row>
    <row r="4642" spans="1:6">
      <c r="A4642" s="5" t="str">
        <f t="shared" si="81"/>
        <v>202318</v>
      </c>
      <c r="B4642" s="5" t="str">
        <f>"23085042823"</f>
        <v>23085042823</v>
      </c>
      <c r="C4642" s="6">
        <v>117</v>
      </c>
      <c r="D4642" s="6">
        <v>111.5</v>
      </c>
      <c r="E4642" s="6">
        <v>228.5</v>
      </c>
      <c r="F4642" s="11"/>
    </row>
    <row r="4643" spans="1:6">
      <c r="A4643" s="5" t="str">
        <f t="shared" si="81"/>
        <v>202318</v>
      </c>
      <c r="B4643" s="5" t="str">
        <f>"23085041607"</f>
        <v>23085041607</v>
      </c>
      <c r="C4643" s="6">
        <v>108</v>
      </c>
      <c r="D4643" s="6">
        <v>120.5</v>
      </c>
      <c r="E4643" s="6">
        <v>228.5</v>
      </c>
      <c r="F4643" s="11"/>
    </row>
    <row r="4644" spans="1:6">
      <c r="A4644" s="5" t="str">
        <f t="shared" si="81"/>
        <v>202318</v>
      </c>
      <c r="B4644" s="5" t="str">
        <f>"23085042429"</f>
        <v>23085042429</v>
      </c>
      <c r="C4644" s="6">
        <v>111</v>
      </c>
      <c r="D4644" s="6">
        <v>117</v>
      </c>
      <c r="E4644" s="6">
        <v>228</v>
      </c>
      <c r="F4644" s="11"/>
    </row>
    <row r="4645" spans="1:6">
      <c r="A4645" s="5" t="str">
        <f t="shared" si="81"/>
        <v>202318</v>
      </c>
      <c r="B4645" s="5" t="str">
        <f>"23085040927"</f>
        <v>23085040927</v>
      </c>
      <c r="C4645" s="6">
        <v>124.5</v>
      </c>
      <c r="D4645" s="6">
        <v>103.5</v>
      </c>
      <c r="E4645" s="6">
        <v>228</v>
      </c>
      <c r="F4645" s="11"/>
    </row>
    <row r="4646" spans="1:6">
      <c r="A4646" s="5" t="str">
        <f t="shared" si="81"/>
        <v>202318</v>
      </c>
      <c r="B4646" s="5" t="str">
        <f>"23085040630"</f>
        <v>23085040630</v>
      </c>
      <c r="C4646" s="6">
        <v>117</v>
      </c>
      <c r="D4646" s="6">
        <v>111</v>
      </c>
      <c r="E4646" s="6">
        <v>228</v>
      </c>
      <c r="F4646" s="11"/>
    </row>
    <row r="4647" spans="1:6">
      <c r="A4647" s="5" t="str">
        <f t="shared" si="81"/>
        <v>202318</v>
      </c>
      <c r="B4647" s="5" t="str">
        <f>"23085041017"</f>
        <v>23085041017</v>
      </c>
      <c r="C4647" s="6">
        <v>108</v>
      </c>
      <c r="D4647" s="6">
        <v>119.5</v>
      </c>
      <c r="E4647" s="6">
        <v>227.5</v>
      </c>
      <c r="F4647" s="11"/>
    </row>
    <row r="4648" spans="1:6">
      <c r="A4648" s="5" t="str">
        <f t="shared" si="81"/>
        <v>202318</v>
      </c>
      <c r="B4648" s="5" t="str">
        <f>"23085041302"</f>
        <v>23085041302</v>
      </c>
      <c r="C4648" s="6">
        <v>120</v>
      </c>
      <c r="D4648" s="6">
        <v>107.5</v>
      </c>
      <c r="E4648" s="6">
        <v>227.5</v>
      </c>
      <c r="F4648" s="11"/>
    </row>
    <row r="4649" spans="1:6">
      <c r="A4649" s="5" t="str">
        <f t="shared" si="81"/>
        <v>202318</v>
      </c>
      <c r="B4649" s="5" t="str">
        <f>"23085040730"</f>
        <v>23085040730</v>
      </c>
      <c r="C4649" s="6">
        <v>109.5</v>
      </c>
      <c r="D4649" s="6">
        <v>117.5</v>
      </c>
      <c r="E4649" s="6">
        <v>227</v>
      </c>
      <c r="F4649" s="11"/>
    </row>
    <row r="4650" spans="1:6">
      <c r="A4650" s="5" t="str">
        <f t="shared" si="81"/>
        <v>202318</v>
      </c>
      <c r="B4650" s="5" t="str">
        <f>"23085042017"</f>
        <v>23085042017</v>
      </c>
      <c r="C4650" s="6">
        <v>111</v>
      </c>
      <c r="D4650" s="6">
        <v>116</v>
      </c>
      <c r="E4650" s="6">
        <v>227</v>
      </c>
      <c r="F4650" s="11"/>
    </row>
    <row r="4651" spans="1:6">
      <c r="A4651" s="5" t="str">
        <f t="shared" si="81"/>
        <v>202318</v>
      </c>
      <c r="B4651" s="5" t="str">
        <f>"23085041926"</f>
        <v>23085041926</v>
      </c>
      <c r="C4651" s="6">
        <v>108</v>
      </c>
      <c r="D4651" s="6">
        <v>119</v>
      </c>
      <c r="E4651" s="6">
        <v>227</v>
      </c>
      <c r="F4651" s="11"/>
    </row>
    <row r="4652" spans="1:6">
      <c r="A4652" s="5" t="str">
        <f t="shared" si="81"/>
        <v>202318</v>
      </c>
      <c r="B4652" s="5" t="str">
        <f>"23085043130"</f>
        <v>23085043130</v>
      </c>
      <c r="C4652" s="6">
        <v>106.5</v>
      </c>
      <c r="D4652" s="6">
        <v>120</v>
      </c>
      <c r="E4652" s="6">
        <v>226.5</v>
      </c>
      <c r="F4652" s="11"/>
    </row>
    <row r="4653" spans="1:6">
      <c r="A4653" s="5" t="str">
        <f t="shared" si="81"/>
        <v>202318</v>
      </c>
      <c r="B4653" s="5" t="str">
        <f>"23085041922"</f>
        <v>23085041922</v>
      </c>
      <c r="C4653" s="6">
        <v>114</v>
      </c>
      <c r="D4653" s="6">
        <v>112.5</v>
      </c>
      <c r="E4653" s="6">
        <v>226.5</v>
      </c>
      <c r="F4653" s="11"/>
    </row>
    <row r="4654" spans="1:6">
      <c r="A4654" s="5" t="str">
        <f t="shared" si="81"/>
        <v>202318</v>
      </c>
      <c r="B4654" s="5" t="str">
        <f>"23085042325"</f>
        <v>23085042325</v>
      </c>
      <c r="C4654" s="6">
        <v>114</v>
      </c>
      <c r="D4654" s="6">
        <v>112.5</v>
      </c>
      <c r="E4654" s="6">
        <v>226.5</v>
      </c>
      <c r="F4654" s="11"/>
    </row>
    <row r="4655" spans="1:6">
      <c r="A4655" s="5" t="str">
        <f t="shared" si="81"/>
        <v>202318</v>
      </c>
      <c r="B4655" s="5" t="str">
        <f>"23085040828"</f>
        <v>23085040828</v>
      </c>
      <c r="C4655" s="6">
        <v>115.5</v>
      </c>
      <c r="D4655" s="6">
        <v>111</v>
      </c>
      <c r="E4655" s="6">
        <v>226.5</v>
      </c>
      <c r="F4655" s="11"/>
    </row>
    <row r="4656" spans="1:6">
      <c r="A4656" s="5" t="str">
        <f t="shared" si="81"/>
        <v>202318</v>
      </c>
      <c r="B4656" s="5" t="str">
        <f>"23085042208"</f>
        <v>23085042208</v>
      </c>
      <c r="C4656" s="6">
        <v>105</v>
      </c>
      <c r="D4656" s="6">
        <v>121.5</v>
      </c>
      <c r="E4656" s="6">
        <v>226.5</v>
      </c>
      <c r="F4656" s="11"/>
    </row>
    <row r="4657" spans="1:6">
      <c r="A4657" s="5" t="str">
        <f t="shared" si="81"/>
        <v>202318</v>
      </c>
      <c r="B4657" s="5" t="str">
        <f>"23085042114"</f>
        <v>23085042114</v>
      </c>
      <c r="C4657" s="6">
        <v>109.5</v>
      </c>
      <c r="D4657" s="6">
        <v>116.5</v>
      </c>
      <c r="E4657" s="6">
        <v>226</v>
      </c>
      <c r="F4657" s="11"/>
    </row>
    <row r="4658" spans="1:6">
      <c r="A4658" s="5" t="str">
        <f t="shared" si="81"/>
        <v>202318</v>
      </c>
      <c r="B4658" s="5" t="str">
        <f>"23085042312"</f>
        <v>23085042312</v>
      </c>
      <c r="C4658" s="6">
        <v>105</v>
      </c>
      <c r="D4658" s="6">
        <v>121</v>
      </c>
      <c r="E4658" s="6">
        <v>226</v>
      </c>
      <c r="F4658" s="11"/>
    </row>
    <row r="4659" spans="1:6">
      <c r="A4659" s="5" t="str">
        <f t="shared" si="81"/>
        <v>202318</v>
      </c>
      <c r="B4659" s="5" t="str">
        <f>"23085042916"</f>
        <v>23085042916</v>
      </c>
      <c r="C4659" s="6">
        <v>109.5</v>
      </c>
      <c r="D4659" s="6">
        <v>116</v>
      </c>
      <c r="E4659" s="6">
        <v>225.5</v>
      </c>
      <c r="F4659" s="11"/>
    </row>
    <row r="4660" spans="1:6">
      <c r="A4660" s="5" t="str">
        <f t="shared" si="81"/>
        <v>202318</v>
      </c>
      <c r="B4660" s="5" t="str">
        <f>"23085042223"</f>
        <v>23085042223</v>
      </c>
      <c r="C4660" s="6">
        <v>106.5</v>
      </c>
      <c r="D4660" s="6">
        <v>119</v>
      </c>
      <c r="E4660" s="6">
        <v>225.5</v>
      </c>
      <c r="F4660" s="11"/>
    </row>
    <row r="4661" spans="1:6">
      <c r="A4661" s="5" t="str">
        <f t="shared" si="81"/>
        <v>202318</v>
      </c>
      <c r="B4661" s="5" t="str">
        <f>"23085042123"</f>
        <v>23085042123</v>
      </c>
      <c r="C4661" s="6">
        <v>114</v>
      </c>
      <c r="D4661" s="6">
        <v>111.5</v>
      </c>
      <c r="E4661" s="6">
        <v>225.5</v>
      </c>
      <c r="F4661" s="11"/>
    </row>
    <row r="4662" spans="1:6">
      <c r="A4662" s="5" t="str">
        <f t="shared" si="81"/>
        <v>202318</v>
      </c>
      <c r="B4662" s="5" t="str">
        <f>"23085041106"</f>
        <v>23085041106</v>
      </c>
      <c r="C4662" s="6">
        <v>112.5</v>
      </c>
      <c r="D4662" s="6">
        <v>113</v>
      </c>
      <c r="E4662" s="6">
        <v>225.5</v>
      </c>
      <c r="F4662" s="11"/>
    </row>
    <row r="4663" spans="1:6">
      <c r="A4663" s="5" t="str">
        <f t="shared" si="81"/>
        <v>202318</v>
      </c>
      <c r="B4663" s="5" t="str">
        <f>"23085042828"</f>
        <v>23085042828</v>
      </c>
      <c r="C4663" s="6">
        <v>115.5</v>
      </c>
      <c r="D4663" s="6">
        <v>110</v>
      </c>
      <c r="E4663" s="6">
        <v>225.5</v>
      </c>
      <c r="F4663" s="11"/>
    </row>
    <row r="4664" spans="1:6">
      <c r="A4664" s="5" t="str">
        <f t="shared" si="81"/>
        <v>202318</v>
      </c>
      <c r="B4664" s="5" t="str">
        <f>"23085042607"</f>
        <v>23085042607</v>
      </c>
      <c r="C4664" s="6">
        <v>105</v>
      </c>
      <c r="D4664" s="6">
        <v>119.5</v>
      </c>
      <c r="E4664" s="6">
        <v>224.5</v>
      </c>
      <c r="F4664" s="11"/>
    </row>
    <row r="4665" spans="1:6">
      <c r="A4665" s="5" t="str">
        <f t="shared" si="81"/>
        <v>202318</v>
      </c>
      <c r="B4665" s="5" t="str">
        <f>"23085042203"</f>
        <v>23085042203</v>
      </c>
      <c r="C4665" s="6">
        <v>115.5</v>
      </c>
      <c r="D4665" s="6">
        <v>109</v>
      </c>
      <c r="E4665" s="6">
        <v>224.5</v>
      </c>
      <c r="F4665" s="11"/>
    </row>
    <row r="4666" spans="1:6">
      <c r="A4666" s="5" t="str">
        <f t="shared" si="81"/>
        <v>202318</v>
      </c>
      <c r="B4666" s="5" t="str">
        <f>"23085042920"</f>
        <v>23085042920</v>
      </c>
      <c r="C4666" s="6">
        <v>114</v>
      </c>
      <c r="D4666" s="6">
        <v>110.5</v>
      </c>
      <c r="E4666" s="6">
        <v>224.5</v>
      </c>
      <c r="F4666" s="11"/>
    </row>
    <row r="4667" spans="1:6">
      <c r="A4667" s="5" t="str">
        <f t="shared" si="81"/>
        <v>202318</v>
      </c>
      <c r="B4667" s="5" t="str">
        <f>"23085042102"</f>
        <v>23085042102</v>
      </c>
      <c r="C4667" s="6">
        <v>109.5</v>
      </c>
      <c r="D4667" s="6">
        <v>115</v>
      </c>
      <c r="E4667" s="6">
        <v>224.5</v>
      </c>
      <c r="F4667" s="11"/>
    </row>
    <row r="4668" spans="1:6">
      <c r="A4668" s="5" t="str">
        <f t="shared" si="81"/>
        <v>202318</v>
      </c>
      <c r="B4668" s="5" t="str">
        <f>"23085040929"</f>
        <v>23085040929</v>
      </c>
      <c r="C4668" s="6">
        <v>102</v>
      </c>
      <c r="D4668" s="6">
        <v>122</v>
      </c>
      <c r="E4668" s="6">
        <v>224</v>
      </c>
      <c r="F4668" s="11"/>
    </row>
    <row r="4669" spans="1:6">
      <c r="A4669" s="5" t="str">
        <f t="shared" si="81"/>
        <v>202318</v>
      </c>
      <c r="B4669" s="5" t="str">
        <f>"23085041818"</f>
        <v>23085041818</v>
      </c>
      <c r="C4669" s="6">
        <v>103.5</v>
      </c>
      <c r="D4669" s="6">
        <v>120.5</v>
      </c>
      <c r="E4669" s="6">
        <v>224</v>
      </c>
      <c r="F4669" s="11"/>
    </row>
    <row r="4670" spans="1:6">
      <c r="A4670" s="5" t="str">
        <f t="shared" ref="A4670:A4733" si="82">"202318"</f>
        <v>202318</v>
      </c>
      <c r="B4670" s="5" t="str">
        <f>"23085042706"</f>
        <v>23085042706</v>
      </c>
      <c r="C4670" s="6">
        <v>114</v>
      </c>
      <c r="D4670" s="6">
        <v>109.5</v>
      </c>
      <c r="E4670" s="6">
        <v>223.5</v>
      </c>
      <c r="F4670" s="11"/>
    </row>
    <row r="4671" spans="1:6">
      <c r="A4671" s="5" t="str">
        <f t="shared" si="82"/>
        <v>202318</v>
      </c>
      <c r="B4671" s="5" t="str">
        <f>"23085042210"</f>
        <v>23085042210</v>
      </c>
      <c r="C4671" s="6">
        <v>106.5</v>
      </c>
      <c r="D4671" s="6">
        <v>117</v>
      </c>
      <c r="E4671" s="6">
        <v>223.5</v>
      </c>
      <c r="F4671" s="11"/>
    </row>
    <row r="4672" spans="1:6">
      <c r="A4672" s="5" t="str">
        <f t="shared" si="82"/>
        <v>202318</v>
      </c>
      <c r="B4672" s="5" t="str">
        <f>"23085043007"</f>
        <v>23085043007</v>
      </c>
      <c r="C4672" s="6">
        <v>112.5</v>
      </c>
      <c r="D4672" s="6">
        <v>111</v>
      </c>
      <c r="E4672" s="6">
        <v>223.5</v>
      </c>
      <c r="F4672" s="11"/>
    </row>
    <row r="4673" spans="1:6">
      <c r="A4673" s="5" t="str">
        <f t="shared" si="82"/>
        <v>202318</v>
      </c>
      <c r="B4673" s="5" t="str">
        <f>"23085042804"</f>
        <v>23085042804</v>
      </c>
      <c r="C4673" s="6">
        <v>105</v>
      </c>
      <c r="D4673" s="6">
        <v>118.5</v>
      </c>
      <c r="E4673" s="6">
        <v>223.5</v>
      </c>
      <c r="F4673" s="11"/>
    </row>
    <row r="4674" spans="1:6">
      <c r="A4674" s="5" t="str">
        <f t="shared" si="82"/>
        <v>202318</v>
      </c>
      <c r="B4674" s="5" t="str">
        <f>"23085042503"</f>
        <v>23085042503</v>
      </c>
      <c r="C4674" s="6">
        <v>103.5</v>
      </c>
      <c r="D4674" s="6">
        <v>120</v>
      </c>
      <c r="E4674" s="6">
        <v>223.5</v>
      </c>
      <c r="F4674" s="11"/>
    </row>
    <row r="4675" spans="1:6">
      <c r="A4675" s="5" t="str">
        <f t="shared" si="82"/>
        <v>202318</v>
      </c>
      <c r="B4675" s="5" t="str">
        <f>"23085042216"</f>
        <v>23085042216</v>
      </c>
      <c r="C4675" s="6">
        <v>106.5</v>
      </c>
      <c r="D4675" s="6">
        <v>117</v>
      </c>
      <c r="E4675" s="6">
        <v>223.5</v>
      </c>
      <c r="F4675" s="11"/>
    </row>
    <row r="4676" spans="1:6">
      <c r="A4676" s="5" t="str">
        <f t="shared" si="82"/>
        <v>202318</v>
      </c>
      <c r="B4676" s="5" t="str">
        <f>"23085041627"</f>
        <v>23085041627</v>
      </c>
      <c r="C4676" s="6">
        <v>102</v>
      </c>
      <c r="D4676" s="6">
        <v>121</v>
      </c>
      <c r="E4676" s="6">
        <v>223</v>
      </c>
      <c r="F4676" s="11"/>
    </row>
    <row r="4677" spans="1:6">
      <c r="A4677" s="5" t="str">
        <f t="shared" si="82"/>
        <v>202318</v>
      </c>
      <c r="B4677" s="5" t="str">
        <f>"23085042701"</f>
        <v>23085042701</v>
      </c>
      <c r="C4677" s="6">
        <v>117</v>
      </c>
      <c r="D4677" s="6">
        <v>106</v>
      </c>
      <c r="E4677" s="6">
        <v>223</v>
      </c>
      <c r="F4677" s="11"/>
    </row>
    <row r="4678" spans="1:6">
      <c r="A4678" s="5" t="str">
        <f t="shared" si="82"/>
        <v>202318</v>
      </c>
      <c r="B4678" s="5" t="str">
        <f>"23085041725"</f>
        <v>23085041725</v>
      </c>
      <c r="C4678" s="6">
        <v>106.5</v>
      </c>
      <c r="D4678" s="6">
        <v>116.5</v>
      </c>
      <c r="E4678" s="6">
        <v>223</v>
      </c>
      <c r="F4678" s="11"/>
    </row>
    <row r="4679" spans="1:6">
      <c r="A4679" s="5" t="str">
        <f t="shared" si="82"/>
        <v>202318</v>
      </c>
      <c r="B4679" s="5" t="str">
        <f>"23085040814"</f>
        <v>23085040814</v>
      </c>
      <c r="C4679" s="6">
        <v>106.5</v>
      </c>
      <c r="D4679" s="6">
        <v>116.5</v>
      </c>
      <c r="E4679" s="6">
        <v>223</v>
      </c>
      <c r="F4679" s="11"/>
    </row>
    <row r="4680" spans="1:6">
      <c r="A4680" s="5" t="str">
        <f t="shared" si="82"/>
        <v>202318</v>
      </c>
      <c r="B4680" s="5" t="str">
        <f>"23085042317"</f>
        <v>23085042317</v>
      </c>
      <c r="C4680" s="6">
        <v>108</v>
      </c>
      <c r="D4680" s="6">
        <v>115</v>
      </c>
      <c r="E4680" s="6">
        <v>223</v>
      </c>
      <c r="F4680" s="11"/>
    </row>
    <row r="4681" spans="1:6">
      <c r="A4681" s="5" t="str">
        <f t="shared" si="82"/>
        <v>202318</v>
      </c>
      <c r="B4681" s="5" t="str">
        <f>"23085042018"</f>
        <v>23085042018</v>
      </c>
      <c r="C4681" s="6">
        <v>108</v>
      </c>
      <c r="D4681" s="6">
        <v>115</v>
      </c>
      <c r="E4681" s="6">
        <v>223</v>
      </c>
      <c r="F4681" s="11"/>
    </row>
    <row r="4682" spans="1:6">
      <c r="A4682" s="5" t="str">
        <f t="shared" si="82"/>
        <v>202318</v>
      </c>
      <c r="B4682" s="5" t="str">
        <f>"23085041525"</f>
        <v>23085041525</v>
      </c>
      <c r="C4682" s="6">
        <v>103.5</v>
      </c>
      <c r="D4682" s="6">
        <v>119</v>
      </c>
      <c r="E4682" s="6">
        <v>222.5</v>
      </c>
      <c r="F4682" s="11"/>
    </row>
    <row r="4683" spans="1:6">
      <c r="A4683" s="5" t="str">
        <f t="shared" si="82"/>
        <v>202318</v>
      </c>
      <c r="B4683" s="5" t="str">
        <f>"23085041721"</f>
        <v>23085041721</v>
      </c>
      <c r="C4683" s="6">
        <v>109.5</v>
      </c>
      <c r="D4683" s="6">
        <v>113</v>
      </c>
      <c r="E4683" s="6">
        <v>222.5</v>
      </c>
      <c r="F4683" s="11"/>
    </row>
    <row r="4684" spans="1:6">
      <c r="A4684" s="5" t="str">
        <f t="shared" si="82"/>
        <v>202318</v>
      </c>
      <c r="B4684" s="5" t="str">
        <f>"23085040615"</f>
        <v>23085040615</v>
      </c>
      <c r="C4684" s="6">
        <v>100.5</v>
      </c>
      <c r="D4684" s="6">
        <v>122</v>
      </c>
      <c r="E4684" s="6">
        <v>222.5</v>
      </c>
      <c r="F4684" s="11"/>
    </row>
    <row r="4685" spans="1:6">
      <c r="A4685" s="5" t="str">
        <f t="shared" si="82"/>
        <v>202318</v>
      </c>
      <c r="B4685" s="5" t="str">
        <f>"23085041022"</f>
        <v>23085041022</v>
      </c>
      <c r="C4685" s="6">
        <v>103.5</v>
      </c>
      <c r="D4685" s="6">
        <v>119</v>
      </c>
      <c r="E4685" s="6">
        <v>222.5</v>
      </c>
      <c r="F4685" s="11"/>
    </row>
    <row r="4686" spans="1:6">
      <c r="A4686" s="5" t="str">
        <f t="shared" si="82"/>
        <v>202318</v>
      </c>
      <c r="B4686" s="5" t="str">
        <f>"23085042320"</f>
        <v>23085042320</v>
      </c>
      <c r="C4686" s="6">
        <v>103.5</v>
      </c>
      <c r="D4686" s="6">
        <v>119</v>
      </c>
      <c r="E4686" s="6">
        <v>222.5</v>
      </c>
      <c r="F4686" s="11"/>
    </row>
    <row r="4687" spans="1:6">
      <c r="A4687" s="5" t="str">
        <f t="shared" si="82"/>
        <v>202318</v>
      </c>
      <c r="B4687" s="5" t="str">
        <f>"23085041016"</f>
        <v>23085041016</v>
      </c>
      <c r="C4687" s="6">
        <v>102</v>
      </c>
      <c r="D4687" s="6">
        <v>120.5</v>
      </c>
      <c r="E4687" s="6">
        <v>222.5</v>
      </c>
      <c r="F4687" s="11"/>
    </row>
    <row r="4688" spans="1:6">
      <c r="A4688" s="5" t="str">
        <f t="shared" si="82"/>
        <v>202318</v>
      </c>
      <c r="B4688" s="5" t="str">
        <f>"23085042209"</f>
        <v>23085042209</v>
      </c>
      <c r="C4688" s="6">
        <v>106.5</v>
      </c>
      <c r="D4688" s="6">
        <v>116</v>
      </c>
      <c r="E4688" s="6">
        <v>222.5</v>
      </c>
      <c r="F4688" s="11"/>
    </row>
    <row r="4689" spans="1:6">
      <c r="A4689" s="5" t="str">
        <f t="shared" si="82"/>
        <v>202318</v>
      </c>
      <c r="B4689" s="5" t="str">
        <f>"23085042301"</f>
        <v>23085042301</v>
      </c>
      <c r="C4689" s="6">
        <v>108</v>
      </c>
      <c r="D4689" s="6">
        <v>114</v>
      </c>
      <c r="E4689" s="6">
        <v>222</v>
      </c>
      <c r="F4689" s="11"/>
    </row>
    <row r="4690" spans="1:6">
      <c r="A4690" s="5" t="str">
        <f t="shared" si="82"/>
        <v>202318</v>
      </c>
      <c r="B4690" s="5" t="str">
        <f>"23085040917"</f>
        <v>23085040917</v>
      </c>
      <c r="C4690" s="6">
        <v>115.5</v>
      </c>
      <c r="D4690" s="6">
        <v>106.5</v>
      </c>
      <c r="E4690" s="6">
        <v>222</v>
      </c>
      <c r="F4690" s="11"/>
    </row>
    <row r="4691" spans="1:6">
      <c r="A4691" s="5" t="str">
        <f t="shared" si="82"/>
        <v>202318</v>
      </c>
      <c r="B4691" s="5" t="str">
        <f>"23085042205"</f>
        <v>23085042205</v>
      </c>
      <c r="C4691" s="6">
        <v>100.5</v>
      </c>
      <c r="D4691" s="6">
        <v>121.5</v>
      </c>
      <c r="E4691" s="6">
        <v>222</v>
      </c>
      <c r="F4691" s="11"/>
    </row>
    <row r="4692" spans="1:6">
      <c r="A4692" s="5" t="str">
        <f t="shared" si="82"/>
        <v>202318</v>
      </c>
      <c r="B4692" s="5" t="str">
        <f>"23085040719"</f>
        <v>23085040719</v>
      </c>
      <c r="C4692" s="6">
        <v>111</v>
      </c>
      <c r="D4692" s="6">
        <v>111</v>
      </c>
      <c r="E4692" s="6">
        <v>222</v>
      </c>
      <c r="F4692" s="11"/>
    </row>
    <row r="4693" spans="1:6">
      <c r="A4693" s="5" t="str">
        <f t="shared" si="82"/>
        <v>202318</v>
      </c>
      <c r="B4693" s="5" t="str">
        <f>"23085041709"</f>
        <v>23085041709</v>
      </c>
      <c r="C4693" s="6">
        <v>100.5</v>
      </c>
      <c r="D4693" s="6">
        <v>121.5</v>
      </c>
      <c r="E4693" s="6">
        <v>222</v>
      </c>
      <c r="F4693" s="11"/>
    </row>
    <row r="4694" spans="1:6">
      <c r="A4694" s="5" t="str">
        <f t="shared" si="82"/>
        <v>202318</v>
      </c>
      <c r="B4694" s="5" t="str">
        <f>"23085040721"</f>
        <v>23085040721</v>
      </c>
      <c r="C4694" s="6">
        <v>111</v>
      </c>
      <c r="D4694" s="6">
        <v>111</v>
      </c>
      <c r="E4694" s="6">
        <v>222</v>
      </c>
      <c r="F4694" s="11"/>
    </row>
    <row r="4695" spans="1:6">
      <c r="A4695" s="5" t="str">
        <f t="shared" si="82"/>
        <v>202318</v>
      </c>
      <c r="B4695" s="5" t="str">
        <f>"23085042404"</f>
        <v>23085042404</v>
      </c>
      <c r="C4695" s="6">
        <v>111</v>
      </c>
      <c r="D4695" s="6">
        <v>111</v>
      </c>
      <c r="E4695" s="6">
        <v>222</v>
      </c>
      <c r="F4695" s="11"/>
    </row>
    <row r="4696" spans="1:6">
      <c r="A4696" s="5" t="str">
        <f t="shared" si="82"/>
        <v>202318</v>
      </c>
      <c r="B4696" s="5" t="str">
        <f>"23085041528"</f>
        <v>23085041528</v>
      </c>
      <c r="C4696" s="6">
        <v>109.5</v>
      </c>
      <c r="D4696" s="6">
        <v>112</v>
      </c>
      <c r="E4696" s="6">
        <v>221.5</v>
      </c>
      <c r="F4696" s="11"/>
    </row>
    <row r="4697" spans="1:6">
      <c r="A4697" s="5" t="str">
        <f t="shared" si="82"/>
        <v>202318</v>
      </c>
      <c r="B4697" s="5" t="str">
        <f>"23085041310"</f>
        <v>23085041310</v>
      </c>
      <c r="C4697" s="6">
        <v>105</v>
      </c>
      <c r="D4697" s="6">
        <v>116.5</v>
      </c>
      <c r="E4697" s="6">
        <v>221.5</v>
      </c>
      <c r="F4697" s="11"/>
    </row>
    <row r="4698" spans="1:6">
      <c r="A4698" s="5" t="str">
        <f t="shared" si="82"/>
        <v>202318</v>
      </c>
      <c r="B4698" s="5" t="str">
        <f>"23085040921"</f>
        <v>23085040921</v>
      </c>
      <c r="C4698" s="6">
        <v>109.5</v>
      </c>
      <c r="D4698" s="6">
        <v>112</v>
      </c>
      <c r="E4698" s="6">
        <v>221.5</v>
      </c>
      <c r="F4698" s="11"/>
    </row>
    <row r="4699" spans="1:6">
      <c r="A4699" s="5" t="str">
        <f t="shared" si="82"/>
        <v>202318</v>
      </c>
      <c r="B4699" s="5" t="str">
        <f>"23085042327"</f>
        <v>23085042327</v>
      </c>
      <c r="C4699" s="6">
        <v>99</v>
      </c>
      <c r="D4699" s="6">
        <v>122.5</v>
      </c>
      <c r="E4699" s="6">
        <v>221.5</v>
      </c>
      <c r="F4699" s="11"/>
    </row>
    <row r="4700" spans="1:6">
      <c r="A4700" s="5" t="str">
        <f t="shared" si="82"/>
        <v>202318</v>
      </c>
      <c r="B4700" s="5" t="str">
        <f>"23085041220"</f>
        <v>23085041220</v>
      </c>
      <c r="C4700" s="6">
        <v>103.5</v>
      </c>
      <c r="D4700" s="6">
        <v>118</v>
      </c>
      <c r="E4700" s="6">
        <v>221.5</v>
      </c>
      <c r="F4700" s="11"/>
    </row>
    <row r="4701" spans="1:6">
      <c r="A4701" s="5" t="str">
        <f t="shared" si="82"/>
        <v>202318</v>
      </c>
      <c r="B4701" s="5" t="str">
        <f>"23085041803"</f>
        <v>23085041803</v>
      </c>
      <c r="C4701" s="6">
        <v>103.5</v>
      </c>
      <c r="D4701" s="6">
        <v>117.5</v>
      </c>
      <c r="E4701" s="6">
        <v>221</v>
      </c>
      <c r="F4701" s="11"/>
    </row>
    <row r="4702" spans="1:6">
      <c r="A4702" s="5" t="str">
        <f t="shared" si="82"/>
        <v>202318</v>
      </c>
      <c r="B4702" s="5" t="str">
        <f>"23085043022"</f>
        <v>23085043022</v>
      </c>
      <c r="C4702" s="6">
        <v>108</v>
      </c>
      <c r="D4702" s="6">
        <v>113</v>
      </c>
      <c r="E4702" s="6">
        <v>221</v>
      </c>
      <c r="F4702" s="11"/>
    </row>
    <row r="4703" spans="1:6">
      <c r="A4703" s="5" t="str">
        <f t="shared" si="82"/>
        <v>202318</v>
      </c>
      <c r="B4703" s="5" t="str">
        <f>"23085042813"</f>
        <v>23085042813</v>
      </c>
      <c r="C4703" s="6">
        <v>108</v>
      </c>
      <c r="D4703" s="6">
        <v>113</v>
      </c>
      <c r="E4703" s="6">
        <v>221</v>
      </c>
      <c r="F4703" s="11"/>
    </row>
    <row r="4704" spans="1:6">
      <c r="A4704" s="5" t="str">
        <f t="shared" si="82"/>
        <v>202318</v>
      </c>
      <c r="B4704" s="5" t="str">
        <f>"23085042413"</f>
        <v>23085042413</v>
      </c>
      <c r="C4704" s="6">
        <v>102</v>
      </c>
      <c r="D4704" s="6">
        <v>118.5</v>
      </c>
      <c r="E4704" s="6">
        <v>220.5</v>
      </c>
      <c r="F4704" s="11"/>
    </row>
    <row r="4705" spans="1:6">
      <c r="A4705" s="5" t="str">
        <f t="shared" si="82"/>
        <v>202318</v>
      </c>
      <c r="B4705" s="5" t="str">
        <f>"23085041024"</f>
        <v>23085041024</v>
      </c>
      <c r="C4705" s="6">
        <v>108</v>
      </c>
      <c r="D4705" s="6">
        <v>112.5</v>
      </c>
      <c r="E4705" s="6">
        <v>220.5</v>
      </c>
      <c r="F4705" s="11"/>
    </row>
    <row r="4706" spans="1:6">
      <c r="A4706" s="5" t="str">
        <f t="shared" si="82"/>
        <v>202318</v>
      </c>
      <c r="B4706" s="5" t="str">
        <f>"23085042514"</f>
        <v>23085042514</v>
      </c>
      <c r="C4706" s="6">
        <v>108</v>
      </c>
      <c r="D4706" s="6">
        <v>112.5</v>
      </c>
      <c r="E4706" s="6">
        <v>220.5</v>
      </c>
      <c r="F4706" s="11"/>
    </row>
    <row r="4707" spans="1:6">
      <c r="A4707" s="5" t="str">
        <f t="shared" si="82"/>
        <v>202318</v>
      </c>
      <c r="B4707" s="5" t="str">
        <f>"23085042714"</f>
        <v>23085042714</v>
      </c>
      <c r="C4707" s="6">
        <v>112.5</v>
      </c>
      <c r="D4707" s="6">
        <v>108</v>
      </c>
      <c r="E4707" s="6">
        <v>220.5</v>
      </c>
      <c r="F4707" s="11"/>
    </row>
    <row r="4708" spans="1:6">
      <c r="A4708" s="5" t="str">
        <f t="shared" si="82"/>
        <v>202318</v>
      </c>
      <c r="B4708" s="5" t="str">
        <f>"23085041912"</f>
        <v>23085041912</v>
      </c>
      <c r="C4708" s="6">
        <v>102</v>
      </c>
      <c r="D4708" s="6">
        <v>118.5</v>
      </c>
      <c r="E4708" s="6">
        <v>220.5</v>
      </c>
      <c r="F4708" s="11"/>
    </row>
    <row r="4709" spans="1:6">
      <c r="A4709" s="5" t="str">
        <f t="shared" si="82"/>
        <v>202318</v>
      </c>
      <c r="B4709" s="5" t="str">
        <f>"23085043129"</f>
        <v>23085043129</v>
      </c>
      <c r="C4709" s="6">
        <v>108</v>
      </c>
      <c r="D4709" s="6">
        <v>112.5</v>
      </c>
      <c r="E4709" s="6">
        <v>220.5</v>
      </c>
      <c r="F4709" s="11"/>
    </row>
    <row r="4710" spans="1:6">
      <c r="A4710" s="5" t="str">
        <f t="shared" si="82"/>
        <v>202318</v>
      </c>
      <c r="B4710" s="5" t="str">
        <f>"23085042009"</f>
        <v>23085042009</v>
      </c>
      <c r="C4710" s="6">
        <v>100.5</v>
      </c>
      <c r="D4710" s="6">
        <v>119.5</v>
      </c>
      <c r="E4710" s="6">
        <v>220</v>
      </c>
      <c r="F4710" s="11"/>
    </row>
    <row r="4711" spans="1:6">
      <c r="A4711" s="5" t="str">
        <f t="shared" si="82"/>
        <v>202318</v>
      </c>
      <c r="B4711" s="5" t="str">
        <f>"23085041918"</f>
        <v>23085041918</v>
      </c>
      <c r="C4711" s="6">
        <v>103.5</v>
      </c>
      <c r="D4711" s="6">
        <v>116.5</v>
      </c>
      <c r="E4711" s="6">
        <v>220</v>
      </c>
      <c r="F4711" s="11"/>
    </row>
    <row r="4712" spans="1:6">
      <c r="A4712" s="5" t="str">
        <f t="shared" si="82"/>
        <v>202318</v>
      </c>
      <c r="B4712" s="5" t="str">
        <f>"23085041820"</f>
        <v>23085041820</v>
      </c>
      <c r="C4712" s="6">
        <v>109.5</v>
      </c>
      <c r="D4712" s="6">
        <v>110.5</v>
      </c>
      <c r="E4712" s="6">
        <v>220</v>
      </c>
      <c r="F4712" s="11"/>
    </row>
    <row r="4713" spans="1:6">
      <c r="A4713" s="5" t="str">
        <f t="shared" si="82"/>
        <v>202318</v>
      </c>
      <c r="B4713" s="5" t="str">
        <f>"23085041327"</f>
        <v>23085041327</v>
      </c>
      <c r="C4713" s="6">
        <v>103.5</v>
      </c>
      <c r="D4713" s="6">
        <v>116.5</v>
      </c>
      <c r="E4713" s="6">
        <v>220</v>
      </c>
      <c r="F4713" s="11"/>
    </row>
    <row r="4714" spans="1:6">
      <c r="A4714" s="5" t="str">
        <f t="shared" si="82"/>
        <v>202318</v>
      </c>
      <c r="B4714" s="5" t="str">
        <f>"23085042214"</f>
        <v>23085042214</v>
      </c>
      <c r="C4714" s="6">
        <v>102</v>
      </c>
      <c r="D4714" s="6">
        <v>118</v>
      </c>
      <c r="E4714" s="6">
        <v>220</v>
      </c>
      <c r="F4714" s="11"/>
    </row>
    <row r="4715" spans="1:6">
      <c r="A4715" s="5" t="str">
        <f t="shared" si="82"/>
        <v>202318</v>
      </c>
      <c r="B4715" s="5" t="str">
        <f>"23085041913"</f>
        <v>23085041913</v>
      </c>
      <c r="C4715" s="6">
        <v>103.5</v>
      </c>
      <c r="D4715" s="6">
        <v>116.5</v>
      </c>
      <c r="E4715" s="6">
        <v>220</v>
      </c>
      <c r="F4715" s="11"/>
    </row>
    <row r="4716" spans="1:6">
      <c r="A4716" s="5" t="str">
        <f t="shared" si="82"/>
        <v>202318</v>
      </c>
      <c r="B4716" s="5" t="str">
        <f>"23085040906"</f>
        <v>23085040906</v>
      </c>
      <c r="C4716" s="6">
        <v>103.5</v>
      </c>
      <c r="D4716" s="6">
        <v>116.5</v>
      </c>
      <c r="E4716" s="6">
        <v>220</v>
      </c>
      <c r="F4716" s="11"/>
    </row>
    <row r="4717" spans="1:6">
      <c r="A4717" s="5" t="str">
        <f t="shared" si="82"/>
        <v>202318</v>
      </c>
      <c r="B4717" s="5" t="str">
        <f>"23085040614"</f>
        <v>23085040614</v>
      </c>
      <c r="C4717" s="6">
        <v>105</v>
      </c>
      <c r="D4717" s="6">
        <v>114.5</v>
      </c>
      <c r="E4717" s="6">
        <v>219.5</v>
      </c>
      <c r="F4717" s="11"/>
    </row>
    <row r="4718" spans="1:6">
      <c r="A4718" s="5" t="str">
        <f t="shared" si="82"/>
        <v>202318</v>
      </c>
      <c r="B4718" s="5" t="str">
        <f>"23085041418"</f>
        <v>23085041418</v>
      </c>
      <c r="C4718" s="6">
        <v>102</v>
      </c>
      <c r="D4718" s="6">
        <v>117.5</v>
      </c>
      <c r="E4718" s="6">
        <v>219.5</v>
      </c>
      <c r="F4718" s="11"/>
    </row>
    <row r="4719" spans="1:6">
      <c r="A4719" s="5" t="str">
        <f t="shared" si="82"/>
        <v>202318</v>
      </c>
      <c r="B4719" s="5" t="str">
        <f>"23085042109"</f>
        <v>23085042109</v>
      </c>
      <c r="C4719" s="6">
        <v>108</v>
      </c>
      <c r="D4719" s="6">
        <v>111.5</v>
      </c>
      <c r="E4719" s="6">
        <v>219.5</v>
      </c>
      <c r="F4719" s="11"/>
    </row>
    <row r="4720" spans="1:6">
      <c r="A4720" s="5" t="str">
        <f t="shared" si="82"/>
        <v>202318</v>
      </c>
      <c r="B4720" s="5" t="str">
        <f>"23085041729"</f>
        <v>23085041729</v>
      </c>
      <c r="C4720" s="6">
        <v>114</v>
      </c>
      <c r="D4720" s="6">
        <v>105.5</v>
      </c>
      <c r="E4720" s="6">
        <v>219.5</v>
      </c>
      <c r="F4720" s="11"/>
    </row>
    <row r="4721" spans="1:6">
      <c r="A4721" s="5" t="str">
        <f t="shared" si="82"/>
        <v>202318</v>
      </c>
      <c r="B4721" s="5" t="str">
        <f>"23085041425"</f>
        <v>23085041425</v>
      </c>
      <c r="C4721" s="6">
        <v>102</v>
      </c>
      <c r="D4721" s="6">
        <v>117.5</v>
      </c>
      <c r="E4721" s="6">
        <v>219.5</v>
      </c>
      <c r="F4721" s="11"/>
    </row>
    <row r="4722" spans="1:6">
      <c r="A4722" s="5" t="str">
        <f t="shared" si="82"/>
        <v>202318</v>
      </c>
      <c r="B4722" s="5" t="str">
        <f>"23085040815"</f>
        <v>23085040815</v>
      </c>
      <c r="C4722" s="6">
        <v>103.5</v>
      </c>
      <c r="D4722" s="6">
        <v>116</v>
      </c>
      <c r="E4722" s="6">
        <v>219.5</v>
      </c>
      <c r="F4722" s="11"/>
    </row>
    <row r="4723" spans="1:6">
      <c r="A4723" s="5" t="str">
        <f t="shared" si="82"/>
        <v>202318</v>
      </c>
      <c r="B4723" s="5" t="str">
        <f>"23085041530"</f>
        <v>23085041530</v>
      </c>
      <c r="C4723" s="6">
        <v>106.5</v>
      </c>
      <c r="D4723" s="6">
        <v>113</v>
      </c>
      <c r="E4723" s="6">
        <v>219.5</v>
      </c>
      <c r="F4723" s="11"/>
    </row>
    <row r="4724" spans="1:6">
      <c r="A4724" s="5" t="str">
        <f t="shared" si="82"/>
        <v>202318</v>
      </c>
      <c r="B4724" s="5" t="str">
        <f>"23085041707"</f>
        <v>23085041707</v>
      </c>
      <c r="C4724" s="6">
        <v>106.5</v>
      </c>
      <c r="D4724" s="6">
        <v>113</v>
      </c>
      <c r="E4724" s="6">
        <v>219.5</v>
      </c>
      <c r="F4724" s="11"/>
    </row>
    <row r="4725" spans="1:6">
      <c r="A4725" s="5" t="str">
        <f t="shared" si="82"/>
        <v>202318</v>
      </c>
      <c r="B4725" s="5" t="str">
        <f>"23085043120"</f>
        <v>23085043120</v>
      </c>
      <c r="C4725" s="6">
        <v>105</v>
      </c>
      <c r="D4725" s="6">
        <v>114.5</v>
      </c>
      <c r="E4725" s="6">
        <v>219.5</v>
      </c>
      <c r="F4725" s="11"/>
    </row>
    <row r="4726" spans="1:6">
      <c r="A4726" s="5" t="str">
        <f t="shared" si="82"/>
        <v>202318</v>
      </c>
      <c r="B4726" s="5" t="str">
        <f>"23085042704"</f>
        <v>23085042704</v>
      </c>
      <c r="C4726" s="6">
        <v>103.5</v>
      </c>
      <c r="D4726" s="6">
        <v>116</v>
      </c>
      <c r="E4726" s="6">
        <v>219.5</v>
      </c>
      <c r="F4726" s="11"/>
    </row>
    <row r="4727" spans="1:6">
      <c r="A4727" s="5" t="str">
        <f t="shared" si="82"/>
        <v>202318</v>
      </c>
      <c r="B4727" s="5" t="str">
        <f>"23085040623"</f>
        <v>23085040623</v>
      </c>
      <c r="C4727" s="6">
        <v>112.5</v>
      </c>
      <c r="D4727" s="6">
        <v>106.5</v>
      </c>
      <c r="E4727" s="6">
        <v>219</v>
      </c>
      <c r="F4727" s="11"/>
    </row>
    <row r="4728" spans="1:6">
      <c r="A4728" s="5" t="str">
        <f t="shared" si="82"/>
        <v>202318</v>
      </c>
      <c r="B4728" s="5" t="str">
        <f>"23085041522"</f>
        <v>23085041522</v>
      </c>
      <c r="C4728" s="6">
        <v>105</v>
      </c>
      <c r="D4728" s="6">
        <v>114</v>
      </c>
      <c r="E4728" s="6">
        <v>219</v>
      </c>
      <c r="F4728" s="11"/>
    </row>
    <row r="4729" spans="1:6">
      <c r="A4729" s="5" t="str">
        <f t="shared" si="82"/>
        <v>202318</v>
      </c>
      <c r="B4729" s="5" t="str">
        <f>"23085040625"</f>
        <v>23085040625</v>
      </c>
      <c r="C4729" s="6">
        <v>106.5</v>
      </c>
      <c r="D4729" s="6">
        <v>112.5</v>
      </c>
      <c r="E4729" s="6">
        <v>219</v>
      </c>
      <c r="F4729" s="11"/>
    </row>
    <row r="4730" spans="1:6">
      <c r="A4730" s="5" t="str">
        <f t="shared" si="82"/>
        <v>202318</v>
      </c>
      <c r="B4730" s="5" t="str">
        <f>"23085042521"</f>
        <v>23085042521</v>
      </c>
      <c r="C4730" s="6">
        <v>99</v>
      </c>
      <c r="D4730" s="6">
        <v>120</v>
      </c>
      <c r="E4730" s="6">
        <v>219</v>
      </c>
      <c r="F4730" s="11"/>
    </row>
    <row r="4731" spans="1:6">
      <c r="A4731" s="5" t="str">
        <f t="shared" si="82"/>
        <v>202318</v>
      </c>
      <c r="B4731" s="5" t="str">
        <f>"23085041118"</f>
        <v>23085041118</v>
      </c>
      <c r="C4731" s="6">
        <v>102</v>
      </c>
      <c r="D4731" s="6">
        <v>117</v>
      </c>
      <c r="E4731" s="6">
        <v>219</v>
      </c>
      <c r="F4731" s="11"/>
    </row>
    <row r="4732" spans="1:6">
      <c r="A4732" s="5" t="str">
        <f t="shared" si="82"/>
        <v>202318</v>
      </c>
      <c r="B4732" s="5" t="str">
        <f>"23085041219"</f>
        <v>23085041219</v>
      </c>
      <c r="C4732" s="6">
        <v>99</v>
      </c>
      <c r="D4732" s="6">
        <v>120</v>
      </c>
      <c r="E4732" s="6">
        <v>219</v>
      </c>
      <c r="F4732" s="11"/>
    </row>
    <row r="4733" spans="1:6">
      <c r="A4733" s="5" t="str">
        <f t="shared" si="82"/>
        <v>202318</v>
      </c>
      <c r="B4733" s="5" t="str">
        <f>"23085040816"</f>
        <v>23085040816</v>
      </c>
      <c r="C4733" s="6">
        <v>105</v>
      </c>
      <c r="D4733" s="6">
        <v>114</v>
      </c>
      <c r="E4733" s="6">
        <v>219</v>
      </c>
      <c r="F4733" s="11"/>
    </row>
    <row r="4734" spans="1:6">
      <c r="A4734" s="5" t="str">
        <f t="shared" ref="A4734:A4797" si="83">"202318"</f>
        <v>202318</v>
      </c>
      <c r="B4734" s="5" t="str">
        <f>"23085041126"</f>
        <v>23085041126</v>
      </c>
      <c r="C4734" s="6">
        <v>100.5</v>
      </c>
      <c r="D4734" s="6">
        <v>118.5</v>
      </c>
      <c r="E4734" s="6">
        <v>219</v>
      </c>
      <c r="F4734" s="11"/>
    </row>
    <row r="4735" spans="1:6">
      <c r="A4735" s="5" t="str">
        <f t="shared" si="83"/>
        <v>202318</v>
      </c>
      <c r="B4735" s="5" t="str">
        <f>"23085041405"</f>
        <v>23085041405</v>
      </c>
      <c r="C4735" s="6">
        <v>109.5</v>
      </c>
      <c r="D4735" s="6">
        <v>109.5</v>
      </c>
      <c r="E4735" s="6">
        <v>219</v>
      </c>
      <c r="F4735" s="11"/>
    </row>
    <row r="4736" spans="1:6">
      <c r="A4736" s="5" t="str">
        <f t="shared" si="83"/>
        <v>202318</v>
      </c>
      <c r="B4736" s="5" t="str">
        <f>"23085043005"</f>
        <v>23085043005</v>
      </c>
      <c r="C4736" s="6">
        <v>100.5</v>
      </c>
      <c r="D4736" s="6">
        <v>118.5</v>
      </c>
      <c r="E4736" s="6">
        <v>219</v>
      </c>
      <c r="F4736" s="11"/>
    </row>
    <row r="4737" spans="1:6">
      <c r="A4737" s="5" t="str">
        <f t="shared" si="83"/>
        <v>202318</v>
      </c>
      <c r="B4737" s="5" t="str">
        <f>"23085041805"</f>
        <v>23085041805</v>
      </c>
      <c r="C4737" s="6">
        <v>99</v>
      </c>
      <c r="D4737" s="6">
        <v>120</v>
      </c>
      <c r="E4737" s="6">
        <v>219</v>
      </c>
      <c r="F4737" s="11"/>
    </row>
    <row r="4738" spans="1:6">
      <c r="A4738" s="5" t="str">
        <f t="shared" si="83"/>
        <v>202318</v>
      </c>
      <c r="B4738" s="5" t="str">
        <f>"23085041201"</f>
        <v>23085041201</v>
      </c>
      <c r="C4738" s="6">
        <v>102</v>
      </c>
      <c r="D4738" s="6">
        <v>116.5</v>
      </c>
      <c r="E4738" s="6">
        <v>218.5</v>
      </c>
      <c r="F4738" s="11"/>
    </row>
    <row r="4739" spans="1:6">
      <c r="A4739" s="5" t="str">
        <f t="shared" si="83"/>
        <v>202318</v>
      </c>
      <c r="B4739" s="5" t="str">
        <f>"23085040928"</f>
        <v>23085040928</v>
      </c>
      <c r="C4739" s="6">
        <v>102</v>
      </c>
      <c r="D4739" s="6">
        <v>116.5</v>
      </c>
      <c r="E4739" s="6">
        <v>218.5</v>
      </c>
      <c r="F4739" s="11"/>
    </row>
    <row r="4740" spans="1:6">
      <c r="A4740" s="5" t="str">
        <f t="shared" si="83"/>
        <v>202318</v>
      </c>
      <c r="B4740" s="5" t="str">
        <f>"23085041326"</f>
        <v>23085041326</v>
      </c>
      <c r="C4740" s="6">
        <v>105</v>
      </c>
      <c r="D4740" s="6">
        <v>113.5</v>
      </c>
      <c r="E4740" s="6">
        <v>218.5</v>
      </c>
      <c r="F4740" s="11"/>
    </row>
    <row r="4741" spans="1:6">
      <c r="A4741" s="5" t="str">
        <f t="shared" si="83"/>
        <v>202318</v>
      </c>
      <c r="B4741" s="5" t="str">
        <f>"23085041511"</f>
        <v>23085041511</v>
      </c>
      <c r="C4741" s="6">
        <v>117</v>
      </c>
      <c r="D4741" s="6">
        <v>101.5</v>
      </c>
      <c r="E4741" s="6">
        <v>218.5</v>
      </c>
      <c r="F4741" s="11"/>
    </row>
    <row r="4742" spans="1:6">
      <c r="A4742" s="5" t="str">
        <f t="shared" si="83"/>
        <v>202318</v>
      </c>
      <c r="B4742" s="5" t="str">
        <f>"23085040826"</f>
        <v>23085040826</v>
      </c>
      <c r="C4742" s="6">
        <v>103.5</v>
      </c>
      <c r="D4742" s="6">
        <v>115</v>
      </c>
      <c r="E4742" s="6">
        <v>218.5</v>
      </c>
      <c r="F4742" s="11"/>
    </row>
    <row r="4743" spans="1:6">
      <c r="A4743" s="5" t="str">
        <f t="shared" si="83"/>
        <v>202318</v>
      </c>
      <c r="B4743" s="5" t="str">
        <f>"23085040702"</f>
        <v>23085040702</v>
      </c>
      <c r="C4743" s="6">
        <v>103.5</v>
      </c>
      <c r="D4743" s="6">
        <v>115</v>
      </c>
      <c r="E4743" s="6">
        <v>218.5</v>
      </c>
      <c r="F4743" s="11"/>
    </row>
    <row r="4744" spans="1:6">
      <c r="A4744" s="5" t="str">
        <f t="shared" si="83"/>
        <v>202318</v>
      </c>
      <c r="B4744" s="5" t="str">
        <f>"23085041916"</f>
        <v>23085041916</v>
      </c>
      <c r="C4744" s="6">
        <v>106.5</v>
      </c>
      <c r="D4744" s="6">
        <v>112</v>
      </c>
      <c r="E4744" s="6">
        <v>218.5</v>
      </c>
      <c r="F4744" s="11"/>
    </row>
    <row r="4745" spans="1:6">
      <c r="A4745" s="5" t="str">
        <f t="shared" si="83"/>
        <v>202318</v>
      </c>
      <c r="B4745" s="5" t="str">
        <f>"23085042713"</f>
        <v>23085042713</v>
      </c>
      <c r="C4745" s="6">
        <v>114</v>
      </c>
      <c r="D4745" s="6">
        <v>104.5</v>
      </c>
      <c r="E4745" s="6">
        <v>218.5</v>
      </c>
      <c r="F4745" s="11"/>
    </row>
    <row r="4746" spans="1:6">
      <c r="A4746" s="5" t="str">
        <f t="shared" si="83"/>
        <v>202318</v>
      </c>
      <c r="B4746" s="5" t="str">
        <f>"23085041624"</f>
        <v>23085041624</v>
      </c>
      <c r="C4746" s="6">
        <v>102</v>
      </c>
      <c r="D4746" s="6">
        <v>116.5</v>
      </c>
      <c r="E4746" s="6">
        <v>218.5</v>
      </c>
      <c r="F4746" s="11"/>
    </row>
    <row r="4747" spans="1:6">
      <c r="A4747" s="5" t="str">
        <f t="shared" si="83"/>
        <v>202318</v>
      </c>
      <c r="B4747" s="5" t="str">
        <f>"23085042316"</f>
        <v>23085042316</v>
      </c>
      <c r="C4747" s="6">
        <v>112.5</v>
      </c>
      <c r="D4747" s="6">
        <v>106</v>
      </c>
      <c r="E4747" s="6">
        <v>218.5</v>
      </c>
      <c r="F4747" s="11"/>
    </row>
    <row r="4748" spans="1:6">
      <c r="A4748" s="5" t="str">
        <f t="shared" si="83"/>
        <v>202318</v>
      </c>
      <c r="B4748" s="5" t="str">
        <f>"23085042824"</f>
        <v>23085042824</v>
      </c>
      <c r="C4748" s="6">
        <v>105</v>
      </c>
      <c r="D4748" s="6">
        <v>113.5</v>
      </c>
      <c r="E4748" s="6">
        <v>218.5</v>
      </c>
      <c r="F4748" s="11"/>
    </row>
    <row r="4749" spans="1:6">
      <c r="A4749" s="5" t="str">
        <f t="shared" si="83"/>
        <v>202318</v>
      </c>
      <c r="B4749" s="5" t="str">
        <f>"23085042118"</f>
        <v>23085042118</v>
      </c>
      <c r="C4749" s="6">
        <v>115.5</v>
      </c>
      <c r="D4749" s="6">
        <v>103</v>
      </c>
      <c r="E4749" s="6">
        <v>218.5</v>
      </c>
      <c r="F4749" s="11"/>
    </row>
    <row r="4750" spans="1:6">
      <c r="A4750" s="5" t="str">
        <f t="shared" si="83"/>
        <v>202318</v>
      </c>
      <c r="B4750" s="5" t="str">
        <f>"23085042703"</f>
        <v>23085042703</v>
      </c>
      <c r="C4750" s="6">
        <v>100.5</v>
      </c>
      <c r="D4750" s="6">
        <v>118</v>
      </c>
      <c r="E4750" s="6">
        <v>218.5</v>
      </c>
      <c r="F4750" s="11"/>
    </row>
    <row r="4751" spans="1:6">
      <c r="A4751" s="5" t="str">
        <f t="shared" si="83"/>
        <v>202318</v>
      </c>
      <c r="B4751" s="5" t="str">
        <f>"23085040915"</f>
        <v>23085040915</v>
      </c>
      <c r="C4751" s="6">
        <v>106.5</v>
      </c>
      <c r="D4751" s="6">
        <v>112</v>
      </c>
      <c r="E4751" s="6">
        <v>218.5</v>
      </c>
      <c r="F4751" s="11"/>
    </row>
    <row r="4752" spans="1:6">
      <c r="A4752" s="5" t="str">
        <f t="shared" si="83"/>
        <v>202318</v>
      </c>
      <c r="B4752" s="5" t="str">
        <f>"23085041315"</f>
        <v>23085041315</v>
      </c>
      <c r="C4752" s="6">
        <v>112.5</v>
      </c>
      <c r="D4752" s="6">
        <v>105.5</v>
      </c>
      <c r="E4752" s="6">
        <v>218</v>
      </c>
      <c r="F4752" s="11"/>
    </row>
    <row r="4753" spans="1:6">
      <c r="A4753" s="5" t="str">
        <f t="shared" si="83"/>
        <v>202318</v>
      </c>
      <c r="B4753" s="5" t="str">
        <f>"23085040920"</f>
        <v>23085040920</v>
      </c>
      <c r="C4753" s="6">
        <v>102</v>
      </c>
      <c r="D4753" s="6">
        <v>116</v>
      </c>
      <c r="E4753" s="6">
        <v>218</v>
      </c>
      <c r="F4753" s="11"/>
    </row>
    <row r="4754" spans="1:6">
      <c r="A4754" s="5" t="str">
        <f t="shared" si="83"/>
        <v>202318</v>
      </c>
      <c r="B4754" s="5" t="str">
        <f>"23085041717"</f>
        <v>23085041717</v>
      </c>
      <c r="C4754" s="6">
        <v>100.5</v>
      </c>
      <c r="D4754" s="6">
        <v>117.5</v>
      </c>
      <c r="E4754" s="6">
        <v>218</v>
      </c>
      <c r="F4754" s="11"/>
    </row>
    <row r="4755" spans="1:6">
      <c r="A4755" s="5" t="str">
        <f t="shared" si="83"/>
        <v>202318</v>
      </c>
      <c r="B4755" s="5" t="str">
        <f>"23085042319"</f>
        <v>23085042319</v>
      </c>
      <c r="C4755" s="6">
        <v>105</v>
      </c>
      <c r="D4755" s="6">
        <v>113</v>
      </c>
      <c r="E4755" s="6">
        <v>218</v>
      </c>
      <c r="F4755" s="11"/>
    </row>
    <row r="4756" spans="1:6">
      <c r="A4756" s="5" t="str">
        <f t="shared" si="83"/>
        <v>202318</v>
      </c>
      <c r="B4756" s="5" t="str">
        <f>"23085042007"</f>
        <v>23085042007</v>
      </c>
      <c r="C4756" s="6">
        <v>99</v>
      </c>
      <c r="D4756" s="6">
        <v>119</v>
      </c>
      <c r="E4756" s="6">
        <v>218</v>
      </c>
      <c r="F4756" s="11"/>
    </row>
    <row r="4757" spans="1:6">
      <c r="A4757" s="5" t="str">
        <f t="shared" si="83"/>
        <v>202318</v>
      </c>
      <c r="B4757" s="5" t="str">
        <f>"23085042722"</f>
        <v>23085042722</v>
      </c>
      <c r="C4757" s="6">
        <v>108</v>
      </c>
      <c r="D4757" s="6">
        <v>110</v>
      </c>
      <c r="E4757" s="6">
        <v>218</v>
      </c>
      <c r="F4757" s="11"/>
    </row>
    <row r="4758" spans="1:6">
      <c r="A4758" s="5" t="str">
        <f t="shared" si="83"/>
        <v>202318</v>
      </c>
      <c r="B4758" s="5" t="str">
        <f>"23085042624"</f>
        <v>23085042624</v>
      </c>
      <c r="C4758" s="6">
        <v>100.5</v>
      </c>
      <c r="D4758" s="6">
        <v>117.5</v>
      </c>
      <c r="E4758" s="6">
        <v>218</v>
      </c>
      <c r="F4758" s="11"/>
    </row>
    <row r="4759" spans="1:6">
      <c r="A4759" s="5" t="str">
        <f t="shared" si="83"/>
        <v>202318</v>
      </c>
      <c r="B4759" s="5" t="str">
        <f>"23085042909"</f>
        <v>23085042909</v>
      </c>
      <c r="C4759" s="6">
        <v>102</v>
      </c>
      <c r="D4759" s="6">
        <v>115.5</v>
      </c>
      <c r="E4759" s="6">
        <v>217.5</v>
      </c>
      <c r="F4759" s="11"/>
    </row>
    <row r="4760" spans="1:6">
      <c r="A4760" s="5" t="str">
        <f t="shared" si="83"/>
        <v>202318</v>
      </c>
      <c r="B4760" s="5" t="str">
        <f>"23085043112"</f>
        <v>23085043112</v>
      </c>
      <c r="C4760" s="6">
        <v>102</v>
      </c>
      <c r="D4760" s="6">
        <v>115.5</v>
      </c>
      <c r="E4760" s="6">
        <v>217.5</v>
      </c>
      <c r="F4760" s="11"/>
    </row>
    <row r="4761" spans="1:6">
      <c r="A4761" s="5" t="str">
        <f t="shared" si="83"/>
        <v>202318</v>
      </c>
      <c r="B4761" s="5" t="str">
        <f>"23085042222"</f>
        <v>23085042222</v>
      </c>
      <c r="C4761" s="6">
        <v>99</v>
      </c>
      <c r="D4761" s="6">
        <v>118.5</v>
      </c>
      <c r="E4761" s="6">
        <v>217.5</v>
      </c>
      <c r="F4761" s="11"/>
    </row>
    <row r="4762" spans="1:6">
      <c r="A4762" s="5" t="str">
        <f t="shared" si="83"/>
        <v>202318</v>
      </c>
      <c r="B4762" s="5" t="str">
        <f>"23085042229"</f>
        <v>23085042229</v>
      </c>
      <c r="C4762" s="6">
        <v>100.5</v>
      </c>
      <c r="D4762" s="6">
        <v>117</v>
      </c>
      <c r="E4762" s="6">
        <v>217.5</v>
      </c>
      <c r="F4762" s="11"/>
    </row>
    <row r="4763" spans="1:6">
      <c r="A4763" s="5" t="str">
        <f t="shared" si="83"/>
        <v>202318</v>
      </c>
      <c r="B4763" s="5" t="str">
        <f>"23085041615"</f>
        <v>23085041615</v>
      </c>
      <c r="C4763" s="6">
        <v>108</v>
      </c>
      <c r="D4763" s="6">
        <v>109.5</v>
      </c>
      <c r="E4763" s="6">
        <v>217.5</v>
      </c>
      <c r="F4763" s="11"/>
    </row>
    <row r="4764" spans="1:6">
      <c r="A4764" s="5" t="str">
        <f t="shared" si="83"/>
        <v>202318</v>
      </c>
      <c r="B4764" s="5" t="str">
        <f>"23085041520"</f>
        <v>23085041520</v>
      </c>
      <c r="C4764" s="6">
        <v>102</v>
      </c>
      <c r="D4764" s="6">
        <v>115.5</v>
      </c>
      <c r="E4764" s="6">
        <v>217.5</v>
      </c>
      <c r="F4764" s="11"/>
    </row>
    <row r="4765" spans="1:6">
      <c r="A4765" s="5" t="str">
        <f t="shared" si="83"/>
        <v>202318</v>
      </c>
      <c r="B4765" s="5" t="str">
        <f>"23085041603"</f>
        <v>23085041603</v>
      </c>
      <c r="C4765" s="6">
        <v>102</v>
      </c>
      <c r="D4765" s="6">
        <v>115.5</v>
      </c>
      <c r="E4765" s="6">
        <v>217.5</v>
      </c>
      <c r="F4765" s="11"/>
    </row>
    <row r="4766" spans="1:6">
      <c r="A4766" s="5" t="str">
        <f t="shared" si="83"/>
        <v>202318</v>
      </c>
      <c r="B4766" s="5" t="str">
        <f>"23085042021"</f>
        <v>23085042021</v>
      </c>
      <c r="C4766" s="6">
        <v>96</v>
      </c>
      <c r="D4766" s="6">
        <v>121.5</v>
      </c>
      <c r="E4766" s="6">
        <v>217.5</v>
      </c>
      <c r="F4766" s="11"/>
    </row>
    <row r="4767" spans="1:6">
      <c r="A4767" s="5" t="str">
        <f t="shared" si="83"/>
        <v>202318</v>
      </c>
      <c r="B4767" s="5" t="str">
        <f>"23085042119"</f>
        <v>23085042119</v>
      </c>
      <c r="C4767" s="6">
        <v>103.5</v>
      </c>
      <c r="D4767" s="6">
        <v>114</v>
      </c>
      <c r="E4767" s="6">
        <v>217.5</v>
      </c>
      <c r="F4767" s="11"/>
    </row>
    <row r="4768" spans="1:6">
      <c r="A4768" s="5" t="str">
        <f t="shared" si="83"/>
        <v>202318</v>
      </c>
      <c r="B4768" s="5" t="str">
        <f>"23085042620"</f>
        <v>23085042620</v>
      </c>
      <c r="C4768" s="6">
        <v>105</v>
      </c>
      <c r="D4768" s="6">
        <v>112.5</v>
      </c>
      <c r="E4768" s="6">
        <v>217.5</v>
      </c>
      <c r="F4768" s="11"/>
    </row>
    <row r="4769" spans="1:6">
      <c r="A4769" s="5" t="str">
        <f t="shared" si="83"/>
        <v>202318</v>
      </c>
      <c r="B4769" s="5" t="str">
        <f>"23085042522"</f>
        <v>23085042522</v>
      </c>
      <c r="C4769" s="6">
        <v>94.5</v>
      </c>
      <c r="D4769" s="6">
        <v>122.5</v>
      </c>
      <c r="E4769" s="6">
        <v>217</v>
      </c>
      <c r="F4769" s="11"/>
    </row>
    <row r="4770" spans="1:6">
      <c r="A4770" s="5" t="str">
        <f t="shared" si="83"/>
        <v>202318</v>
      </c>
      <c r="B4770" s="5" t="str">
        <f>"23085042730"</f>
        <v>23085042730</v>
      </c>
      <c r="C4770" s="6">
        <v>100.5</v>
      </c>
      <c r="D4770" s="6">
        <v>116.5</v>
      </c>
      <c r="E4770" s="6">
        <v>217</v>
      </c>
      <c r="F4770" s="11"/>
    </row>
    <row r="4771" spans="1:6">
      <c r="A4771" s="5" t="str">
        <f t="shared" si="83"/>
        <v>202318</v>
      </c>
      <c r="B4771" s="5" t="str">
        <f>"23085041401"</f>
        <v>23085041401</v>
      </c>
      <c r="C4771" s="6">
        <v>99</v>
      </c>
      <c r="D4771" s="6">
        <v>118</v>
      </c>
      <c r="E4771" s="6">
        <v>217</v>
      </c>
      <c r="F4771" s="11"/>
    </row>
    <row r="4772" spans="1:6">
      <c r="A4772" s="5" t="str">
        <f t="shared" si="83"/>
        <v>202318</v>
      </c>
      <c r="B4772" s="5" t="str">
        <f>"23085041421"</f>
        <v>23085041421</v>
      </c>
      <c r="C4772" s="6">
        <v>97.5</v>
      </c>
      <c r="D4772" s="6">
        <v>119.5</v>
      </c>
      <c r="E4772" s="6">
        <v>217</v>
      </c>
      <c r="F4772" s="11"/>
    </row>
    <row r="4773" spans="1:6">
      <c r="A4773" s="5" t="str">
        <f t="shared" si="83"/>
        <v>202318</v>
      </c>
      <c r="B4773" s="5" t="str">
        <f>"23085042107"</f>
        <v>23085042107</v>
      </c>
      <c r="C4773" s="6">
        <v>102</v>
      </c>
      <c r="D4773" s="6">
        <v>115</v>
      </c>
      <c r="E4773" s="6">
        <v>217</v>
      </c>
      <c r="F4773" s="11"/>
    </row>
    <row r="4774" spans="1:6">
      <c r="A4774" s="5" t="str">
        <f t="shared" si="83"/>
        <v>202318</v>
      </c>
      <c r="B4774" s="5" t="str">
        <f>"23085042724"</f>
        <v>23085042724</v>
      </c>
      <c r="C4774" s="6">
        <v>100.5</v>
      </c>
      <c r="D4774" s="6">
        <v>116.5</v>
      </c>
      <c r="E4774" s="6">
        <v>217</v>
      </c>
      <c r="F4774" s="11"/>
    </row>
    <row r="4775" spans="1:6">
      <c r="A4775" s="5" t="str">
        <f t="shared" si="83"/>
        <v>202318</v>
      </c>
      <c r="B4775" s="5" t="str">
        <f>"23085041404"</f>
        <v>23085041404</v>
      </c>
      <c r="C4775" s="6">
        <v>99</v>
      </c>
      <c r="D4775" s="6">
        <v>118</v>
      </c>
      <c r="E4775" s="6">
        <v>217</v>
      </c>
      <c r="F4775" s="11"/>
    </row>
    <row r="4776" spans="1:6">
      <c r="A4776" s="5" t="str">
        <f t="shared" si="83"/>
        <v>202318</v>
      </c>
      <c r="B4776" s="5" t="str">
        <f>"23085041716"</f>
        <v>23085041716</v>
      </c>
      <c r="C4776" s="6">
        <v>100.5</v>
      </c>
      <c r="D4776" s="6">
        <v>116.5</v>
      </c>
      <c r="E4776" s="6">
        <v>217</v>
      </c>
      <c r="F4776" s="11"/>
    </row>
    <row r="4777" spans="1:6">
      <c r="A4777" s="5" t="str">
        <f t="shared" si="83"/>
        <v>202318</v>
      </c>
      <c r="B4777" s="5" t="str">
        <f>"23085042709"</f>
        <v>23085042709</v>
      </c>
      <c r="C4777" s="6">
        <v>96</v>
      </c>
      <c r="D4777" s="6">
        <v>120.5</v>
      </c>
      <c r="E4777" s="6">
        <v>216.5</v>
      </c>
      <c r="F4777" s="11"/>
    </row>
    <row r="4778" spans="1:6">
      <c r="A4778" s="5" t="str">
        <f t="shared" si="83"/>
        <v>202318</v>
      </c>
      <c r="B4778" s="5" t="str">
        <f>"23085040725"</f>
        <v>23085040725</v>
      </c>
      <c r="C4778" s="6">
        <v>99</v>
      </c>
      <c r="D4778" s="6">
        <v>117.5</v>
      </c>
      <c r="E4778" s="6">
        <v>216.5</v>
      </c>
      <c r="F4778" s="11"/>
    </row>
    <row r="4779" spans="1:6">
      <c r="A4779" s="5" t="str">
        <f t="shared" si="83"/>
        <v>202318</v>
      </c>
      <c r="B4779" s="5" t="str">
        <f>"23085041406"</f>
        <v>23085041406</v>
      </c>
      <c r="C4779" s="6">
        <v>94.5</v>
      </c>
      <c r="D4779" s="6">
        <v>122</v>
      </c>
      <c r="E4779" s="6">
        <v>216.5</v>
      </c>
      <c r="F4779" s="11"/>
    </row>
    <row r="4780" spans="1:6">
      <c r="A4780" s="5" t="str">
        <f t="shared" si="83"/>
        <v>202318</v>
      </c>
      <c r="B4780" s="5" t="str">
        <f>"23085042515"</f>
        <v>23085042515</v>
      </c>
      <c r="C4780" s="6">
        <v>102</v>
      </c>
      <c r="D4780" s="6">
        <v>114.5</v>
      </c>
      <c r="E4780" s="6">
        <v>216.5</v>
      </c>
      <c r="F4780" s="11"/>
    </row>
    <row r="4781" spans="1:6">
      <c r="A4781" s="5" t="str">
        <f t="shared" si="83"/>
        <v>202318</v>
      </c>
      <c r="B4781" s="5" t="str">
        <f>"23085041227"</f>
        <v>23085041227</v>
      </c>
      <c r="C4781" s="6">
        <v>100.5</v>
      </c>
      <c r="D4781" s="6">
        <v>116</v>
      </c>
      <c r="E4781" s="6">
        <v>216.5</v>
      </c>
      <c r="F4781" s="11"/>
    </row>
    <row r="4782" spans="1:6">
      <c r="A4782" s="5" t="str">
        <f t="shared" si="83"/>
        <v>202318</v>
      </c>
      <c r="B4782" s="5" t="str">
        <f>"23085040823"</f>
        <v>23085040823</v>
      </c>
      <c r="C4782" s="6">
        <v>111</v>
      </c>
      <c r="D4782" s="6">
        <v>105.5</v>
      </c>
      <c r="E4782" s="6">
        <v>216.5</v>
      </c>
      <c r="F4782" s="11"/>
    </row>
    <row r="4783" spans="1:6">
      <c r="A4783" s="5" t="str">
        <f t="shared" si="83"/>
        <v>202318</v>
      </c>
      <c r="B4783" s="5" t="str">
        <f>"23085040704"</f>
        <v>23085040704</v>
      </c>
      <c r="C4783" s="6">
        <v>97.5</v>
      </c>
      <c r="D4783" s="6">
        <v>118.5</v>
      </c>
      <c r="E4783" s="6">
        <v>216</v>
      </c>
      <c r="F4783" s="11"/>
    </row>
    <row r="4784" spans="1:6">
      <c r="A4784" s="5" t="str">
        <f t="shared" si="83"/>
        <v>202318</v>
      </c>
      <c r="B4784" s="5" t="str">
        <f>"23085042507"</f>
        <v>23085042507</v>
      </c>
      <c r="C4784" s="6">
        <v>106.5</v>
      </c>
      <c r="D4784" s="6">
        <v>109.5</v>
      </c>
      <c r="E4784" s="6">
        <v>216</v>
      </c>
      <c r="F4784" s="11"/>
    </row>
    <row r="4785" spans="1:6">
      <c r="A4785" s="5" t="str">
        <f t="shared" si="83"/>
        <v>202318</v>
      </c>
      <c r="B4785" s="5" t="str">
        <f>"23085041713"</f>
        <v>23085041713</v>
      </c>
      <c r="C4785" s="6">
        <v>96</v>
      </c>
      <c r="D4785" s="6">
        <v>120</v>
      </c>
      <c r="E4785" s="6">
        <v>216</v>
      </c>
      <c r="F4785" s="11"/>
    </row>
    <row r="4786" spans="1:6">
      <c r="A4786" s="5" t="str">
        <f t="shared" si="83"/>
        <v>202318</v>
      </c>
      <c r="B4786" s="5" t="str">
        <f>"23085042019"</f>
        <v>23085042019</v>
      </c>
      <c r="C4786" s="6">
        <v>106.5</v>
      </c>
      <c r="D4786" s="6">
        <v>109.5</v>
      </c>
      <c r="E4786" s="6">
        <v>216</v>
      </c>
      <c r="F4786" s="11"/>
    </row>
    <row r="4787" spans="1:6">
      <c r="A4787" s="5" t="str">
        <f t="shared" si="83"/>
        <v>202318</v>
      </c>
      <c r="B4787" s="5" t="str">
        <f>"23085041005"</f>
        <v>23085041005</v>
      </c>
      <c r="C4787" s="6">
        <v>103.5</v>
      </c>
      <c r="D4787" s="6">
        <v>112.5</v>
      </c>
      <c r="E4787" s="6">
        <v>216</v>
      </c>
      <c r="F4787" s="11"/>
    </row>
    <row r="4788" spans="1:6">
      <c r="A4788" s="5" t="str">
        <f t="shared" si="83"/>
        <v>202318</v>
      </c>
      <c r="B4788" s="5" t="str">
        <f>"23085041416"</f>
        <v>23085041416</v>
      </c>
      <c r="C4788" s="6">
        <v>99</v>
      </c>
      <c r="D4788" s="6">
        <v>117</v>
      </c>
      <c r="E4788" s="6">
        <v>216</v>
      </c>
      <c r="F4788" s="11"/>
    </row>
    <row r="4789" spans="1:6">
      <c r="A4789" s="5" t="str">
        <f t="shared" si="83"/>
        <v>202318</v>
      </c>
      <c r="B4789" s="5" t="str">
        <f>"23085042721"</f>
        <v>23085042721</v>
      </c>
      <c r="C4789" s="6">
        <v>103.5</v>
      </c>
      <c r="D4789" s="6">
        <v>112.5</v>
      </c>
      <c r="E4789" s="6">
        <v>216</v>
      </c>
      <c r="F4789" s="11"/>
    </row>
    <row r="4790" spans="1:6">
      <c r="A4790" s="5" t="str">
        <f t="shared" si="83"/>
        <v>202318</v>
      </c>
      <c r="B4790" s="5" t="str">
        <f>"23085042912"</f>
        <v>23085042912</v>
      </c>
      <c r="C4790" s="6">
        <v>106.5</v>
      </c>
      <c r="D4790" s="6">
        <v>109.5</v>
      </c>
      <c r="E4790" s="6">
        <v>216</v>
      </c>
      <c r="F4790" s="11"/>
    </row>
    <row r="4791" spans="1:6">
      <c r="A4791" s="5" t="str">
        <f t="shared" si="83"/>
        <v>202318</v>
      </c>
      <c r="B4791" s="5" t="str">
        <f>"23085043116"</f>
        <v>23085043116</v>
      </c>
      <c r="C4791" s="6">
        <v>105</v>
      </c>
      <c r="D4791" s="6">
        <v>110.5</v>
      </c>
      <c r="E4791" s="6">
        <v>215.5</v>
      </c>
      <c r="F4791" s="11"/>
    </row>
    <row r="4792" spans="1:6">
      <c r="A4792" s="5" t="str">
        <f t="shared" si="83"/>
        <v>202318</v>
      </c>
      <c r="B4792" s="5" t="str">
        <f>"23085042324"</f>
        <v>23085042324</v>
      </c>
      <c r="C4792" s="6">
        <v>100.5</v>
      </c>
      <c r="D4792" s="6">
        <v>115</v>
      </c>
      <c r="E4792" s="6">
        <v>215.5</v>
      </c>
      <c r="F4792" s="11"/>
    </row>
    <row r="4793" spans="1:6">
      <c r="A4793" s="5" t="str">
        <f t="shared" si="83"/>
        <v>202318</v>
      </c>
      <c r="B4793" s="5" t="str">
        <f>"23085042707"</f>
        <v>23085042707</v>
      </c>
      <c r="C4793" s="6">
        <v>106.5</v>
      </c>
      <c r="D4793" s="6">
        <v>109</v>
      </c>
      <c r="E4793" s="6">
        <v>215.5</v>
      </c>
      <c r="F4793" s="11"/>
    </row>
    <row r="4794" spans="1:6">
      <c r="A4794" s="5" t="str">
        <f t="shared" si="83"/>
        <v>202318</v>
      </c>
      <c r="B4794" s="5" t="str">
        <f>"23085040912"</f>
        <v>23085040912</v>
      </c>
      <c r="C4794" s="6">
        <v>102</v>
      </c>
      <c r="D4794" s="6">
        <v>113.5</v>
      </c>
      <c r="E4794" s="6">
        <v>215.5</v>
      </c>
      <c r="F4794" s="11"/>
    </row>
    <row r="4795" spans="1:6">
      <c r="A4795" s="5" t="str">
        <f t="shared" si="83"/>
        <v>202318</v>
      </c>
      <c r="B4795" s="5" t="str">
        <f>"23085042415"</f>
        <v>23085042415</v>
      </c>
      <c r="C4795" s="6">
        <v>103.5</v>
      </c>
      <c r="D4795" s="6">
        <v>112</v>
      </c>
      <c r="E4795" s="6">
        <v>215.5</v>
      </c>
      <c r="F4795" s="11"/>
    </row>
    <row r="4796" spans="1:6">
      <c r="A4796" s="5" t="str">
        <f t="shared" si="83"/>
        <v>202318</v>
      </c>
      <c r="B4796" s="5" t="str">
        <f>"23085040720"</f>
        <v>23085040720</v>
      </c>
      <c r="C4796" s="6">
        <v>105</v>
      </c>
      <c r="D4796" s="6">
        <v>110.5</v>
      </c>
      <c r="E4796" s="6">
        <v>215.5</v>
      </c>
      <c r="F4796" s="11"/>
    </row>
    <row r="4797" spans="1:6">
      <c r="A4797" s="5" t="str">
        <f t="shared" si="83"/>
        <v>202318</v>
      </c>
      <c r="B4797" s="5" t="str">
        <f>"23085042910"</f>
        <v>23085042910</v>
      </c>
      <c r="C4797" s="6">
        <v>99</v>
      </c>
      <c r="D4797" s="6">
        <v>116.5</v>
      </c>
      <c r="E4797" s="6">
        <v>215.5</v>
      </c>
      <c r="F4797" s="11"/>
    </row>
    <row r="4798" spans="1:6">
      <c r="A4798" s="5" t="str">
        <f t="shared" ref="A4798:A4861" si="84">"202318"</f>
        <v>202318</v>
      </c>
      <c r="B4798" s="5" t="str">
        <f>"23085040930"</f>
        <v>23085040930</v>
      </c>
      <c r="C4798" s="6">
        <v>103.5</v>
      </c>
      <c r="D4798" s="6">
        <v>112</v>
      </c>
      <c r="E4798" s="6">
        <v>215.5</v>
      </c>
      <c r="F4798" s="11"/>
    </row>
    <row r="4799" spans="1:6">
      <c r="A4799" s="5" t="str">
        <f t="shared" si="84"/>
        <v>202318</v>
      </c>
      <c r="B4799" s="5" t="str">
        <f>"23085042712"</f>
        <v>23085042712</v>
      </c>
      <c r="C4799" s="6">
        <v>99</v>
      </c>
      <c r="D4799" s="6">
        <v>116</v>
      </c>
      <c r="E4799" s="6">
        <v>215</v>
      </c>
      <c r="F4799" s="11"/>
    </row>
    <row r="4800" spans="1:6">
      <c r="A4800" s="5" t="str">
        <f t="shared" si="84"/>
        <v>202318</v>
      </c>
      <c r="B4800" s="5" t="str">
        <f>"23085041314"</f>
        <v>23085041314</v>
      </c>
      <c r="C4800" s="6">
        <v>100.5</v>
      </c>
      <c r="D4800" s="6">
        <v>114.5</v>
      </c>
      <c r="E4800" s="6">
        <v>215</v>
      </c>
      <c r="F4800" s="11"/>
    </row>
    <row r="4801" spans="1:6">
      <c r="A4801" s="5" t="str">
        <f t="shared" si="84"/>
        <v>202318</v>
      </c>
      <c r="B4801" s="5" t="str">
        <f>"23085043103"</f>
        <v>23085043103</v>
      </c>
      <c r="C4801" s="6">
        <v>97.5</v>
      </c>
      <c r="D4801" s="6">
        <v>117.5</v>
      </c>
      <c r="E4801" s="6">
        <v>215</v>
      </c>
      <c r="F4801" s="11"/>
    </row>
    <row r="4802" spans="1:6">
      <c r="A4802" s="5" t="str">
        <f t="shared" si="84"/>
        <v>202318</v>
      </c>
      <c r="B4802" s="5" t="str">
        <f>"23085041420"</f>
        <v>23085041420</v>
      </c>
      <c r="C4802" s="6">
        <v>103.5</v>
      </c>
      <c r="D4802" s="6">
        <v>111.5</v>
      </c>
      <c r="E4802" s="6">
        <v>215</v>
      </c>
      <c r="F4802" s="11"/>
    </row>
    <row r="4803" spans="1:6">
      <c r="A4803" s="5" t="str">
        <f t="shared" si="84"/>
        <v>202318</v>
      </c>
      <c r="B4803" s="5" t="str">
        <f>"23085042430"</f>
        <v>23085042430</v>
      </c>
      <c r="C4803" s="6">
        <v>103.5</v>
      </c>
      <c r="D4803" s="6">
        <v>111.5</v>
      </c>
      <c r="E4803" s="6">
        <v>215</v>
      </c>
      <c r="F4803" s="11"/>
    </row>
    <row r="4804" spans="1:6">
      <c r="A4804" s="5" t="str">
        <f t="shared" si="84"/>
        <v>202318</v>
      </c>
      <c r="B4804" s="5" t="str">
        <f>"23085041619"</f>
        <v>23085041619</v>
      </c>
      <c r="C4804" s="6">
        <v>94.5</v>
      </c>
      <c r="D4804" s="6">
        <v>120.5</v>
      </c>
      <c r="E4804" s="6">
        <v>215</v>
      </c>
      <c r="F4804" s="11"/>
    </row>
    <row r="4805" spans="1:6">
      <c r="A4805" s="5" t="str">
        <f t="shared" si="84"/>
        <v>202318</v>
      </c>
      <c r="B4805" s="5" t="str">
        <f>"23085041304"</f>
        <v>23085041304</v>
      </c>
      <c r="C4805" s="6">
        <v>97.5</v>
      </c>
      <c r="D4805" s="6">
        <v>117.5</v>
      </c>
      <c r="E4805" s="6">
        <v>215</v>
      </c>
      <c r="F4805" s="11"/>
    </row>
    <row r="4806" spans="1:6">
      <c r="A4806" s="5" t="str">
        <f t="shared" si="84"/>
        <v>202318</v>
      </c>
      <c r="B4806" s="5" t="str">
        <f>"23085040924"</f>
        <v>23085040924</v>
      </c>
      <c r="C4806" s="6">
        <v>102</v>
      </c>
      <c r="D4806" s="6">
        <v>112.5</v>
      </c>
      <c r="E4806" s="6">
        <v>214.5</v>
      </c>
      <c r="F4806" s="11"/>
    </row>
    <row r="4807" spans="1:6">
      <c r="A4807" s="5" t="str">
        <f t="shared" si="84"/>
        <v>202318</v>
      </c>
      <c r="B4807" s="5" t="str">
        <f>"23085041322"</f>
        <v>23085041322</v>
      </c>
      <c r="C4807" s="6">
        <v>94.5</v>
      </c>
      <c r="D4807" s="6">
        <v>120</v>
      </c>
      <c r="E4807" s="6">
        <v>214.5</v>
      </c>
      <c r="F4807" s="11"/>
    </row>
    <row r="4808" spans="1:6">
      <c r="A4808" s="5" t="str">
        <f t="shared" si="84"/>
        <v>202318</v>
      </c>
      <c r="B4808" s="5" t="str">
        <f>"23085040617"</f>
        <v>23085040617</v>
      </c>
      <c r="C4808" s="6">
        <v>103.5</v>
      </c>
      <c r="D4808" s="6">
        <v>111</v>
      </c>
      <c r="E4808" s="6">
        <v>214.5</v>
      </c>
      <c r="F4808" s="11"/>
    </row>
    <row r="4809" spans="1:6">
      <c r="A4809" s="5" t="str">
        <f t="shared" si="84"/>
        <v>202318</v>
      </c>
      <c r="B4809" s="5" t="str">
        <f>"23085042805"</f>
        <v>23085042805</v>
      </c>
      <c r="C4809" s="6">
        <v>108</v>
      </c>
      <c r="D4809" s="6">
        <v>106.5</v>
      </c>
      <c r="E4809" s="6">
        <v>214.5</v>
      </c>
      <c r="F4809" s="11"/>
    </row>
    <row r="4810" spans="1:6">
      <c r="A4810" s="5" t="str">
        <f t="shared" si="84"/>
        <v>202318</v>
      </c>
      <c r="B4810" s="5" t="str">
        <f>"23085042604"</f>
        <v>23085042604</v>
      </c>
      <c r="C4810" s="6">
        <v>108</v>
      </c>
      <c r="D4810" s="6">
        <v>106.5</v>
      </c>
      <c r="E4810" s="6">
        <v>214.5</v>
      </c>
      <c r="F4810" s="11"/>
    </row>
    <row r="4811" spans="1:6">
      <c r="A4811" s="5" t="str">
        <f t="shared" si="84"/>
        <v>202318</v>
      </c>
      <c r="B4811" s="5" t="str">
        <f>"23085042310"</f>
        <v>23085042310</v>
      </c>
      <c r="C4811" s="6">
        <v>105</v>
      </c>
      <c r="D4811" s="6">
        <v>109</v>
      </c>
      <c r="E4811" s="6">
        <v>214</v>
      </c>
      <c r="F4811" s="11"/>
    </row>
    <row r="4812" spans="1:6">
      <c r="A4812" s="5" t="str">
        <f t="shared" si="84"/>
        <v>202318</v>
      </c>
      <c r="B4812" s="5" t="str">
        <f>"23085043107"</f>
        <v>23085043107</v>
      </c>
      <c r="C4812" s="6">
        <v>100.5</v>
      </c>
      <c r="D4812" s="6">
        <v>113.5</v>
      </c>
      <c r="E4812" s="6">
        <v>214</v>
      </c>
      <c r="F4812" s="11"/>
    </row>
    <row r="4813" spans="1:6">
      <c r="A4813" s="5" t="str">
        <f t="shared" si="84"/>
        <v>202318</v>
      </c>
      <c r="B4813" s="5" t="str">
        <f>"23085042111"</f>
        <v>23085042111</v>
      </c>
      <c r="C4813" s="6">
        <v>100.5</v>
      </c>
      <c r="D4813" s="6">
        <v>113.5</v>
      </c>
      <c r="E4813" s="6">
        <v>214</v>
      </c>
      <c r="F4813" s="11"/>
    </row>
    <row r="4814" spans="1:6">
      <c r="A4814" s="5" t="str">
        <f t="shared" si="84"/>
        <v>202318</v>
      </c>
      <c r="B4814" s="5" t="str">
        <f>"23085041915"</f>
        <v>23085041915</v>
      </c>
      <c r="C4814" s="6">
        <v>102</v>
      </c>
      <c r="D4814" s="6">
        <v>112</v>
      </c>
      <c r="E4814" s="6">
        <v>214</v>
      </c>
      <c r="F4814" s="11"/>
    </row>
    <row r="4815" spans="1:6">
      <c r="A4815" s="5" t="str">
        <f t="shared" si="84"/>
        <v>202318</v>
      </c>
      <c r="B4815" s="5" t="str">
        <f>"23085043124"</f>
        <v>23085043124</v>
      </c>
      <c r="C4815" s="6">
        <v>106.5</v>
      </c>
      <c r="D4815" s="6">
        <v>107.5</v>
      </c>
      <c r="E4815" s="6">
        <v>214</v>
      </c>
      <c r="F4815" s="11"/>
    </row>
    <row r="4816" spans="1:6">
      <c r="A4816" s="5" t="str">
        <f t="shared" si="84"/>
        <v>202318</v>
      </c>
      <c r="B4816" s="5" t="str">
        <f>"23085041028"</f>
        <v>23085041028</v>
      </c>
      <c r="C4816" s="6">
        <v>102</v>
      </c>
      <c r="D4816" s="6">
        <v>111.5</v>
      </c>
      <c r="E4816" s="6">
        <v>213.5</v>
      </c>
      <c r="F4816" s="11"/>
    </row>
    <row r="4817" spans="1:6">
      <c r="A4817" s="5" t="str">
        <f t="shared" si="84"/>
        <v>202318</v>
      </c>
      <c r="B4817" s="5" t="str">
        <f>"23085041112"</f>
        <v>23085041112</v>
      </c>
      <c r="C4817" s="6">
        <v>103.5</v>
      </c>
      <c r="D4817" s="6">
        <v>110</v>
      </c>
      <c r="E4817" s="6">
        <v>213.5</v>
      </c>
      <c r="F4817" s="11"/>
    </row>
    <row r="4818" spans="1:6">
      <c r="A4818" s="5" t="str">
        <f t="shared" si="84"/>
        <v>202318</v>
      </c>
      <c r="B4818" s="5" t="str">
        <f>"23085041027"</f>
        <v>23085041027</v>
      </c>
      <c r="C4818" s="6">
        <v>96</v>
      </c>
      <c r="D4818" s="6">
        <v>117.5</v>
      </c>
      <c r="E4818" s="6">
        <v>213.5</v>
      </c>
      <c r="F4818" s="11"/>
    </row>
    <row r="4819" spans="1:6">
      <c r="A4819" s="5" t="str">
        <f t="shared" si="84"/>
        <v>202318</v>
      </c>
      <c r="B4819" s="5" t="str">
        <f>"23085041519"</f>
        <v>23085041519</v>
      </c>
      <c r="C4819" s="6">
        <v>96</v>
      </c>
      <c r="D4819" s="6">
        <v>117.5</v>
      </c>
      <c r="E4819" s="6">
        <v>213.5</v>
      </c>
      <c r="F4819" s="11"/>
    </row>
    <row r="4820" spans="1:6">
      <c r="A4820" s="5" t="str">
        <f t="shared" si="84"/>
        <v>202318</v>
      </c>
      <c r="B4820" s="5" t="str">
        <f>"23085041429"</f>
        <v>23085041429</v>
      </c>
      <c r="C4820" s="6">
        <v>103.5</v>
      </c>
      <c r="D4820" s="6">
        <v>109.5</v>
      </c>
      <c r="E4820" s="6">
        <v>213</v>
      </c>
      <c r="F4820" s="11"/>
    </row>
    <row r="4821" spans="1:6">
      <c r="A4821" s="5" t="str">
        <f t="shared" si="84"/>
        <v>202318</v>
      </c>
      <c r="B4821" s="5" t="str">
        <f>"23085043024"</f>
        <v>23085043024</v>
      </c>
      <c r="C4821" s="6">
        <v>102</v>
      </c>
      <c r="D4821" s="6">
        <v>111</v>
      </c>
      <c r="E4821" s="6">
        <v>213</v>
      </c>
      <c r="F4821" s="11"/>
    </row>
    <row r="4822" spans="1:6">
      <c r="A4822" s="5" t="str">
        <f t="shared" si="84"/>
        <v>202318</v>
      </c>
      <c r="B4822" s="5" t="str">
        <f>"23085041630"</f>
        <v>23085041630</v>
      </c>
      <c r="C4822" s="6">
        <v>103.5</v>
      </c>
      <c r="D4822" s="6">
        <v>109.5</v>
      </c>
      <c r="E4822" s="6">
        <v>213</v>
      </c>
      <c r="F4822" s="11"/>
    </row>
    <row r="4823" spans="1:6">
      <c r="A4823" s="5" t="str">
        <f t="shared" si="84"/>
        <v>202318</v>
      </c>
      <c r="B4823" s="5" t="str">
        <f>"23085042025"</f>
        <v>23085042025</v>
      </c>
      <c r="C4823" s="6">
        <v>102</v>
      </c>
      <c r="D4823" s="6">
        <v>111</v>
      </c>
      <c r="E4823" s="6">
        <v>213</v>
      </c>
      <c r="F4823" s="11"/>
    </row>
    <row r="4824" spans="1:6">
      <c r="A4824" s="5" t="str">
        <f t="shared" si="84"/>
        <v>202318</v>
      </c>
      <c r="B4824" s="5" t="str">
        <f>"23085042202"</f>
        <v>23085042202</v>
      </c>
      <c r="C4824" s="6">
        <v>93</v>
      </c>
      <c r="D4824" s="6">
        <v>120</v>
      </c>
      <c r="E4824" s="6">
        <v>213</v>
      </c>
      <c r="F4824" s="11"/>
    </row>
    <row r="4825" spans="1:6">
      <c r="A4825" s="5" t="str">
        <f t="shared" si="84"/>
        <v>202318</v>
      </c>
      <c r="B4825" s="5" t="str">
        <f>"23085042220"</f>
        <v>23085042220</v>
      </c>
      <c r="C4825" s="6">
        <v>99</v>
      </c>
      <c r="D4825" s="6">
        <v>114</v>
      </c>
      <c r="E4825" s="6">
        <v>213</v>
      </c>
      <c r="F4825" s="11"/>
    </row>
    <row r="4826" spans="1:6">
      <c r="A4826" s="5" t="str">
        <f t="shared" si="84"/>
        <v>202318</v>
      </c>
      <c r="B4826" s="5" t="str">
        <f>"23085042129"</f>
        <v>23085042129</v>
      </c>
      <c r="C4826" s="6">
        <v>97.5</v>
      </c>
      <c r="D4826" s="6">
        <v>115</v>
      </c>
      <c r="E4826" s="6">
        <v>212.5</v>
      </c>
      <c r="F4826" s="11"/>
    </row>
    <row r="4827" spans="1:6">
      <c r="A4827" s="5" t="str">
        <f t="shared" si="84"/>
        <v>202318</v>
      </c>
      <c r="B4827" s="5" t="str">
        <f>"23085040822"</f>
        <v>23085040822</v>
      </c>
      <c r="C4827" s="6">
        <v>93</v>
      </c>
      <c r="D4827" s="6">
        <v>119.5</v>
      </c>
      <c r="E4827" s="6">
        <v>212.5</v>
      </c>
      <c r="F4827" s="11"/>
    </row>
    <row r="4828" spans="1:6">
      <c r="A4828" s="5" t="str">
        <f t="shared" si="84"/>
        <v>202318</v>
      </c>
      <c r="B4828" s="5" t="str">
        <f>"23085040810"</f>
        <v>23085040810</v>
      </c>
      <c r="C4828" s="6">
        <v>100.5</v>
      </c>
      <c r="D4828" s="6">
        <v>112</v>
      </c>
      <c r="E4828" s="6">
        <v>212.5</v>
      </c>
      <c r="F4828" s="11"/>
    </row>
    <row r="4829" spans="1:6">
      <c r="A4829" s="5" t="str">
        <f t="shared" si="84"/>
        <v>202318</v>
      </c>
      <c r="B4829" s="5" t="str">
        <f>"23085043111"</f>
        <v>23085043111</v>
      </c>
      <c r="C4829" s="6">
        <v>102</v>
      </c>
      <c r="D4829" s="6">
        <v>110.5</v>
      </c>
      <c r="E4829" s="6">
        <v>212.5</v>
      </c>
      <c r="F4829" s="11"/>
    </row>
    <row r="4830" spans="1:6">
      <c r="A4830" s="5" t="str">
        <f t="shared" si="84"/>
        <v>202318</v>
      </c>
      <c r="B4830" s="5" t="str">
        <f>"23085041515"</f>
        <v>23085041515</v>
      </c>
      <c r="C4830" s="6">
        <v>91.5</v>
      </c>
      <c r="D4830" s="6">
        <v>121</v>
      </c>
      <c r="E4830" s="6">
        <v>212.5</v>
      </c>
      <c r="F4830" s="11"/>
    </row>
    <row r="4831" spans="1:6">
      <c r="A4831" s="5" t="str">
        <f t="shared" si="84"/>
        <v>202318</v>
      </c>
      <c r="B4831" s="5" t="str">
        <f>"23085042904"</f>
        <v>23085042904</v>
      </c>
      <c r="C4831" s="6">
        <v>100.5</v>
      </c>
      <c r="D4831" s="6">
        <v>112</v>
      </c>
      <c r="E4831" s="6">
        <v>212.5</v>
      </c>
      <c r="F4831" s="11"/>
    </row>
    <row r="4832" spans="1:6">
      <c r="A4832" s="5" t="str">
        <f t="shared" si="84"/>
        <v>202318</v>
      </c>
      <c r="B4832" s="5" t="str">
        <f>"23085042502"</f>
        <v>23085042502</v>
      </c>
      <c r="C4832" s="6">
        <v>102</v>
      </c>
      <c r="D4832" s="6">
        <v>110.5</v>
      </c>
      <c r="E4832" s="6">
        <v>212.5</v>
      </c>
      <c r="F4832" s="11"/>
    </row>
    <row r="4833" spans="1:6">
      <c r="A4833" s="5" t="str">
        <f t="shared" si="84"/>
        <v>202318</v>
      </c>
      <c r="B4833" s="5" t="str">
        <f>"23085041427"</f>
        <v>23085041427</v>
      </c>
      <c r="C4833" s="6">
        <v>99</v>
      </c>
      <c r="D4833" s="6">
        <v>113</v>
      </c>
      <c r="E4833" s="6">
        <v>212</v>
      </c>
      <c r="F4833" s="11"/>
    </row>
    <row r="4834" spans="1:6">
      <c r="A4834" s="5" t="str">
        <f t="shared" si="84"/>
        <v>202318</v>
      </c>
      <c r="B4834" s="5" t="str">
        <f>"23085043127"</f>
        <v>23085043127</v>
      </c>
      <c r="C4834" s="6">
        <v>100.5</v>
      </c>
      <c r="D4834" s="6">
        <v>111.5</v>
      </c>
      <c r="E4834" s="6">
        <v>212</v>
      </c>
      <c r="F4834" s="11"/>
    </row>
    <row r="4835" spans="1:6">
      <c r="A4835" s="5" t="str">
        <f t="shared" si="84"/>
        <v>202318</v>
      </c>
      <c r="B4835" s="5" t="str">
        <f>"23085041303"</f>
        <v>23085041303</v>
      </c>
      <c r="C4835" s="6">
        <v>93</v>
      </c>
      <c r="D4835" s="6">
        <v>119</v>
      </c>
      <c r="E4835" s="6">
        <v>212</v>
      </c>
      <c r="F4835" s="11"/>
    </row>
    <row r="4836" spans="1:6">
      <c r="A4836" s="5" t="str">
        <f t="shared" si="84"/>
        <v>202318</v>
      </c>
      <c r="B4836" s="5" t="str">
        <f>"23085043027"</f>
        <v>23085043027</v>
      </c>
      <c r="C4836" s="6">
        <v>97.5</v>
      </c>
      <c r="D4836" s="6">
        <v>114.5</v>
      </c>
      <c r="E4836" s="6">
        <v>212</v>
      </c>
      <c r="F4836" s="11"/>
    </row>
    <row r="4837" spans="1:6">
      <c r="A4837" s="5" t="str">
        <f t="shared" si="84"/>
        <v>202318</v>
      </c>
      <c r="B4837" s="5" t="str">
        <f>"23085040925"</f>
        <v>23085040925</v>
      </c>
      <c r="C4837" s="6">
        <v>105</v>
      </c>
      <c r="D4837" s="6">
        <v>107</v>
      </c>
      <c r="E4837" s="6">
        <v>212</v>
      </c>
      <c r="F4837" s="11"/>
    </row>
    <row r="4838" spans="1:6">
      <c r="A4838" s="5" t="str">
        <f t="shared" si="84"/>
        <v>202318</v>
      </c>
      <c r="B4838" s="5" t="str">
        <f>"23085043015"</f>
        <v>23085043015</v>
      </c>
      <c r="C4838" s="6">
        <v>97.5</v>
      </c>
      <c r="D4838" s="6">
        <v>114.5</v>
      </c>
      <c r="E4838" s="6">
        <v>212</v>
      </c>
      <c r="F4838" s="11"/>
    </row>
    <row r="4839" spans="1:6">
      <c r="A4839" s="5" t="str">
        <f t="shared" si="84"/>
        <v>202318</v>
      </c>
      <c r="B4839" s="5" t="str">
        <f>"23085040809"</f>
        <v>23085040809</v>
      </c>
      <c r="C4839" s="6">
        <v>100.5</v>
      </c>
      <c r="D4839" s="6">
        <v>111</v>
      </c>
      <c r="E4839" s="6">
        <v>211.5</v>
      </c>
      <c r="F4839" s="11"/>
    </row>
    <row r="4840" spans="1:6">
      <c r="A4840" s="5" t="str">
        <f t="shared" si="84"/>
        <v>202318</v>
      </c>
      <c r="B4840" s="5" t="str">
        <f>"23085043117"</f>
        <v>23085043117</v>
      </c>
      <c r="C4840" s="6">
        <v>96</v>
      </c>
      <c r="D4840" s="6">
        <v>115.5</v>
      </c>
      <c r="E4840" s="6">
        <v>211.5</v>
      </c>
      <c r="F4840" s="11"/>
    </row>
    <row r="4841" spans="1:6">
      <c r="A4841" s="5" t="str">
        <f t="shared" si="84"/>
        <v>202318</v>
      </c>
      <c r="B4841" s="5" t="str">
        <f>"23085040626"</f>
        <v>23085040626</v>
      </c>
      <c r="C4841" s="6">
        <v>91.5</v>
      </c>
      <c r="D4841" s="6">
        <v>120</v>
      </c>
      <c r="E4841" s="6">
        <v>211.5</v>
      </c>
      <c r="F4841" s="11"/>
    </row>
    <row r="4842" spans="1:6">
      <c r="A4842" s="5" t="str">
        <f t="shared" si="84"/>
        <v>202318</v>
      </c>
      <c r="B4842" s="5" t="str">
        <f>"23085042022"</f>
        <v>23085042022</v>
      </c>
      <c r="C4842" s="6">
        <v>97.5</v>
      </c>
      <c r="D4842" s="6">
        <v>114</v>
      </c>
      <c r="E4842" s="6">
        <v>211.5</v>
      </c>
      <c r="F4842" s="11"/>
    </row>
    <row r="4843" spans="1:6">
      <c r="A4843" s="5" t="str">
        <f t="shared" si="84"/>
        <v>202318</v>
      </c>
      <c r="B4843" s="5" t="str">
        <f>"23085041908"</f>
        <v>23085041908</v>
      </c>
      <c r="C4843" s="6">
        <v>99</v>
      </c>
      <c r="D4843" s="6">
        <v>112.5</v>
      </c>
      <c r="E4843" s="6">
        <v>211.5</v>
      </c>
      <c r="F4843" s="11"/>
    </row>
    <row r="4844" spans="1:6">
      <c r="A4844" s="5" t="str">
        <f t="shared" si="84"/>
        <v>202318</v>
      </c>
      <c r="B4844" s="5" t="str">
        <f>"23085041620"</f>
        <v>23085041620</v>
      </c>
      <c r="C4844" s="6">
        <v>100.5</v>
      </c>
      <c r="D4844" s="6">
        <v>111</v>
      </c>
      <c r="E4844" s="6">
        <v>211.5</v>
      </c>
      <c r="F4844" s="11"/>
    </row>
    <row r="4845" spans="1:6">
      <c r="A4845" s="5" t="str">
        <f t="shared" si="84"/>
        <v>202318</v>
      </c>
      <c r="B4845" s="5" t="str">
        <f>"23085040629"</f>
        <v>23085040629</v>
      </c>
      <c r="C4845" s="6">
        <v>99</v>
      </c>
      <c r="D4845" s="6">
        <v>112.5</v>
      </c>
      <c r="E4845" s="6">
        <v>211.5</v>
      </c>
      <c r="F4845" s="11"/>
    </row>
    <row r="4846" spans="1:6">
      <c r="A4846" s="5" t="str">
        <f t="shared" si="84"/>
        <v>202318</v>
      </c>
      <c r="B4846" s="5" t="str">
        <f>"23085041722"</f>
        <v>23085041722</v>
      </c>
      <c r="C4846" s="6">
        <v>96</v>
      </c>
      <c r="D4846" s="6">
        <v>115</v>
      </c>
      <c r="E4846" s="6">
        <v>211</v>
      </c>
      <c r="F4846" s="11"/>
    </row>
    <row r="4847" spans="1:6">
      <c r="A4847" s="5" t="str">
        <f t="shared" si="84"/>
        <v>202318</v>
      </c>
      <c r="B4847" s="5" t="str">
        <f>"23085042027"</f>
        <v>23085042027</v>
      </c>
      <c r="C4847" s="6">
        <v>94.5</v>
      </c>
      <c r="D4847" s="6">
        <v>116.5</v>
      </c>
      <c r="E4847" s="6">
        <v>211</v>
      </c>
      <c r="F4847" s="11"/>
    </row>
    <row r="4848" spans="1:6">
      <c r="A4848" s="5" t="str">
        <f t="shared" si="84"/>
        <v>202318</v>
      </c>
      <c r="B4848" s="5" t="str">
        <f>"23085042907"</f>
        <v>23085042907</v>
      </c>
      <c r="C4848" s="6">
        <v>102</v>
      </c>
      <c r="D4848" s="6">
        <v>109</v>
      </c>
      <c r="E4848" s="6">
        <v>211</v>
      </c>
      <c r="F4848" s="11"/>
    </row>
    <row r="4849" spans="1:6">
      <c r="A4849" s="5" t="str">
        <f t="shared" si="84"/>
        <v>202318</v>
      </c>
      <c r="B4849" s="5" t="str">
        <f>"23085042818"</f>
        <v>23085042818</v>
      </c>
      <c r="C4849" s="6">
        <v>105</v>
      </c>
      <c r="D4849" s="6">
        <v>106</v>
      </c>
      <c r="E4849" s="6">
        <v>211</v>
      </c>
      <c r="F4849" s="11"/>
    </row>
    <row r="4850" spans="1:6">
      <c r="A4850" s="5" t="str">
        <f t="shared" si="84"/>
        <v>202318</v>
      </c>
      <c r="B4850" s="5" t="str">
        <f>"23085043014"</f>
        <v>23085043014</v>
      </c>
      <c r="C4850" s="6">
        <v>97.5</v>
      </c>
      <c r="D4850" s="6">
        <v>113.5</v>
      </c>
      <c r="E4850" s="6">
        <v>211</v>
      </c>
      <c r="F4850" s="11"/>
    </row>
    <row r="4851" spans="1:6">
      <c r="A4851" s="5" t="str">
        <f t="shared" si="84"/>
        <v>202318</v>
      </c>
      <c r="B4851" s="5" t="str">
        <f>"23085041901"</f>
        <v>23085041901</v>
      </c>
      <c r="C4851" s="6">
        <v>100.5</v>
      </c>
      <c r="D4851" s="6">
        <v>110</v>
      </c>
      <c r="E4851" s="6">
        <v>210.5</v>
      </c>
      <c r="F4851" s="11"/>
    </row>
    <row r="4852" spans="1:6">
      <c r="A4852" s="5" t="str">
        <f t="shared" si="84"/>
        <v>202318</v>
      </c>
      <c r="B4852" s="5" t="str">
        <f>"23085042928"</f>
        <v>23085042928</v>
      </c>
      <c r="C4852" s="6">
        <v>108</v>
      </c>
      <c r="D4852" s="6">
        <v>102.5</v>
      </c>
      <c r="E4852" s="6">
        <v>210.5</v>
      </c>
      <c r="F4852" s="11"/>
    </row>
    <row r="4853" spans="1:6">
      <c r="A4853" s="5" t="str">
        <f t="shared" si="84"/>
        <v>202318</v>
      </c>
      <c r="B4853" s="5" t="str">
        <f>"23085042826"</f>
        <v>23085042826</v>
      </c>
      <c r="C4853" s="6">
        <v>97.5</v>
      </c>
      <c r="D4853" s="6">
        <v>113</v>
      </c>
      <c r="E4853" s="6">
        <v>210.5</v>
      </c>
      <c r="F4853" s="11"/>
    </row>
    <row r="4854" spans="1:6">
      <c r="A4854" s="5" t="str">
        <f t="shared" si="84"/>
        <v>202318</v>
      </c>
      <c r="B4854" s="5" t="str">
        <f>"23085040628"</f>
        <v>23085040628</v>
      </c>
      <c r="C4854" s="6">
        <v>96</v>
      </c>
      <c r="D4854" s="6">
        <v>114.5</v>
      </c>
      <c r="E4854" s="6">
        <v>210.5</v>
      </c>
      <c r="F4854" s="11"/>
    </row>
    <row r="4855" spans="1:6">
      <c r="A4855" s="5" t="str">
        <f t="shared" si="84"/>
        <v>202318</v>
      </c>
      <c r="B4855" s="5" t="str">
        <f>"23085041509"</f>
        <v>23085041509</v>
      </c>
      <c r="C4855" s="6">
        <v>96</v>
      </c>
      <c r="D4855" s="6">
        <v>114.5</v>
      </c>
      <c r="E4855" s="6">
        <v>210.5</v>
      </c>
      <c r="F4855" s="11"/>
    </row>
    <row r="4856" spans="1:6">
      <c r="A4856" s="5" t="str">
        <f t="shared" si="84"/>
        <v>202318</v>
      </c>
      <c r="B4856" s="5" t="str">
        <f>"23085042120"</f>
        <v>23085042120</v>
      </c>
      <c r="C4856" s="6">
        <v>93</v>
      </c>
      <c r="D4856" s="6">
        <v>117.5</v>
      </c>
      <c r="E4856" s="6">
        <v>210.5</v>
      </c>
      <c r="F4856" s="11"/>
    </row>
    <row r="4857" spans="1:6">
      <c r="A4857" s="5" t="str">
        <f t="shared" si="84"/>
        <v>202318</v>
      </c>
      <c r="B4857" s="5" t="str">
        <f>"23085041226"</f>
        <v>23085041226</v>
      </c>
      <c r="C4857" s="6">
        <v>105</v>
      </c>
      <c r="D4857" s="6">
        <v>105.5</v>
      </c>
      <c r="E4857" s="6">
        <v>210.5</v>
      </c>
      <c r="F4857" s="11"/>
    </row>
    <row r="4858" spans="1:6">
      <c r="A4858" s="5" t="str">
        <f t="shared" si="84"/>
        <v>202318</v>
      </c>
      <c r="B4858" s="5" t="str">
        <f>"23085041208"</f>
        <v>23085041208</v>
      </c>
      <c r="C4858" s="6">
        <v>97.5</v>
      </c>
      <c r="D4858" s="6">
        <v>113</v>
      </c>
      <c r="E4858" s="6">
        <v>210.5</v>
      </c>
      <c r="F4858" s="11"/>
    </row>
    <row r="4859" spans="1:6">
      <c r="A4859" s="5" t="str">
        <f t="shared" si="84"/>
        <v>202318</v>
      </c>
      <c r="B4859" s="5" t="str">
        <f>"23085041029"</f>
        <v>23085041029</v>
      </c>
      <c r="C4859" s="6">
        <v>97.5</v>
      </c>
      <c r="D4859" s="6">
        <v>112.5</v>
      </c>
      <c r="E4859" s="6">
        <v>210</v>
      </c>
      <c r="F4859" s="11"/>
    </row>
    <row r="4860" spans="1:6">
      <c r="A4860" s="5" t="str">
        <f t="shared" si="84"/>
        <v>202318</v>
      </c>
      <c r="B4860" s="5" t="str">
        <f>"23085042304"</f>
        <v>23085042304</v>
      </c>
      <c r="C4860" s="6">
        <v>97.5</v>
      </c>
      <c r="D4860" s="6">
        <v>112.5</v>
      </c>
      <c r="E4860" s="6">
        <v>210</v>
      </c>
      <c r="F4860" s="11"/>
    </row>
    <row r="4861" spans="1:6">
      <c r="A4861" s="5" t="str">
        <f t="shared" si="84"/>
        <v>202318</v>
      </c>
      <c r="B4861" s="5" t="str">
        <f>"23085042720"</f>
        <v>23085042720</v>
      </c>
      <c r="C4861" s="6">
        <v>91.5</v>
      </c>
      <c r="D4861" s="6">
        <v>118.5</v>
      </c>
      <c r="E4861" s="6">
        <v>210</v>
      </c>
      <c r="F4861" s="11"/>
    </row>
    <row r="4862" spans="1:6">
      <c r="A4862" s="5" t="str">
        <f t="shared" ref="A4862:A4925" si="85">"202318"</f>
        <v>202318</v>
      </c>
      <c r="B4862" s="5" t="str">
        <f>"23085043115"</f>
        <v>23085043115</v>
      </c>
      <c r="C4862" s="6">
        <v>97.5</v>
      </c>
      <c r="D4862" s="6">
        <v>112.5</v>
      </c>
      <c r="E4862" s="6">
        <v>210</v>
      </c>
      <c r="F4862" s="11"/>
    </row>
    <row r="4863" spans="1:6">
      <c r="A4863" s="5" t="str">
        <f t="shared" si="85"/>
        <v>202318</v>
      </c>
      <c r="B4863" s="5" t="str">
        <f>"23085042708"</f>
        <v>23085042708</v>
      </c>
      <c r="C4863" s="6">
        <v>108</v>
      </c>
      <c r="D4863" s="6">
        <v>102</v>
      </c>
      <c r="E4863" s="6">
        <v>210</v>
      </c>
      <c r="F4863" s="11"/>
    </row>
    <row r="4864" spans="1:6">
      <c r="A4864" s="5" t="str">
        <f t="shared" si="85"/>
        <v>202318</v>
      </c>
      <c r="B4864" s="5" t="str">
        <f>"23085042820"</f>
        <v>23085042820</v>
      </c>
      <c r="C4864" s="6">
        <v>97.5</v>
      </c>
      <c r="D4864" s="6">
        <v>112.5</v>
      </c>
      <c r="E4864" s="6">
        <v>210</v>
      </c>
      <c r="F4864" s="11"/>
    </row>
    <row r="4865" spans="1:6">
      <c r="A4865" s="5" t="str">
        <f t="shared" si="85"/>
        <v>202318</v>
      </c>
      <c r="B4865" s="5" t="str">
        <f>"23085042711"</f>
        <v>23085042711</v>
      </c>
      <c r="C4865" s="6">
        <v>102</v>
      </c>
      <c r="D4865" s="6">
        <v>107.5</v>
      </c>
      <c r="E4865" s="6">
        <v>209.5</v>
      </c>
      <c r="F4865" s="11"/>
    </row>
    <row r="4866" spans="1:6">
      <c r="A4866" s="5" t="str">
        <f t="shared" si="85"/>
        <v>202318</v>
      </c>
      <c r="B4866" s="5" t="str">
        <f>"23085042618"</f>
        <v>23085042618</v>
      </c>
      <c r="C4866" s="6">
        <v>97.5</v>
      </c>
      <c r="D4866" s="6">
        <v>112</v>
      </c>
      <c r="E4866" s="6">
        <v>209.5</v>
      </c>
      <c r="F4866" s="11"/>
    </row>
    <row r="4867" spans="1:6">
      <c r="A4867" s="5" t="str">
        <f t="shared" si="85"/>
        <v>202318</v>
      </c>
      <c r="B4867" s="5" t="str">
        <f>"23085041526"</f>
        <v>23085041526</v>
      </c>
      <c r="C4867" s="6">
        <v>99</v>
      </c>
      <c r="D4867" s="6">
        <v>110.5</v>
      </c>
      <c r="E4867" s="6">
        <v>209.5</v>
      </c>
      <c r="F4867" s="11"/>
    </row>
    <row r="4868" spans="1:6">
      <c r="A4868" s="5" t="str">
        <f t="shared" si="85"/>
        <v>202318</v>
      </c>
      <c r="B4868" s="5" t="str">
        <f>"23085040708"</f>
        <v>23085040708</v>
      </c>
      <c r="C4868" s="6">
        <v>112.5</v>
      </c>
      <c r="D4868" s="6">
        <v>97</v>
      </c>
      <c r="E4868" s="6">
        <v>209.5</v>
      </c>
      <c r="F4868" s="11"/>
    </row>
    <row r="4869" spans="1:6">
      <c r="A4869" s="5" t="str">
        <f t="shared" si="85"/>
        <v>202318</v>
      </c>
      <c r="B4869" s="5" t="str">
        <f>"23085043030"</f>
        <v>23085043030</v>
      </c>
      <c r="C4869" s="6">
        <v>103.5</v>
      </c>
      <c r="D4869" s="6">
        <v>106</v>
      </c>
      <c r="E4869" s="6">
        <v>209.5</v>
      </c>
      <c r="F4869" s="11"/>
    </row>
    <row r="4870" spans="1:6">
      <c r="A4870" s="5" t="str">
        <f t="shared" si="85"/>
        <v>202318</v>
      </c>
      <c r="B4870" s="5" t="str">
        <f>"23085042016"</f>
        <v>23085042016</v>
      </c>
      <c r="C4870" s="6">
        <v>105</v>
      </c>
      <c r="D4870" s="6">
        <v>104.5</v>
      </c>
      <c r="E4870" s="6">
        <v>209.5</v>
      </c>
      <c r="F4870" s="11"/>
    </row>
    <row r="4871" spans="1:6">
      <c r="A4871" s="5" t="str">
        <f t="shared" si="85"/>
        <v>202318</v>
      </c>
      <c r="B4871" s="5" t="str">
        <f>"23085041618"</f>
        <v>23085041618</v>
      </c>
      <c r="C4871" s="6">
        <v>103.5</v>
      </c>
      <c r="D4871" s="6">
        <v>106</v>
      </c>
      <c r="E4871" s="6">
        <v>209.5</v>
      </c>
      <c r="F4871" s="11"/>
    </row>
    <row r="4872" spans="1:6">
      <c r="A4872" s="5" t="str">
        <f t="shared" si="85"/>
        <v>202318</v>
      </c>
      <c r="B4872" s="5" t="str">
        <f>"23085040706"</f>
        <v>23085040706</v>
      </c>
      <c r="C4872" s="6">
        <v>100.5</v>
      </c>
      <c r="D4872" s="6">
        <v>108.5</v>
      </c>
      <c r="E4872" s="6">
        <v>209</v>
      </c>
      <c r="F4872" s="11"/>
    </row>
    <row r="4873" spans="1:6">
      <c r="A4873" s="5" t="str">
        <f t="shared" si="85"/>
        <v>202318</v>
      </c>
      <c r="B4873" s="5" t="str">
        <f>"23085040807"</f>
        <v>23085040807</v>
      </c>
      <c r="C4873" s="6">
        <v>105</v>
      </c>
      <c r="D4873" s="6">
        <v>104</v>
      </c>
      <c r="E4873" s="6">
        <v>209</v>
      </c>
      <c r="F4873" s="11"/>
    </row>
    <row r="4874" spans="1:6">
      <c r="A4874" s="5" t="str">
        <f t="shared" si="85"/>
        <v>202318</v>
      </c>
      <c r="B4874" s="5" t="str">
        <f>"23085042014"</f>
        <v>23085042014</v>
      </c>
      <c r="C4874" s="6">
        <v>93</v>
      </c>
      <c r="D4874" s="6">
        <v>116</v>
      </c>
      <c r="E4874" s="6">
        <v>209</v>
      </c>
      <c r="F4874" s="11"/>
    </row>
    <row r="4875" spans="1:6">
      <c r="A4875" s="5" t="str">
        <f t="shared" si="85"/>
        <v>202318</v>
      </c>
      <c r="B4875" s="5" t="str">
        <f>"23085041115"</f>
        <v>23085041115</v>
      </c>
      <c r="C4875" s="6">
        <v>102</v>
      </c>
      <c r="D4875" s="6">
        <v>107</v>
      </c>
      <c r="E4875" s="6">
        <v>209</v>
      </c>
      <c r="F4875" s="11"/>
    </row>
    <row r="4876" spans="1:6">
      <c r="A4876" s="5" t="str">
        <f t="shared" si="85"/>
        <v>202318</v>
      </c>
      <c r="B4876" s="5" t="str">
        <f>"23085041414"</f>
        <v>23085041414</v>
      </c>
      <c r="C4876" s="6">
        <v>88.5</v>
      </c>
      <c r="D4876" s="6">
        <v>120.5</v>
      </c>
      <c r="E4876" s="6">
        <v>209</v>
      </c>
      <c r="F4876" s="11"/>
    </row>
    <row r="4877" spans="1:6">
      <c r="A4877" s="5" t="str">
        <f t="shared" si="85"/>
        <v>202318</v>
      </c>
      <c r="B4877" s="5" t="str">
        <f>"23085043113"</f>
        <v>23085043113</v>
      </c>
      <c r="C4877" s="6">
        <v>100.5</v>
      </c>
      <c r="D4877" s="6">
        <v>108.5</v>
      </c>
      <c r="E4877" s="6">
        <v>209</v>
      </c>
      <c r="F4877" s="11"/>
    </row>
    <row r="4878" spans="1:6">
      <c r="A4878" s="5" t="str">
        <f t="shared" si="85"/>
        <v>202318</v>
      </c>
      <c r="B4878" s="5" t="str">
        <f>"23085042217"</f>
        <v>23085042217</v>
      </c>
      <c r="C4878" s="6">
        <v>103.5</v>
      </c>
      <c r="D4878" s="6">
        <v>105</v>
      </c>
      <c r="E4878" s="6">
        <v>208.5</v>
      </c>
      <c r="F4878" s="11"/>
    </row>
    <row r="4879" spans="1:6">
      <c r="A4879" s="5" t="str">
        <f t="shared" si="85"/>
        <v>202318</v>
      </c>
      <c r="B4879" s="5" t="str">
        <f>"23085041409"</f>
        <v>23085041409</v>
      </c>
      <c r="C4879" s="6">
        <v>93</v>
      </c>
      <c r="D4879" s="6">
        <v>115.5</v>
      </c>
      <c r="E4879" s="6">
        <v>208.5</v>
      </c>
      <c r="F4879" s="11"/>
    </row>
    <row r="4880" spans="1:6">
      <c r="A4880" s="5" t="str">
        <f t="shared" si="85"/>
        <v>202318</v>
      </c>
      <c r="B4880" s="5" t="str">
        <f>"23085042926"</f>
        <v>23085042926</v>
      </c>
      <c r="C4880" s="6">
        <v>100.5</v>
      </c>
      <c r="D4880" s="6">
        <v>108</v>
      </c>
      <c r="E4880" s="6">
        <v>208.5</v>
      </c>
      <c r="F4880" s="11"/>
    </row>
    <row r="4881" spans="1:6">
      <c r="A4881" s="5" t="str">
        <f t="shared" si="85"/>
        <v>202318</v>
      </c>
      <c r="B4881" s="5" t="str">
        <f>"23085042517"</f>
        <v>23085042517</v>
      </c>
      <c r="C4881" s="6">
        <v>103.5</v>
      </c>
      <c r="D4881" s="6">
        <v>105</v>
      </c>
      <c r="E4881" s="6">
        <v>208.5</v>
      </c>
      <c r="F4881" s="11"/>
    </row>
    <row r="4882" spans="1:6">
      <c r="A4882" s="5" t="str">
        <f t="shared" si="85"/>
        <v>202318</v>
      </c>
      <c r="B4882" s="5" t="str">
        <f>"23085041211"</f>
        <v>23085041211</v>
      </c>
      <c r="C4882" s="6">
        <v>93</v>
      </c>
      <c r="D4882" s="6">
        <v>115.5</v>
      </c>
      <c r="E4882" s="6">
        <v>208.5</v>
      </c>
      <c r="F4882" s="11"/>
    </row>
    <row r="4883" spans="1:6">
      <c r="A4883" s="5" t="str">
        <f t="shared" si="85"/>
        <v>202318</v>
      </c>
      <c r="B4883" s="5" t="str">
        <f>"23085041507"</f>
        <v>23085041507</v>
      </c>
      <c r="C4883" s="6">
        <v>94.5</v>
      </c>
      <c r="D4883" s="6">
        <v>114</v>
      </c>
      <c r="E4883" s="6">
        <v>208.5</v>
      </c>
      <c r="F4883" s="11"/>
    </row>
    <row r="4884" spans="1:6">
      <c r="A4884" s="5" t="str">
        <f t="shared" si="85"/>
        <v>202318</v>
      </c>
      <c r="B4884" s="5" t="str">
        <f>"23085042527"</f>
        <v>23085042527</v>
      </c>
      <c r="C4884" s="6">
        <v>88.5</v>
      </c>
      <c r="D4884" s="6">
        <v>120</v>
      </c>
      <c r="E4884" s="6">
        <v>208.5</v>
      </c>
      <c r="F4884" s="11"/>
    </row>
    <row r="4885" spans="1:6">
      <c r="A4885" s="5" t="str">
        <f t="shared" si="85"/>
        <v>202318</v>
      </c>
      <c r="B4885" s="5" t="str">
        <f>"23085041902"</f>
        <v>23085041902</v>
      </c>
      <c r="C4885" s="6">
        <v>93</v>
      </c>
      <c r="D4885" s="6">
        <v>115.5</v>
      </c>
      <c r="E4885" s="6">
        <v>208.5</v>
      </c>
      <c r="F4885" s="11"/>
    </row>
    <row r="4886" spans="1:6">
      <c r="A4886" s="5" t="str">
        <f t="shared" si="85"/>
        <v>202318</v>
      </c>
      <c r="B4886" s="5" t="str">
        <f>"23085041023"</f>
        <v>23085041023</v>
      </c>
      <c r="C4886" s="6">
        <v>90</v>
      </c>
      <c r="D4886" s="6">
        <v>118.5</v>
      </c>
      <c r="E4886" s="6">
        <v>208.5</v>
      </c>
      <c r="F4886" s="11"/>
    </row>
    <row r="4887" spans="1:6">
      <c r="A4887" s="5" t="str">
        <f t="shared" si="85"/>
        <v>202318</v>
      </c>
      <c r="B4887" s="5" t="str">
        <f>"23085043020"</f>
        <v>23085043020</v>
      </c>
      <c r="C4887" s="6">
        <v>88.5</v>
      </c>
      <c r="D4887" s="6">
        <v>120</v>
      </c>
      <c r="E4887" s="6">
        <v>208.5</v>
      </c>
      <c r="F4887" s="11"/>
    </row>
    <row r="4888" spans="1:6">
      <c r="A4888" s="5" t="str">
        <f t="shared" si="85"/>
        <v>202318</v>
      </c>
      <c r="B4888" s="5" t="str">
        <f>"23085041719"</f>
        <v>23085041719</v>
      </c>
      <c r="C4888" s="6">
        <v>100.5</v>
      </c>
      <c r="D4888" s="6">
        <v>107.5</v>
      </c>
      <c r="E4888" s="6">
        <v>208</v>
      </c>
      <c r="F4888" s="11"/>
    </row>
    <row r="4889" spans="1:6">
      <c r="A4889" s="5" t="str">
        <f t="shared" si="85"/>
        <v>202318</v>
      </c>
      <c r="B4889" s="5" t="str">
        <f>"23085042004"</f>
        <v>23085042004</v>
      </c>
      <c r="C4889" s="6">
        <v>91.5</v>
      </c>
      <c r="D4889" s="6">
        <v>116.5</v>
      </c>
      <c r="E4889" s="6">
        <v>208</v>
      </c>
      <c r="F4889" s="11"/>
    </row>
    <row r="4890" spans="1:6">
      <c r="A4890" s="5" t="str">
        <f t="shared" si="85"/>
        <v>202318</v>
      </c>
      <c r="B4890" s="5" t="str">
        <f>"23085041204"</f>
        <v>23085041204</v>
      </c>
      <c r="C4890" s="6">
        <v>88.5</v>
      </c>
      <c r="D4890" s="6">
        <v>119.5</v>
      </c>
      <c r="E4890" s="6">
        <v>208</v>
      </c>
      <c r="F4890" s="11"/>
    </row>
    <row r="4891" spans="1:6">
      <c r="A4891" s="5" t="str">
        <f t="shared" si="85"/>
        <v>202318</v>
      </c>
      <c r="B4891" s="5" t="str">
        <f>"23085043102"</f>
        <v>23085043102</v>
      </c>
      <c r="C4891" s="6">
        <v>91.5</v>
      </c>
      <c r="D4891" s="6">
        <v>116.5</v>
      </c>
      <c r="E4891" s="6">
        <v>208</v>
      </c>
      <c r="F4891" s="11"/>
    </row>
    <row r="4892" spans="1:6">
      <c r="A4892" s="5" t="str">
        <f t="shared" si="85"/>
        <v>202318</v>
      </c>
      <c r="B4892" s="5" t="str">
        <f>"23085041728"</f>
        <v>23085041728</v>
      </c>
      <c r="C4892" s="6">
        <v>105</v>
      </c>
      <c r="D4892" s="6">
        <v>103</v>
      </c>
      <c r="E4892" s="6">
        <v>208</v>
      </c>
      <c r="F4892" s="11"/>
    </row>
    <row r="4893" spans="1:6">
      <c r="A4893" s="5" t="str">
        <f t="shared" si="85"/>
        <v>202318</v>
      </c>
      <c r="B4893" s="5" t="str">
        <f>"23085041602"</f>
        <v>23085041602</v>
      </c>
      <c r="C4893" s="6">
        <v>97.5</v>
      </c>
      <c r="D4893" s="6">
        <v>110.5</v>
      </c>
      <c r="E4893" s="6">
        <v>208</v>
      </c>
      <c r="F4893" s="11"/>
    </row>
    <row r="4894" spans="1:6">
      <c r="A4894" s="5" t="str">
        <f t="shared" si="85"/>
        <v>202318</v>
      </c>
      <c r="B4894" s="5" t="str">
        <f>"23085041521"</f>
        <v>23085041521</v>
      </c>
      <c r="C4894" s="6">
        <v>88.5</v>
      </c>
      <c r="D4894" s="6">
        <v>119.5</v>
      </c>
      <c r="E4894" s="6">
        <v>208</v>
      </c>
      <c r="F4894" s="11"/>
    </row>
    <row r="4895" spans="1:6">
      <c r="A4895" s="5" t="str">
        <f t="shared" si="85"/>
        <v>202318</v>
      </c>
      <c r="B4895" s="5" t="str">
        <f>"23085042305"</f>
        <v>23085042305</v>
      </c>
      <c r="C4895" s="6">
        <v>94.5</v>
      </c>
      <c r="D4895" s="6">
        <v>113</v>
      </c>
      <c r="E4895" s="6">
        <v>207.5</v>
      </c>
      <c r="F4895" s="11"/>
    </row>
    <row r="4896" spans="1:6">
      <c r="A4896" s="5" t="str">
        <f t="shared" si="85"/>
        <v>202318</v>
      </c>
      <c r="B4896" s="5" t="str">
        <f>"23085043023"</f>
        <v>23085043023</v>
      </c>
      <c r="C4896" s="6">
        <v>96</v>
      </c>
      <c r="D4896" s="6">
        <v>111.5</v>
      </c>
      <c r="E4896" s="6">
        <v>207.5</v>
      </c>
      <c r="F4896" s="11"/>
    </row>
    <row r="4897" spans="1:6">
      <c r="A4897" s="5" t="str">
        <f t="shared" si="85"/>
        <v>202318</v>
      </c>
      <c r="B4897" s="5" t="str">
        <f>"23085041101"</f>
        <v>23085041101</v>
      </c>
      <c r="C4897" s="6">
        <v>99</v>
      </c>
      <c r="D4897" s="6">
        <v>108.5</v>
      </c>
      <c r="E4897" s="6">
        <v>207.5</v>
      </c>
      <c r="F4897" s="11"/>
    </row>
    <row r="4898" spans="1:6">
      <c r="A4898" s="5" t="str">
        <f t="shared" si="85"/>
        <v>202318</v>
      </c>
      <c r="B4898" s="5" t="str">
        <f>"23085041323"</f>
        <v>23085041323</v>
      </c>
      <c r="C4898" s="6">
        <v>97.5</v>
      </c>
      <c r="D4898" s="6">
        <v>110</v>
      </c>
      <c r="E4898" s="6">
        <v>207.5</v>
      </c>
      <c r="F4898" s="11"/>
    </row>
    <row r="4899" spans="1:6">
      <c r="A4899" s="5" t="str">
        <f t="shared" si="85"/>
        <v>202318</v>
      </c>
      <c r="B4899" s="5" t="str">
        <f>"23085041523"</f>
        <v>23085041523</v>
      </c>
      <c r="C4899" s="6">
        <v>93</v>
      </c>
      <c r="D4899" s="6">
        <v>114</v>
      </c>
      <c r="E4899" s="6">
        <v>207</v>
      </c>
      <c r="F4899" s="11"/>
    </row>
    <row r="4900" spans="1:6">
      <c r="A4900" s="5" t="str">
        <f t="shared" si="85"/>
        <v>202318</v>
      </c>
      <c r="B4900" s="5" t="str">
        <f>"23085042903"</f>
        <v>23085042903</v>
      </c>
      <c r="C4900" s="6">
        <v>90</v>
      </c>
      <c r="D4900" s="6">
        <v>117</v>
      </c>
      <c r="E4900" s="6">
        <v>207</v>
      </c>
      <c r="F4900" s="11"/>
    </row>
    <row r="4901" spans="1:6">
      <c r="A4901" s="5" t="str">
        <f t="shared" si="85"/>
        <v>202318</v>
      </c>
      <c r="B4901" s="5" t="str">
        <f>"23085041018"</f>
        <v>23085041018</v>
      </c>
      <c r="C4901" s="6">
        <v>93</v>
      </c>
      <c r="D4901" s="6">
        <v>114</v>
      </c>
      <c r="E4901" s="6">
        <v>207</v>
      </c>
      <c r="F4901" s="11"/>
    </row>
    <row r="4902" spans="1:6">
      <c r="A4902" s="5" t="str">
        <f t="shared" si="85"/>
        <v>202318</v>
      </c>
      <c r="B4902" s="5" t="str">
        <f>"23085041801"</f>
        <v>23085041801</v>
      </c>
      <c r="C4902" s="6">
        <v>102</v>
      </c>
      <c r="D4902" s="6">
        <v>105</v>
      </c>
      <c r="E4902" s="6">
        <v>207</v>
      </c>
      <c r="F4902" s="11"/>
    </row>
    <row r="4903" spans="1:6">
      <c r="A4903" s="5" t="str">
        <f t="shared" si="85"/>
        <v>202318</v>
      </c>
      <c r="B4903" s="5" t="str">
        <f>"23085041318"</f>
        <v>23085041318</v>
      </c>
      <c r="C4903" s="6">
        <v>91.5</v>
      </c>
      <c r="D4903" s="6">
        <v>115.5</v>
      </c>
      <c r="E4903" s="6">
        <v>207</v>
      </c>
      <c r="F4903" s="11"/>
    </row>
    <row r="4904" spans="1:6">
      <c r="A4904" s="5" t="str">
        <f t="shared" si="85"/>
        <v>202318</v>
      </c>
      <c r="B4904" s="5" t="str">
        <f>"23085042504"</f>
        <v>23085042504</v>
      </c>
      <c r="C4904" s="6">
        <v>94.5</v>
      </c>
      <c r="D4904" s="6">
        <v>112.5</v>
      </c>
      <c r="E4904" s="6">
        <v>207</v>
      </c>
      <c r="F4904" s="11"/>
    </row>
    <row r="4905" spans="1:6">
      <c r="A4905" s="5" t="str">
        <f t="shared" si="85"/>
        <v>202318</v>
      </c>
      <c r="B4905" s="5" t="str">
        <f>"23085041906"</f>
        <v>23085041906</v>
      </c>
      <c r="C4905" s="6">
        <v>94.5</v>
      </c>
      <c r="D4905" s="6">
        <v>112.5</v>
      </c>
      <c r="E4905" s="6">
        <v>207</v>
      </c>
      <c r="F4905" s="11"/>
    </row>
    <row r="4906" spans="1:6">
      <c r="A4906" s="5" t="str">
        <f t="shared" si="85"/>
        <v>202318</v>
      </c>
      <c r="B4906" s="5" t="str">
        <f>"23085043203"</f>
        <v>23085043203</v>
      </c>
      <c r="C4906" s="6">
        <v>102</v>
      </c>
      <c r="D4906" s="6">
        <v>105</v>
      </c>
      <c r="E4906" s="6">
        <v>207</v>
      </c>
      <c r="F4906" s="11"/>
    </row>
    <row r="4907" spans="1:6">
      <c r="A4907" s="5" t="str">
        <f t="shared" si="85"/>
        <v>202318</v>
      </c>
      <c r="B4907" s="5" t="str">
        <f>"23085041929"</f>
        <v>23085041929</v>
      </c>
      <c r="C4907" s="6">
        <v>93</v>
      </c>
      <c r="D4907" s="6">
        <v>113.5</v>
      </c>
      <c r="E4907" s="6">
        <v>206.5</v>
      </c>
      <c r="F4907" s="11"/>
    </row>
    <row r="4908" spans="1:6">
      <c r="A4908" s="5" t="str">
        <f t="shared" si="85"/>
        <v>202318</v>
      </c>
      <c r="B4908" s="5" t="str">
        <f>"23085042417"</f>
        <v>23085042417</v>
      </c>
      <c r="C4908" s="6">
        <v>96</v>
      </c>
      <c r="D4908" s="6">
        <v>110.5</v>
      </c>
      <c r="E4908" s="6">
        <v>206.5</v>
      </c>
      <c r="F4908" s="11"/>
    </row>
    <row r="4909" spans="1:6">
      <c r="A4909" s="5" t="str">
        <f t="shared" si="85"/>
        <v>202318</v>
      </c>
      <c r="B4909" s="5" t="str">
        <f>"23085042321"</f>
        <v>23085042321</v>
      </c>
      <c r="C4909" s="6">
        <v>88.5</v>
      </c>
      <c r="D4909" s="6">
        <v>118</v>
      </c>
      <c r="E4909" s="6">
        <v>206.5</v>
      </c>
      <c r="F4909" s="11"/>
    </row>
    <row r="4910" spans="1:6">
      <c r="A4910" s="5" t="str">
        <f t="shared" si="85"/>
        <v>202318</v>
      </c>
      <c r="B4910" s="5" t="str">
        <f>"23085041821"</f>
        <v>23085041821</v>
      </c>
      <c r="C4910" s="6">
        <v>103.5</v>
      </c>
      <c r="D4910" s="6">
        <v>103</v>
      </c>
      <c r="E4910" s="6">
        <v>206.5</v>
      </c>
      <c r="F4910" s="11"/>
    </row>
    <row r="4911" spans="1:6">
      <c r="A4911" s="5" t="str">
        <f t="shared" si="85"/>
        <v>202318</v>
      </c>
      <c r="B4911" s="5" t="str">
        <f>"23085042405"</f>
        <v>23085042405</v>
      </c>
      <c r="C4911" s="6">
        <v>100.5</v>
      </c>
      <c r="D4911" s="6">
        <v>106</v>
      </c>
      <c r="E4911" s="6">
        <v>206.5</v>
      </c>
      <c r="F4911" s="11"/>
    </row>
    <row r="4912" spans="1:6">
      <c r="A4912" s="5" t="str">
        <f t="shared" si="85"/>
        <v>202318</v>
      </c>
      <c r="B4912" s="5" t="str">
        <f>"23085041205"</f>
        <v>23085041205</v>
      </c>
      <c r="C4912" s="6">
        <v>93</v>
      </c>
      <c r="D4912" s="6">
        <v>113</v>
      </c>
      <c r="E4912" s="6">
        <v>206</v>
      </c>
      <c r="F4912" s="11"/>
    </row>
    <row r="4913" spans="1:6">
      <c r="A4913" s="5" t="str">
        <f t="shared" si="85"/>
        <v>202318</v>
      </c>
      <c r="B4913" s="5" t="str">
        <f>"23085041920"</f>
        <v>23085041920</v>
      </c>
      <c r="C4913" s="6">
        <v>90</v>
      </c>
      <c r="D4913" s="6">
        <v>116</v>
      </c>
      <c r="E4913" s="6">
        <v>206</v>
      </c>
      <c r="F4913" s="11"/>
    </row>
    <row r="4914" spans="1:6">
      <c r="A4914" s="5" t="str">
        <f t="shared" si="85"/>
        <v>202318</v>
      </c>
      <c r="B4914" s="5" t="str">
        <f>"23085040817"</f>
        <v>23085040817</v>
      </c>
      <c r="C4914" s="6">
        <v>93</v>
      </c>
      <c r="D4914" s="6">
        <v>113</v>
      </c>
      <c r="E4914" s="6">
        <v>206</v>
      </c>
      <c r="F4914" s="11"/>
    </row>
    <row r="4915" spans="1:6">
      <c r="A4915" s="5" t="str">
        <f t="shared" si="85"/>
        <v>202318</v>
      </c>
      <c r="B4915" s="5" t="str">
        <f>"23085042501"</f>
        <v>23085042501</v>
      </c>
      <c r="C4915" s="6">
        <v>91.5</v>
      </c>
      <c r="D4915" s="6">
        <v>114.5</v>
      </c>
      <c r="E4915" s="6">
        <v>206</v>
      </c>
      <c r="F4915" s="11"/>
    </row>
    <row r="4916" spans="1:6">
      <c r="A4916" s="5" t="str">
        <f t="shared" si="85"/>
        <v>202318</v>
      </c>
      <c r="B4916" s="5" t="str">
        <f>"23085041806"</f>
        <v>23085041806</v>
      </c>
      <c r="C4916" s="6">
        <v>87</v>
      </c>
      <c r="D4916" s="6">
        <v>119</v>
      </c>
      <c r="E4916" s="6">
        <v>206</v>
      </c>
      <c r="F4916" s="11"/>
    </row>
    <row r="4917" spans="1:6">
      <c r="A4917" s="5" t="str">
        <f t="shared" si="85"/>
        <v>202318</v>
      </c>
      <c r="B4917" s="5" t="str">
        <f>"23085042529"</f>
        <v>23085042529</v>
      </c>
      <c r="C4917" s="6">
        <v>103.5</v>
      </c>
      <c r="D4917" s="6">
        <v>102</v>
      </c>
      <c r="E4917" s="6">
        <v>205.5</v>
      </c>
      <c r="F4917" s="11"/>
    </row>
    <row r="4918" spans="1:6">
      <c r="A4918" s="5" t="str">
        <f t="shared" si="85"/>
        <v>202318</v>
      </c>
      <c r="B4918" s="5" t="str">
        <f>"23085040904"</f>
        <v>23085040904</v>
      </c>
      <c r="C4918" s="6">
        <v>88.5</v>
      </c>
      <c r="D4918" s="6">
        <v>117</v>
      </c>
      <c r="E4918" s="6">
        <v>205.5</v>
      </c>
      <c r="F4918" s="11"/>
    </row>
    <row r="4919" spans="1:6">
      <c r="A4919" s="5" t="str">
        <f t="shared" si="85"/>
        <v>202318</v>
      </c>
      <c r="B4919" s="5" t="str">
        <f>"23085041214"</f>
        <v>23085041214</v>
      </c>
      <c r="C4919" s="6">
        <v>93</v>
      </c>
      <c r="D4919" s="6">
        <v>112.5</v>
      </c>
      <c r="E4919" s="6">
        <v>205.5</v>
      </c>
      <c r="F4919" s="11"/>
    </row>
    <row r="4920" spans="1:6">
      <c r="A4920" s="5" t="str">
        <f t="shared" si="85"/>
        <v>202318</v>
      </c>
      <c r="B4920" s="5" t="str">
        <f>"23085041714"</f>
        <v>23085041714</v>
      </c>
      <c r="C4920" s="6">
        <v>84</v>
      </c>
      <c r="D4920" s="6">
        <v>121.5</v>
      </c>
      <c r="E4920" s="6">
        <v>205.5</v>
      </c>
      <c r="F4920" s="11"/>
    </row>
    <row r="4921" spans="1:6">
      <c r="A4921" s="5" t="str">
        <f t="shared" si="85"/>
        <v>202318</v>
      </c>
      <c r="B4921" s="5" t="str">
        <f>"23085040724"</f>
        <v>23085040724</v>
      </c>
      <c r="C4921" s="6">
        <v>102</v>
      </c>
      <c r="D4921" s="6">
        <v>103.5</v>
      </c>
      <c r="E4921" s="6">
        <v>205.5</v>
      </c>
      <c r="F4921" s="11"/>
    </row>
    <row r="4922" spans="1:6">
      <c r="A4922" s="5" t="str">
        <f t="shared" si="85"/>
        <v>202318</v>
      </c>
      <c r="B4922" s="5" t="str">
        <f>"23085041422"</f>
        <v>23085041422</v>
      </c>
      <c r="C4922" s="6">
        <v>96</v>
      </c>
      <c r="D4922" s="6">
        <v>109.5</v>
      </c>
      <c r="E4922" s="6">
        <v>205.5</v>
      </c>
      <c r="F4922" s="11"/>
    </row>
    <row r="4923" spans="1:6">
      <c r="A4923" s="5" t="str">
        <f t="shared" si="85"/>
        <v>202318</v>
      </c>
      <c r="B4923" s="5" t="str">
        <f>"23085040710"</f>
        <v>23085040710</v>
      </c>
      <c r="C4923" s="6">
        <v>99</v>
      </c>
      <c r="D4923" s="6">
        <v>106.5</v>
      </c>
      <c r="E4923" s="6">
        <v>205.5</v>
      </c>
      <c r="F4923" s="11"/>
    </row>
    <row r="4924" spans="1:6">
      <c r="A4924" s="5" t="str">
        <f t="shared" si="85"/>
        <v>202318</v>
      </c>
      <c r="B4924" s="5" t="str">
        <f>"23085040715"</f>
        <v>23085040715</v>
      </c>
      <c r="C4924" s="6">
        <v>88.5</v>
      </c>
      <c r="D4924" s="6">
        <v>117</v>
      </c>
      <c r="E4924" s="6">
        <v>205.5</v>
      </c>
      <c r="F4924" s="11"/>
    </row>
    <row r="4925" spans="1:6">
      <c r="A4925" s="5" t="str">
        <f t="shared" si="85"/>
        <v>202318</v>
      </c>
      <c r="B4925" s="5" t="str">
        <f>"23085041107"</f>
        <v>23085041107</v>
      </c>
      <c r="C4925" s="6">
        <v>85.5</v>
      </c>
      <c r="D4925" s="6">
        <v>120</v>
      </c>
      <c r="E4925" s="6">
        <v>205.5</v>
      </c>
      <c r="F4925" s="11"/>
    </row>
    <row r="4926" spans="1:6">
      <c r="A4926" s="5" t="str">
        <f t="shared" ref="A4926:A4989" si="86">"202318"</f>
        <v>202318</v>
      </c>
      <c r="B4926" s="5" t="str">
        <f>"23085040728"</f>
        <v>23085040728</v>
      </c>
      <c r="C4926" s="6">
        <v>84</v>
      </c>
      <c r="D4926" s="6">
        <v>121.5</v>
      </c>
      <c r="E4926" s="6">
        <v>205.5</v>
      </c>
      <c r="F4926" s="11"/>
    </row>
    <row r="4927" spans="1:6">
      <c r="A4927" s="5" t="str">
        <f t="shared" si="86"/>
        <v>202318</v>
      </c>
      <c r="B4927" s="5" t="str">
        <f>"23085041407"</f>
        <v>23085041407</v>
      </c>
      <c r="C4927" s="6">
        <v>94.5</v>
      </c>
      <c r="D4927" s="6">
        <v>110.5</v>
      </c>
      <c r="E4927" s="6">
        <v>205</v>
      </c>
      <c r="F4927" s="11"/>
    </row>
    <row r="4928" spans="1:6">
      <c r="A4928" s="5" t="str">
        <f t="shared" si="86"/>
        <v>202318</v>
      </c>
      <c r="B4928" s="5" t="str">
        <f>"23085043108"</f>
        <v>23085043108</v>
      </c>
      <c r="C4928" s="6">
        <v>97.5</v>
      </c>
      <c r="D4928" s="6">
        <v>107.5</v>
      </c>
      <c r="E4928" s="6">
        <v>205</v>
      </c>
      <c r="F4928" s="11"/>
    </row>
    <row r="4929" spans="1:6">
      <c r="A4929" s="5" t="str">
        <f t="shared" si="86"/>
        <v>202318</v>
      </c>
      <c r="B4929" s="5" t="str">
        <f>"23085042616"</f>
        <v>23085042616</v>
      </c>
      <c r="C4929" s="6">
        <v>87</v>
      </c>
      <c r="D4929" s="6">
        <v>118</v>
      </c>
      <c r="E4929" s="6">
        <v>205</v>
      </c>
      <c r="F4929" s="11"/>
    </row>
    <row r="4930" spans="1:6">
      <c r="A4930" s="5" t="str">
        <f t="shared" si="86"/>
        <v>202318</v>
      </c>
      <c r="B4930" s="5" t="str">
        <f>"23085042829"</f>
        <v>23085042829</v>
      </c>
      <c r="C4930" s="6">
        <v>96</v>
      </c>
      <c r="D4930" s="6">
        <v>109</v>
      </c>
      <c r="E4930" s="6">
        <v>205</v>
      </c>
      <c r="F4930" s="11"/>
    </row>
    <row r="4931" spans="1:6">
      <c r="A4931" s="5" t="str">
        <f t="shared" si="86"/>
        <v>202318</v>
      </c>
      <c r="B4931" s="5" t="str">
        <f>"23085041907"</f>
        <v>23085041907</v>
      </c>
      <c r="C4931" s="6">
        <v>91.5</v>
      </c>
      <c r="D4931" s="6">
        <v>113.5</v>
      </c>
      <c r="E4931" s="6">
        <v>205</v>
      </c>
      <c r="F4931" s="11"/>
    </row>
    <row r="4932" spans="1:6">
      <c r="A4932" s="5" t="str">
        <f t="shared" si="86"/>
        <v>202318</v>
      </c>
      <c r="B4932" s="5" t="str">
        <f>"23085042726"</f>
        <v>23085042726</v>
      </c>
      <c r="C4932" s="6">
        <v>100.5</v>
      </c>
      <c r="D4932" s="6">
        <v>104</v>
      </c>
      <c r="E4932" s="6">
        <v>204.5</v>
      </c>
      <c r="F4932" s="11"/>
    </row>
    <row r="4933" spans="1:6">
      <c r="A4933" s="5" t="str">
        <f t="shared" si="86"/>
        <v>202318</v>
      </c>
      <c r="B4933" s="5" t="str">
        <f>"23085042717"</f>
        <v>23085042717</v>
      </c>
      <c r="C4933" s="6">
        <v>90</v>
      </c>
      <c r="D4933" s="6">
        <v>114.5</v>
      </c>
      <c r="E4933" s="6">
        <v>204.5</v>
      </c>
      <c r="F4933" s="11"/>
    </row>
    <row r="4934" spans="1:6">
      <c r="A4934" s="5" t="str">
        <f t="shared" si="86"/>
        <v>202318</v>
      </c>
      <c r="B4934" s="5" t="str">
        <f>"23085042001"</f>
        <v>23085042001</v>
      </c>
      <c r="C4934" s="6">
        <v>94.5</v>
      </c>
      <c r="D4934" s="6">
        <v>110</v>
      </c>
      <c r="E4934" s="6">
        <v>204.5</v>
      </c>
      <c r="F4934" s="11"/>
    </row>
    <row r="4935" spans="1:6">
      <c r="A4935" s="5" t="str">
        <f t="shared" si="86"/>
        <v>202318</v>
      </c>
      <c r="B4935" s="5" t="str">
        <f>"23085042207"</f>
        <v>23085042207</v>
      </c>
      <c r="C4935" s="6">
        <v>87</v>
      </c>
      <c r="D4935" s="6">
        <v>117.5</v>
      </c>
      <c r="E4935" s="6">
        <v>204.5</v>
      </c>
      <c r="F4935" s="11"/>
    </row>
    <row r="4936" spans="1:6">
      <c r="A4936" s="5" t="str">
        <f t="shared" si="86"/>
        <v>202318</v>
      </c>
      <c r="B4936" s="5" t="str">
        <f>"23085040902"</f>
        <v>23085040902</v>
      </c>
      <c r="C4936" s="6">
        <v>88.5</v>
      </c>
      <c r="D4936" s="6">
        <v>116</v>
      </c>
      <c r="E4936" s="6">
        <v>204.5</v>
      </c>
      <c r="F4936" s="11"/>
    </row>
    <row r="4937" spans="1:6">
      <c r="A4937" s="5" t="str">
        <f t="shared" si="86"/>
        <v>202318</v>
      </c>
      <c r="B4937" s="5" t="str">
        <f>"23085042026"</f>
        <v>23085042026</v>
      </c>
      <c r="C4937" s="6">
        <v>87</v>
      </c>
      <c r="D4937" s="6">
        <v>117.5</v>
      </c>
      <c r="E4937" s="6">
        <v>204.5</v>
      </c>
      <c r="F4937" s="11"/>
    </row>
    <row r="4938" spans="1:6">
      <c r="A4938" s="5" t="str">
        <f t="shared" si="86"/>
        <v>202318</v>
      </c>
      <c r="B4938" s="5" t="str">
        <f>"23085041516"</f>
        <v>23085041516</v>
      </c>
      <c r="C4938" s="6">
        <v>93</v>
      </c>
      <c r="D4938" s="6">
        <v>111.5</v>
      </c>
      <c r="E4938" s="6">
        <v>204.5</v>
      </c>
      <c r="F4938" s="11"/>
    </row>
    <row r="4939" spans="1:6">
      <c r="A4939" s="5" t="str">
        <f t="shared" si="86"/>
        <v>202318</v>
      </c>
      <c r="B4939" s="5" t="str">
        <f>"23085041121"</f>
        <v>23085041121</v>
      </c>
      <c r="C4939" s="6">
        <v>85.5</v>
      </c>
      <c r="D4939" s="6">
        <v>119</v>
      </c>
      <c r="E4939" s="6">
        <v>204.5</v>
      </c>
      <c r="F4939" s="11"/>
    </row>
    <row r="4940" spans="1:6">
      <c r="A4940" s="5" t="str">
        <f t="shared" si="86"/>
        <v>202318</v>
      </c>
      <c r="B4940" s="5" t="str">
        <f>"23085042611"</f>
        <v>23085042611</v>
      </c>
      <c r="C4940" s="6">
        <v>94.5</v>
      </c>
      <c r="D4940" s="6">
        <v>109.5</v>
      </c>
      <c r="E4940" s="6">
        <v>204</v>
      </c>
      <c r="F4940" s="11"/>
    </row>
    <row r="4941" spans="1:6">
      <c r="A4941" s="5" t="str">
        <f t="shared" si="86"/>
        <v>202318</v>
      </c>
      <c r="B4941" s="5" t="str">
        <f>"23085041030"</f>
        <v>23085041030</v>
      </c>
      <c r="C4941" s="6">
        <v>97.5</v>
      </c>
      <c r="D4941" s="6">
        <v>106.5</v>
      </c>
      <c r="E4941" s="6">
        <v>204</v>
      </c>
      <c r="F4941" s="11"/>
    </row>
    <row r="4942" spans="1:6">
      <c r="A4942" s="5" t="str">
        <f t="shared" si="86"/>
        <v>202318</v>
      </c>
      <c r="B4942" s="5" t="str">
        <f>"23085042115"</f>
        <v>23085042115</v>
      </c>
      <c r="C4942" s="6">
        <v>91.5</v>
      </c>
      <c r="D4942" s="6">
        <v>112.5</v>
      </c>
      <c r="E4942" s="6">
        <v>204</v>
      </c>
      <c r="F4942" s="11"/>
    </row>
    <row r="4943" spans="1:6">
      <c r="A4943" s="5" t="str">
        <f t="shared" si="86"/>
        <v>202318</v>
      </c>
      <c r="B4943" s="5" t="str">
        <f>"23085042802"</f>
        <v>23085042802</v>
      </c>
      <c r="C4943" s="6">
        <v>91.5</v>
      </c>
      <c r="D4943" s="6">
        <v>112.5</v>
      </c>
      <c r="E4943" s="6">
        <v>204</v>
      </c>
      <c r="F4943" s="11"/>
    </row>
    <row r="4944" spans="1:6">
      <c r="A4944" s="5" t="str">
        <f t="shared" si="86"/>
        <v>202318</v>
      </c>
      <c r="B4944" s="5" t="str">
        <f>"23085042606"</f>
        <v>23085042606</v>
      </c>
      <c r="C4944" s="6">
        <v>84</v>
      </c>
      <c r="D4944" s="6">
        <v>120</v>
      </c>
      <c r="E4944" s="6">
        <v>204</v>
      </c>
      <c r="F4944" s="11"/>
    </row>
    <row r="4945" spans="1:6">
      <c r="A4945" s="5" t="str">
        <f t="shared" si="86"/>
        <v>202318</v>
      </c>
      <c r="B4945" s="5" t="str">
        <f>"23085042104"</f>
        <v>23085042104</v>
      </c>
      <c r="C4945" s="6">
        <v>91.5</v>
      </c>
      <c r="D4945" s="6">
        <v>112.5</v>
      </c>
      <c r="E4945" s="6">
        <v>204</v>
      </c>
      <c r="F4945" s="11"/>
    </row>
    <row r="4946" spans="1:6">
      <c r="A4946" s="5" t="str">
        <f t="shared" si="86"/>
        <v>202318</v>
      </c>
      <c r="B4946" s="5" t="str">
        <f>"23085042505"</f>
        <v>23085042505</v>
      </c>
      <c r="C4946" s="6">
        <v>99</v>
      </c>
      <c r="D4946" s="6">
        <v>105</v>
      </c>
      <c r="E4946" s="6">
        <v>204</v>
      </c>
      <c r="F4946" s="11"/>
    </row>
    <row r="4947" spans="1:6">
      <c r="A4947" s="5" t="str">
        <f t="shared" si="86"/>
        <v>202318</v>
      </c>
      <c r="B4947" s="5" t="str">
        <f>"23085042023"</f>
        <v>23085042023</v>
      </c>
      <c r="C4947" s="6">
        <v>96</v>
      </c>
      <c r="D4947" s="6">
        <v>108</v>
      </c>
      <c r="E4947" s="6">
        <v>204</v>
      </c>
      <c r="F4947" s="11"/>
    </row>
    <row r="4948" spans="1:6">
      <c r="A4948" s="5" t="str">
        <f t="shared" si="86"/>
        <v>202318</v>
      </c>
      <c r="B4948" s="5" t="str">
        <f>"23085041411"</f>
        <v>23085041411</v>
      </c>
      <c r="C4948" s="6">
        <v>87</v>
      </c>
      <c r="D4948" s="6">
        <v>117</v>
      </c>
      <c r="E4948" s="6">
        <v>204</v>
      </c>
      <c r="F4948" s="11"/>
    </row>
    <row r="4949" spans="1:6">
      <c r="A4949" s="5" t="str">
        <f t="shared" si="86"/>
        <v>202318</v>
      </c>
      <c r="B4949" s="5" t="str">
        <f>"23085042113"</f>
        <v>23085042113</v>
      </c>
      <c r="C4949" s="6">
        <v>87</v>
      </c>
      <c r="D4949" s="6">
        <v>116.5</v>
      </c>
      <c r="E4949" s="6">
        <v>203.5</v>
      </c>
      <c r="F4949" s="11"/>
    </row>
    <row r="4950" spans="1:6">
      <c r="A4950" s="5" t="str">
        <f t="shared" si="86"/>
        <v>202318</v>
      </c>
      <c r="B4950" s="5" t="str">
        <f>"23085041925"</f>
        <v>23085041925</v>
      </c>
      <c r="C4950" s="6">
        <v>87</v>
      </c>
      <c r="D4950" s="6">
        <v>116.5</v>
      </c>
      <c r="E4950" s="6">
        <v>203.5</v>
      </c>
      <c r="F4950" s="11"/>
    </row>
    <row r="4951" spans="1:6">
      <c r="A4951" s="5" t="str">
        <f t="shared" si="86"/>
        <v>202318</v>
      </c>
      <c r="B4951" s="5" t="str">
        <f>"23085043210"</f>
        <v>23085043210</v>
      </c>
      <c r="C4951" s="6">
        <v>81</v>
      </c>
      <c r="D4951" s="6">
        <v>122.5</v>
      </c>
      <c r="E4951" s="6">
        <v>203.5</v>
      </c>
      <c r="F4951" s="11"/>
    </row>
    <row r="4952" spans="1:6">
      <c r="A4952" s="5" t="str">
        <f t="shared" si="86"/>
        <v>202318</v>
      </c>
      <c r="B4952" s="5" t="str">
        <f>"23085043118"</f>
        <v>23085043118</v>
      </c>
      <c r="C4952" s="6">
        <v>99</v>
      </c>
      <c r="D4952" s="6">
        <v>104.5</v>
      </c>
      <c r="E4952" s="6">
        <v>203.5</v>
      </c>
      <c r="F4952" s="11"/>
    </row>
    <row r="4953" spans="1:6">
      <c r="A4953" s="5" t="str">
        <f t="shared" si="86"/>
        <v>202318</v>
      </c>
      <c r="B4953" s="5" t="str">
        <f>"23085041814"</f>
        <v>23085041814</v>
      </c>
      <c r="C4953" s="6">
        <v>103.5</v>
      </c>
      <c r="D4953" s="6">
        <v>100</v>
      </c>
      <c r="E4953" s="6">
        <v>203.5</v>
      </c>
      <c r="F4953" s="11"/>
    </row>
    <row r="4954" spans="1:6">
      <c r="A4954" s="5" t="str">
        <f t="shared" si="86"/>
        <v>202318</v>
      </c>
      <c r="B4954" s="5" t="str">
        <f>"23085042315"</f>
        <v>23085042315</v>
      </c>
      <c r="C4954" s="6">
        <v>90</v>
      </c>
      <c r="D4954" s="6">
        <v>113.5</v>
      </c>
      <c r="E4954" s="6">
        <v>203.5</v>
      </c>
      <c r="F4954" s="11"/>
    </row>
    <row r="4955" spans="1:6">
      <c r="A4955" s="5" t="str">
        <f t="shared" si="86"/>
        <v>202318</v>
      </c>
      <c r="B4955" s="5" t="str">
        <f>"23085042213"</f>
        <v>23085042213</v>
      </c>
      <c r="C4955" s="6">
        <v>88.5</v>
      </c>
      <c r="D4955" s="6">
        <v>115</v>
      </c>
      <c r="E4955" s="6">
        <v>203.5</v>
      </c>
      <c r="F4955" s="11"/>
    </row>
    <row r="4956" spans="1:6">
      <c r="A4956" s="5" t="str">
        <f t="shared" si="86"/>
        <v>202318</v>
      </c>
      <c r="B4956" s="5" t="str">
        <f>"23085041217"</f>
        <v>23085041217</v>
      </c>
      <c r="C4956" s="6">
        <v>90</v>
      </c>
      <c r="D4956" s="6">
        <v>113.5</v>
      </c>
      <c r="E4956" s="6">
        <v>203.5</v>
      </c>
      <c r="F4956" s="11"/>
    </row>
    <row r="4957" spans="1:6">
      <c r="A4957" s="5" t="str">
        <f t="shared" si="86"/>
        <v>202318</v>
      </c>
      <c r="B4957" s="5" t="str">
        <f>"23085040713"</f>
        <v>23085040713</v>
      </c>
      <c r="C4957" s="6">
        <v>97.5</v>
      </c>
      <c r="D4957" s="6">
        <v>105.5</v>
      </c>
      <c r="E4957" s="6">
        <v>203</v>
      </c>
      <c r="F4957" s="11"/>
    </row>
    <row r="4958" spans="1:6">
      <c r="A4958" s="5" t="str">
        <f t="shared" si="86"/>
        <v>202318</v>
      </c>
      <c r="B4958" s="5" t="str">
        <f>"23085043201"</f>
        <v>23085043201</v>
      </c>
      <c r="C4958" s="6">
        <v>84</v>
      </c>
      <c r="D4958" s="6">
        <v>119</v>
      </c>
      <c r="E4958" s="6">
        <v>203</v>
      </c>
      <c r="F4958" s="11"/>
    </row>
    <row r="4959" spans="1:6">
      <c r="A4959" s="5" t="str">
        <f t="shared" si="86"/>
        <v>202318</v>
      </c>
      <c r="B4959" s="5" t="str">
        <f>"23085041826"</f>
        <v>23085041826</v>
      </c>
      <c r="C4959" s="6">
        <v>91.5</v>
      </c>
      <c r="D4959" s="6">
        <v>111.5</v>
      </c>
      <c r="E4959" s="6">
        <v>203</v>
      </c>
      <c r="F4959" s="11"/>
    </row>
    <row r="4960" spans="1:6">
      <c r="A4960" s="5" t="str">
        <f t="shared" si="86"/>
        <v>202318</v>
      </c>
      <c r="B4960" s="5" t="str">
        <f>"23085043008"</f>
        <v>23085043008</v>
      </c>
      <c r="C4960" s="6">
        <v>87</v>
      </c>
      <c r="D4960" s="6">
        <v>116</v>
      </c>
      <c r="E4960" s="6">
        <v>203</v>
      </c>
      <c r="F4960" s="11"/>
    </row>
    <row r="4961" spans="1:6">
      <c r="A4961" s="5" t="str">
        <f t="shared" si="86"/>
        <v>202318</v>
      </c>
      <c r="B4961" s="5" t="str">
        <f>"23085040827"</f>
        <v>23085040827</v>
      </c>
      <c r="C4961" s="6">
        <v>82.5</v>
      </c>
      <c r="D4961" s="6">
        <v>120.5</v>
      </c>
      <c r="E4961" s="6">
        <v>203</v>
      </c>
      <c r="F4961" s="11"/>
    </row>
    <row r="4962" spans="1:6">
      <c r="A4962" s="5" t="str">
        <f t="shared" si="86"/>
        <v>202318</v>
      </c>
      <c r="B4962" s="5" t="str">
        <f>"23085042729"</f>
        <v>23085042729</v>
      </c>
      <c r="C4962" s="6">
        <v>82.5</v>
      </c>
      <c r="D4962" s="6">
        <v>120.5</v>
      </c>
      <c r="E4962" s="6">
        <v>203</v>
      </c>
      <c r="F4962" s="11"/>
    </row>
    <row r="4963" spans="1:6">
      <c r="A4963" s="5" t="str">
        <f t="shared" si="86"/>
        <v>202318</v>
      </c>
      <c r="B4963" s="5" t="str">
        <f>"23085041212"</f>
        <v>23085041212</v>
      </c>
      <c r="C4963" s="6">
        <v>87</v>
      </c>
      <c r="D4963" s="6">
        <v>115.5</v>
      </c>
      <c r="E4963" s="6">
        <v>202.5</v>
      </c>
      <c r="F4963" s="11"/>
    </row>
    <row r="4964" spans="1:6">
      <c r="A4964" s="5" t="str">
        <f t="shared" si="86"/>
        <v>202318</v>
      </c>
      <c r="B4964" s="5" t="str">
        <f>"23085040805"</f>
        <v>23085040805</v>
      </c>
      <c r="C4964" s="6">
        <v>82.5</v>
      </c>
      <c r="D4964" s="6">
        <v>120</v>
      </c>
      <c r="E4964" s="6">
        <v>202.5</v>
      </c>
      <c r="F4964" s="11"/>
    </row>
    <row r="4965" spans="1:6">
      <c r="A4965" s="5" t="str">
        <f t="shared" si="86"/>
        <v>202318</v>
      </c>
      <c r="B4965" s="5" t="str">
        <f>"23085042506"</f>
        <v>23085042506</v>
      </c>
      <c r="C4965" s="6">
        <v>93</v>
      </c>
      <c r="D4965" s="6">
        <v>109.5</v>
      </c>
      <c r="E4965" s="6">
        <v>202.5</v>
      </c>
      <c r="F4965" s="11"/>
    </row>
    <row r="4966" spans="1:6">
      <c r="A4966" s="5" t="str">
        <f t="shared" si="86"/>
        <v>202318</v>
      </c>
      <c r="B4966" s="5" t="str">
        <f>"23085040819"</f>
        <v>23085040819</v>
      </c>
      <c r="C4966" s="6">
        <v>91.5</v>
      </c>
      <c r="D4966" s="6">
        <v>111</v>
      </c>
      <c r="E4966" s="6">
        <v>202.5</v>
      </c>
      <c r="F4966" s="11"/>
    </row>
    <row r="4967" spans="1:6">
      <c r="A4967" s="5" t="str">
        <f t="shared" si="86"/>
        <v>202318</v>
      </c>
      <c r="B4967" s="5" t="str">
        <f>"23085041324"</f>
        <v>23085041324</v>
      </c>
      <c r="C4967" s="6">
        <v>79.5</v>
      </c>
      <c r="D4967" s="6">
        <v>123</v>
      </c>
      <c r="E4967" s="6">
        <v>202.5</v>
      </c>
      <c r="F4967" s="11"/>
    </row>
    <row r="4968" spans="1:6">
      <c r="A4968" s="5" t="str">
        <f t="shared" si="86"/>
        <v>202318</v>
      </c>
      <c r="B4968" s="5" t="str">
        <f>"23085040621"</f>
        <v>23085040621</v>
      </c>
      <c r="C4968" s="6">
        <v>97.5</v>
      </c>
      <c r="D4968" s="6">
        <v>105</v>
      </c>
      <c r="E4968" s="6">
        <v>202.5</v>
      </c>
      <c r="F4968" s="11"/>
    </row>
    <row r="4969" spans="1:6">
      <c r="A4969" s="5" t="str">
        <f t="shared" si="86"/>
        <v>202318</v>
      </c>
      <c r="B4969" s="5" t="str">
        <f>"23085041410"</f>
        <v>23085041410</v>
      </c>
      <c r="C4969" s="6">
        <v>90</v>
      </c>
      <c r="D4969" s="6">
        <v>112</v>
      </c>
      <c r="E4969" s="6">
        <v>202</v>
      </c>
      <c r="F4969" s="11"/>
    </row>
    <row r="4970" spans="1:6">
      <c r="A4970" s="5" t="str">
        <f t="shared" si="86"/>
        <v>202318</v>
      </c>
      <c r="B4970" s="5" t="str">
        <f>"23085040908"</f>
        <v>23085040908</v>
      </c>
      <c r="C4970" s="6">
        <v>91.5</v>
      </c>
      <c r="D4970" s="6">
        <v>110.5</v>
      </c>
      <c r="E4970" s="6">
        <v>202</v>
      </c>
      <c r="F4970" s="11"/>
    </row>
    <row r="4971" spans="1:6">
      <c r="A4971" s="5" t="str">
        <f t="shared" si="86"/>
        <v>202318</v>
      </c>
      <c r="B4971" s="5" t="str">
        <f>"23085042020"</f>
        <v>23085042020</v>
      </c>
      <c r="C4971" s="6">
        <v>102</v>
      </c>
      <c r="D4971" s="6">
        <v>100</v>
      </c>
      <c r="E4971" s="6">
        <v>202</v>
      </c>
      <c r="F4971" s="11"/>
    </row>
    <row r="4972" spans="1:6">
      <c r="A4972" s="5" t="str">
        <f t="shared" si="86"/>
        <v>202318</v>
      </c>
      <c r="B4972" s="5" t="str">
        <f>"23085042411"</f>
        <v>23085042411</v>
      </c>
      <c r="C4972" s="6">
        <v>93</v>
      </c>
      <c r="D4972" s="6">
        <v>109</v>
      </c>
      <c r="E4972" s="6">
        <v>202</v>
      </c>
      <c r="F4972" s="11"/>
    </row>
    <row r="4973" spans="1:6">
      <c r="A4973" s="5" t="str">
        <f t="shared" si="86"/>
        <v>202318</v>
      </c>
      <c r="B4973" s="5" t="str">
        <f>"23085042518"</f>
        <v>23085042518</v>
      </c>
      <c r="C4973" s="6">
        <v>103.5</v>
      </c>
      <c r="D4973" s="6">
        <v>98.5</v>
      </c>
      <c r="E4973" s="6">
        <v>202</v>
      </c>
      <c r="F4973" s="11"/>
    </row>
    <row r="4974" spans="1:6">
      <c r="A4974" s="5" t="str">
        <f t="shared" si="86"/>
        <v>202318</v>
      </c>
      <c r="B4974" s="5" t="str">
        <f>"23085041108"</f>
        <v>23085041108</v>
      </c>
      <c r="C4974" s="6">
        <v>81</v>
      </c>
      <c r="D4974" s="6">
        <v>121</v>
      </c>
      <c r="E4974" s="6">
        <v>202</v>
      </c>
      <c r="F4974" s="11"/>
    </row>
    <row r="4975" spans="1:6">
      <c r="A4975" s="5" t="str">
        <f t="shared" si="86"/>
        <v>202318</v>
      </c>
      <c r="B4975" s="5" t="str">
        <f>"23085041119"</f>
        <v>23085041119</v>
      </c>
      <c r="C4975" s="6">
        <v>87</v>
      </c>
      <c r="D4975" s="6">
        <v>115</v>
      </c>
      <c r="E4975" s="6">
        <v>202</v>
      </c>
      <c r="F4975" s="11"/>
    </row>
    <row r="4976" spans="1:6">
      <c r="A4976" s="5" t="str">
        <f t="shared" si="86"/>
        <v>202318</v>
      </c>
      <c r="B4976" s="5" t="str">
        <f>"23085041305"</f>
        <v>23085041305</v>
      </c>
      <c r="C4976" s="6">
        <v>79.5</v>
      </c>
      <c r="D4976" s="6">
        <v>122</v>
      </c>
      <c r="E4976" s="6">
        <v>201.5</v>
      </c>
      <c r="F4976" s="11"/>
    </row>
    <row r="4977" spans="1:6">
      <c r="A4977" s="5" t="str">
        <f t="shared" si="86"/>
        <v>202318</v>
      </c>
      <c r="B4977" s="5" t="str">
        <f>"23085042822"</f>
        <v>23085042822</v>
      </c>
      <c r="C4977" s="6">
        <v>82.5</v>
      </c>
      <c r="D4977" s="6">
        <v>119</v>
      </c>
      <c r="E4977" s="6">
        <v>201.5</v>
      </c>
      <c r="F4977" s="11"/>
    </row>
    <row r="4978" spans="1:6">
      <c r="A4978" s="5" t="str">
        <f t="shared" si="86"/>
        <v>202318</v>
      </c>
      <c r="B4978" s="5" t="str">
        <f>"23085042602"</f>
        <v>23085042602</v>
      </c>
      <c r="C4978" s="6">
        <v>85.5</v>
      </c>
      <c r="D4978" s="6">
        <v>116</v>
      </c>
      <c r="E4978" s="6">
        <v>201.5</v>
      </c>
      <c r="F4978" s="11"/>
    </row>
    <row r="4979" spans="1:6">
      <c r="A4979" s="5" t="str">
        <f t="shared" si="86"/>
        <v>202318</v>
      </c>
      <c r="B4979" s="5" t="str">
        <f>"23085041413"</f>
        <v>23085041413</v>
      </c>
      <c r="C4979" s="6">
        <v>87</v>
      </c>
      <c r="D4979" s="6">
        <v>114.5</v>
      </c>
      <c r="E4979" s="6">
        <v>201.5</v>
      </c>
      <c r="F4979" s="11"/>
    </row>
    <row r="4980" spans="1:6">
      <c r="A4980" s="5" t="str">
        <f t="shared" si="86"/>
        <v>202318</v>
      </c>
      <c r="B4980" s="5" t="str">
        <f>"23085041313"</f>
        <v>23085041313</v>
      </c>
      <c r="C4980" s="6">
        <v>91.5</v>
      </c>
      <c r="D4980" s="6">
        <v>110</v>
      </c>
      <c r="E4980" s="6">
        <v>201.5</v>
      </c>
      <c r="F4980" s="11"/>
    </row>
    <row r="4981" spans="1:6">
      <c r="A4981" s="5" t="str">
        <f t="shared" si="86"/>
        <v>202318</v>
      </c>
      <c r="B4981" s="5" t="str">
        <f>"23085041309"</f>
        <v>23085041309</v>
      </c>
      <c r="C4981" s="6">
        <v>91.5</v>
      </c>
      <c r="D4981" s="6">
        <v>110</v>
      </c>
      <c r="E4981" s="6">
        <v>201.5</v>
      </c>
      <c r="F4981" s="11"/>
    </row>
    <row r="4982" spans="1:6">
      <c r="A4982" s="5" t="str">
        <f t="shared" si="86"/>
        <v>202318</v>
      </c>
      <c r="B4982" s="5" t="str">
        <f>"23085042603"</f>
        <v>23085042603</v>
      </c>
      <c r="C4982" s="6">
        <v>93</v>
      </c>
      <c r="D4982" s="6">
        <v>108</v>
      </c>
      <c r="E4982" s="6">
        <v>201</v>
      </c>
      <c r="F4982" s="11"/>
    </row>
    <row r="4983" spans="1:6">
      <c r="A4983" s="5" t="str">
        <f t="shared" si="86"/>
        <v>202318</v>
      </c>
      <c r="B4983" s="5" t="str">
        <f>"23085042723"</f>
        <v>23085042723</v>
      </c>
      <c r="C4983" s="6">
        <v>88.5</v>
      </c>
      <c r="D4983" s="6">
        <v>112.5</v>
      </c>
      <c r="E4983" s="6">
        <v>201</v>
      </c>
      <c r="F4983" s="11"/>
    </row>
    <row r="4984" spans="1:6">
      <c r="A4984" s="5" t="str">
        <f t="shared" si="86"/>
        <v>202318</v>
      </c>
      <c r="B4984" s="5" t="str">
        <f>"23085042308"</f>
        <v>23085042308</v>
      </c>
      <c r="C4984" s="6">
        <v>87</v>
      </c>
      <c r="D4984" s="6">
        <v>114</v>
      </c>
      <c r="E4984" s="6">
        <v>201</v>
      </c>
      <c r="F4984" s="11"/>
    </row>
    <row r="4985" spans="1:6">
      <c r="A4985" s="5" t="str">
        <f t="shared" si="86"/>
        <v>202318</v>
      </c>
      <c r="B4985" s="5" t="str">
        <f>"23085040905"</f>
        <v>23085040905</v>
      </c>
      <c r="C4985" s="6">
        <v>87</v>
      </c>
      <c r="D4985" s="6">
        <v>113.5</v>
      </c>
      <c r="E4985" s="6">
        <v>200.5</v>
      </c>
      <c r="F4985" s="11"/>
    </row>
    <row r="4986" spans="1:6">
      <c r="A4986" s="5" t="str">
        <f t="shared" si="86"/>
        <v>202318</v>
      </c>
      <c r="B4986" s="5" t="str">
        <f>"23085042816"</f>
        <v>23085042816</v>
      </c>
      <c r="C4986" s="6">
        <v>82.5</v>
      </c>
      <c r="D4986" s="6">
        <v>118</v>
      </c>
      <c r="E4986" s="6">
        <v>200.5</v>
      </c>
      <c r="F4986" s="11"/>
    </row>
    <row r="4987" spans="1:6">
      <c r="A4987" s="5" t="str">
        <f t="shared" si="86"/>
        <v>202318</v>
      </c>
      <c r="B4987" s="5" t="str">
        <f>"23085041524"</f>
        <v>23085041524</v>
      </c>
      <c r="C4987" s="6">
        <v>84</v>
      </c>
      <c r="D4987" s="6">
        <v>116</v>
      </c>
      <c r="E4987" s="6">
        <v>200</v>
      </c>
      <c r="F4987" s="11"/>
    </row>
    <row r="4988" spans="1:6">
      <c r="A4988" s="5" t="str">
        <f t="shared" si="86"/>
        <v>202318</v>
      </c>
      <c r="B4988" s="5" t="str">
        <f>"23085041626"</f>
        <v>23085041626</v>
      </c>
      <c r="C4988" s="6">
        <v>85.5</v>
      </c>
      <c r="D4988" s="6">
        <v>114.5</v>
      </c>
      <c r="E4988" s="6">
        <v>200</v>
      </c>
      <c r="F4988" s="11"/>
    </row>
    <row r="4989" spans="1:6">
      <c r="A4989" s="5" t="str">
        <f t="shared" si="86"/>
        <v>202318</v>
      </c>
      <c r="B4989" s="5" t="str">
        <f>"23085043104"</f>
        <v>23085043104</v>
      </c>
      <c r="C4989" s="6">
        <v>82.5</v>
      </c>
      <c r="D4989" s="6">
        <v>117.5</v>
      </c>
      <c r="E4989" s="6">
        <v>200</v>
      </c>
      <c r="F4989" s="11"/>
    </row>
    <row r="4990" spans="1:6">
      <c r="A4990" s="5" t="str">
        <f t="shared" ref="A4990:A5053" si="87">"202318"</f>
        <v>202318</v>
      </c>
      <c r="B4990" s="5" t="str">
        <f>"23085041822"</f>
        <v>23085041822</v>
      </c>
      <c r="C4990" s="6">
        <v>88.5</v>
      </c>
      <c r="D4990" s="6">
        <v>111.5</v>
      </c>
      <c r="E4990" s="6">
        <v>200</v>
      </c>
      <c r="F4990" s="11"/>
    </row>
    <row r="4991" spans="1:6">
      <c r="A4991" s="5" t="str">
        <f t="shared" si="87"/>
        <v>202318</v>
      </c>
      <c r="B4991" s="5" t="str">
        <f>"23085041002"</f>
        <v>23085041002</v>
      </c>
      <c r="C4991" s="6">
        <v>84</v>
      </c>
      <c r="D4991" s="6">
        <v>115.5</v>
      </c>
      <c r="E4991" s="6">
        <v>199.5</v>
      </c>
      <c r="F4991" s="11"/>
    </row>
    <row r="4992" spans="1:6">
      <c r="A4992" s="5" t="str">
        <f t="shared" si="87"/>
        <v>202318</v>
      </c>
      <c r="B4992" s="5" t="str">
        <f>"23085042601"</f>
        <v>23085042601</v>
      </c>
      <c r="C4992" s="6">
        <v>90</v>
      </c>
      <c r="D4992" s="6">
        <v>109.5</v>
      </c>
      <c r="E4992" s="6">
        <v>199.5</v>
      </c>
      <c r="F4992" s="11"/>
    </row>
    <row r="4993" spans="1:6">
      <c r="A4993" s="5" t="str">
        <f t="shared" si="87"/>
        <v>202318</v>
      </c>
      <c r="B4993" s="5" t="str">
        <f>"23085042403"</f>
        <v>23085042403</v>
      </c>
      <c r="C4993" s="6">
        <v>85.5</v>
      </c>
      <c r="D4993" s="6">
        <v>114</v>
      </c>
      <c r="E4993" s="6">
        <v>199.5</v>
      </c>
      <c r="F4993" s="11"/>
    </row>
    <row r="4994" spans="1:6">
      <c r="A4994" s="5" t="str">
        <f t="shared" si="87"/>
        <v>202318</v>
      </c>
      <c r="B4994" s="5" t="str">
        <f>"23085042002"</f>
        <v>23085042002</v>
      </c>
      <c r="C4994" s="6">
        <v>82.5</v>
      </c>
      <c r="D4994" s="6">
        <v>117</v>
      </c>
      <c r="E4994" s="6">
        <v>199.5</v>
      </c>
      <c r="F4994" s="11"/>
    </row>
    <row r="4995" spans="1:6">
      <c r="A4995" s="5" t="str">
        <f t="shared" si="87"/>
        <v>202318</v>
      </c>
      <c r="B4995" s="5" t="str">
        <f>"23085040812"</f>
        <v>23085040812</v>
      </c>
      <c r="C4995" s="6">
        <v>87</v>
      </c>
      <c r="D4995" s="6">
        <v>112.5</v>
      </c>
      <c r="E4995" s="6">
        <v>199.5</v>
      </c>
      <c r="F4995" s="11"/>
    </row>
    <row r="4996" spans="1:6">
      <c r="A4996" s="5" t="str">
        <f t="shared" si="87"/>
        <v>202318</v>
      </c>
      <c r="B4996" s="5" t="str">
        <f>"23085040622"</f>
        <v>23085040622</v>
      </c>
      <c r="C4996" s="6">
        <v>88.5</v>
      </c>
      <c r="D4996" s="6">
        <v>111</v>
      </c>
      <c r="E4996" s="6">
        <v>199.5</v>
      </c>
      <c r="F4996" s="11"/>
    </row>
    <row r="4997" spans="1:6">
      <c r="A4997" s="5" t="str">
        <f t="shared" si="87"/>
        <v>202318</v>
      </c>
      <c r="B4997" s="5" t="str">
        <f>"23085040712"</f>
        <v>23085040712</v>
      </c>
      <c r="C4997" s="6">
        <v>93</v>
      </c>
      <c r="D4997" s="6">
        <v>106.5</v>
      </c>
      <c r="E4997" s="6">
        <v>199.5</v>
      </c>
      <c r="F4997" s="11"/>
    </row>
    <row r="4998" spans="1:6">
      <c r="A4998" s="5" t="str">
        <f t="shared" si="87"/>
        <v>202318</v>
      </c>
      <c r="B4998" s="5" t="str">
        <f>"23085042621"</f>
        <v>23085042621</v>
      </c>
      <c r="C4998" s="6">
        <v>87</v>
      </c>
      <c r="D4998" s="6">
        <v>112.5</v>
      </c>
      <c r="E4998" s="6">
        <v>199.5</v>
      </c>
      <c r="F4998" s="11"/>
    </row>
    <row r="4999" spans="1:6">
      <c r="A4999" s="5" t="str">
        <f t="shared" si="87"/>
        <v>202318</v>
      </c>
      <c r="B4999" s="5" t="str">
        <f>"23085041402"</f>
        <v>23085041402</v>
      </c>
      <c r="C4999" s="6">
        <v>85.5</v>
      </c>
      <c r="D4999" s="6">
        <v>114</v>
      </c>
      <c r="E4999" s="6">
        <v>199.5</v>
      </c>
      <c r="F4999" s="11"/>
    </row>
    <row r="5000" spans="1:6">
      <c r="A5000" s="5" t="str">
        <f t="shared" si="87"/>
        <v>202318</v>
      </c>
      <c r="B5000" s="5" t="str">
        <f>"23085041812"</f>
        <v>23085041812</v>
      </c>
      <c r="C5000" s="6">
        <v>79.5</v>
      </c>
      <c r="D5000" s="6">
        <v>119.5</v>
      </c>
      <c r="E5000" s="6">
        <v>199</v>
      </c>
      <c r="F5000" s="11"/>
    </row>
    <row r="5001" spans="1:6">
      <c r="A5001" s="5" t="str">
        <f t="shared" si="87"/>
        <v>202318</v>
      </c>
      <c r="B5001" s="5" t="str">
        <f>"23085041917"</f>
        <v>23085041917</v>
      </c>
      <c r="C5001" s="6">
        <v>90</v>
      </c>
      <c r="D5001" s="6">
        <v>109</v>
      </c>
      <c r="E5001" s="6">
        <v>199</v>
      </c>
      <c r="F5001" s="11"/>
    </row>
    <row r="5002" spans="1:6">
      <c r="A5002" s="5" t="str">
        <f t="shared" si="87"/>
        <v>202318</v>
      </c>
      <c r="B5002" s="5" t="str">
        <f>"23085040923"</f>
        <v>23085040923</v>
      </c>
      <c r="C5002" s="6">
        <v>90</v>
      </c>
      <c r="D5002" s="6">
        <v>109</v>
      </c>
      <c r="E5002" s="6">
        <v>199</v>
      </c>
      <c r="F5002" s="11"/>
    </row>
    <row r="5003" spans="1:6">
      <c r="A5003" s="5" t="str">
        <f t="shared" si="87"/>
        <v>202318</v>
      </c>
      <c r="B5003" s="5" t="str">
        <f>"23085041129"</f>
        <v>23085041129</v>
      </c>
      <c r="C5003" s="6">
        <v>84</v>
      </c>
      <c r="D5003" s="6">
        <v>115</v>
      </c>
      <c r="E5003" s="6">
        <v>199</v>
      </c>
      <c r="F5003" s="11"/>
    </row>
    <row r="5004" spans="1:6">
      <c r="A5004" s="5" t="str">
        <f t="shared" si="87"/>
        <v>202318</v>
      </c>
      <c r="B5004" s="5" t="str">
        <f>"23085042218"</f>
        <v>23085042218</v>
      </c>
      <c r="C5004" s="6">
        <v>81</v>
      </c>
      <c r="D5004" s="6">
        <v>118</v>
      </c>
      <c r="E5004" s="6">
        <v>199</v>
      </c>
      <c r="F5004" s="11"/>
    </row>
    <row r="5005" spans="1:6">
      <c r="A5005" s="5" t="str">
        <f t="shared" si="87"/>
        <v>202318</v>
      </c>
      <c r="B5005" s="5" t="str">
        <f>"23085041306"</f>
        <v>23085041306</v>
      </c>
      <c r="C5005" s="6">
        <v>99</v>
      </c>
      <c r="D5005" s="6">
        <v>100</v>
      </c>
      <c r="E5005" s="6">
        <v>199</v>
      </c>
      <c r="F5005" s="11"/>
    </row>
    <row r="5006" spans="1:6">
      <c r="A5006" s="5" t="str">
        <f t="shared" si="87"/>
        <v>202318</v>
      </c>
      <c r="B5006" s="5" t="str">
        <f>"23085041330"</f>
        <v>23085041330</v>
      </c>
      <c r="C5006" s="6">
        <v>82.5</v>
      </c>
      <c r="D5006" s="6">
        <v>116</v>
      </c>
      <c r="E5006" s="6">
        <v>198.5</v>
      </c>
      <c r="F5006" s="11"/>
    </row>
    <row r="5007" spans="1:6">
      <c r="A5007" s="5" t="str">
        <f t="shared" si="87"/>
        <v>202318</v>
      </c>
      <c r="B5007" s="5" t="str">
        <f>"23085042605"</f>
        <v>23085042605</v>
      </c>
      <c r="C5007" s="6">
        <v>87</v>
      </c>
      <c r="D5007" s="6">
        <v>111.5</v>
      </c>
      <c r="E5007" s="6">
        <v>198.5</v>
      </c>
      <c r="F5007" s="11"/>
    </row>
    <row r="5008" spans="1:6">
      <c r="A5008" s="5" t="str">
        <f t="shared" si="87"/>
        <v>202318</v>
      </c>
      <c r="B5008" s="5" t="str">
        <f>"23085042307"</f>
        <v>23085042307</v>
      </c>
      <c r="C5008" s="6">
        <v>91.5</v>
      </c>
      <c r="D5008" s="6">
        <v>107</v>
      </c>
      <c r="E5008" s="6">
        <v>198.5</v>
      </c>
      <c r="F5008" s="11"/>
    </row>
    <row r="5009" spans="1:6">
      <c r="A5009" s="5" t="str">
        <f t="shared" si="87"/>
        <v>202318</v>
      </c>
      <c r="B5009" s="5" t="str">
        <f>"23085041412"</f>
        <v>23085041412</v>
      </c>
      <c r="C5009" s="6">
        <v>84</v>
      </c>
      <c r="D5009" s="6">
        <v>114.5</v>
      </c>
      <c r="E5009" s="6">
        <v>198.5</v>
      </c>
      <c r="F5009" s="11"/>
    </row>
    <row r="5010" spans="1:6">
      <c r="A5010" s="5" t="str">
        <f t="shared" si="87"/>
        <v>202318</v>
      </c>
      <c r="B5010" s="5" t="str">
        <f>"23085042005"</f>
        <v>23085042005</v>
      </c>
      <c r="C5010" s="6">
        <v>85.5</v>
      </c>
      <c r="D5010" s="6">
        <v>113</v>
      </c>
      <c r="E5010" s="6">
        <v>198.5</v>
      </c>
      <c r="F5010" s="11"/>
    </row>
    <row r="5011" spans="1:6">
      <c r="A5011" s="5" t="str">
        <f t="shared" si="87"/>
        <v>202318</v>
      </c>
      <c r="B5011" s="5" t="str">
        <f>"23085041706"</f>
        <v>23085041706</v>
      </c>
      <c r="C5011" s="6">
        <v>94.5</v>
      </c>
      <c r="D5011" s="6">
        <v>104</v>
      </c>
      <c r="E5011" s="6">
        <v>198.5</v>
      </c>
      <c r="F5011" s="11"/>
    </row>
    <row r="5012" spans="1:6">
      <c r="A5012" s="5" t="str">
        <f t="shared" si="87"/>
        <v>202318</v>
      </c>
      <c r="B5012" s="5" t="str">
        <f>"23085042814"</f>
        <v>23085042814</v>
      </c>
      <c r="C5012" s="6">
        <v>82.5</v>
      </c>
      <c r="D5012" s="6">
        <v>116</v>
      </c>
      <c r="E5012" s="6">
        <v>198.5</v>
      </c>
      <c r="F5012" s="11"/>
    </row>
    <row r="5013" spans="1:6">
      <c r="A5013" s="5" t="str">
        <f t="shared" si="87"/>
        <v>202318</v>
      </c>
      <c r="B5013" s="5" t="str">
        <f>"23085042204"</f>
        <v>23085042204</v>
      </c>
      <c r="C5013" s="6">
        <v>79.5</v>
      </c>
      <c r="D5013" s="6">
        <v>119</v>
      </c>
      <c r="E5013" s="6">
        <v>198.5</v>
      </c>
      <c r="F5013" s="11"/>
    </row>
    <row r="5014" spans="1:6">
      <c r="A5014" s="5" t="str">
        <f t="shared" si="87"/>
        <v>202318</v>
      </c>
      <c r="B5014" s="5" t="str">
        <f>"23085042510"</f>
        <v>23085042510</v>
      </c>
      <c r="C5014" s="6">
        <v>96</v>
      </c>
      <c r="D5014" s="6">
        <v>102</v>
      </c>
      <c r="E5014" s="6">
        <v>198</v>
      </c>
      <c r="F5014" s="11"/>
    </row>
    <row r="5015" spans="1:6">
      <c r="A5015" s="5" t="str">
        <f t="shared" si="87"/>
        <v>202318</v>
      </c>
      <c r="B5015" s="5" t="str">
        <f>"23085042626"</f>
        <v>23085042626</v>
      </c>
      <c r="C5015" s="6">
        <v>105</v>
      </c>
      <c r="D5015" s="6">
        <v>93</v>
      </c>
      <c r="E5015" s="6">
        <v>198</v>
      </c>
      <c r="F5015" s="11"/>
    </row>
    <row r="5016" spans="1:6">
      <c r="A5016" s="5" t="str">
        <f t="shared" si="87"/>
        <v>202318</v>
      </c>
      <c r="B5016" s="5" t="str">
        <f>"23085042226"</f>
        <v>23085042226</v>
      </c>
      <c r="C5016" s="6">
        <v>81</v>
      </c>
      <c r="D5016" s="6">
        <v>117</v>
      </c>
      <c r="E5016" s="6">
        <v>198</v>
      </c>
      <c r="F5016" s="11"/>
    </row>
    <row r="5017" spans="1:6">
      <c r="A5017" s="5" t="str">
        <f t="shared" si="87"/>
        <v>202318</v>
      </c>
      <c r="B5017" s="5" t="str">
        <f>"23085040806"</f>
        <v>23085040806</v>
      </c>
      <c r="C5017" s="6">
        <v>85.5</v>
      </c>
      <c r="D5017" s="6">
        <v>112.5</v>
      </c>
      <c r="E5017" s="6">
        <v>198</v>
      </c>
      <c r="F5017" s="11"/>
    </row>
    <row r="5018" spans="1:6">
      <c r="A5018" s="5" t="str">
        <f t="shared" si="87"/>
        <v>202318</v>
      </c>
      <c r="B5018" s="5" t="str">
        <f>"23085041105"</f>
        <v>23085041105</v>
      </c>
      <c r="C5018" s="6">
        <v>93</v>
      </c>
      <c r="D5018" s="6">
        <v>105</v>
      </c>
      <c r="E5018" s="6">
        <v>198</v>
      </c>
      <c r="F5018" s="11"/>
    </row>
    <row r="5019" spans="1:6">
      <c r="A5019" s="5" t="str">
        <f t="shared" si="87"/>
        <v>202318</v>
      </c>
      <c r="B5019" s="5" t="str">
        <f>"23085040701"</f>
        <v>23085040701</v>
      </c>
      <c r="C5019" s="6">
        <v>85.5</v>
      </c>
      <c r="D5019" s="6">
        <v>112.5</v>
      </c>
      <c r="E5019" s="6">
        <v>198</v>
      </c>
      <c r="F5019" s="11"/>
    </row>
    <row r="5020" spans="1:6">
      <c r="A5020" s="5" t="str">
        <f t="shared" si="87"/>
        <v>202318</v>
      </c>
      <c r="B5020" s="5" t="str">
        <f>"23085043105"</f>
        <v>23085043105</v>
      </c>
      <c r="C5020" s="6">
        <v>84</v>
      </c>
      <c r="D5020" s="6">
        <v>113.5</v>
      </c>
      <c r="E5020" s="6">
        <v>197.5</v>
      </c>
      <c r="F5020" s="11"/>
    </row>
    <row r="5021" spans="1:6">
      <c r="A5021" s="5" t="str">
        <f t="shared" si="87"/>
        <v>202318</v>
      </c>
      <c r="B5021" s="5" t="str">
        <f>"23085041223"</f>
        <v>23085041223</v>
      </c>
      <c r="C5021" s="6">
        <v>82.5</v>
      </c>
      <c r="D5021" s="6">
        <v>115</v>
      </c>
      <c r="E5021" s="6">
        <v>197.5</v>
      </c>
      <c r="F5021" s="11"/>
    </row>
    <row r="5022" spans="1:6">
      <c r="A5022" s="5" t="str">
        <f t="shared" si="87"/>
        <v>202318</v>
      </c>
      <c r="B5022" s="5" t="str">
        <f>"23085043211"</f>
        <v>23085043211</v>
      </c>
      <c r="C5022" s="6">
        <v>84</v>
      </c>
      <c r="D5022" s="6">
        <v>113.5</v>
      </c>
      <c r="E5022" s="6">
        <v>197.5</v>
      </c>
      <c r="F5022" s="11"/>
    </row>
    <row r="5023" spans="1:6">
      <c r="A5023" s="5" t="str">
        <f t="shared" si="87"/>
        <v>202318</v>
      </c>
      <c r="B5023" s="5" t="str">
        <f>"23085040830"</f>
        <v>23085040830</v>
      </c>
      <c r="C5023" s="6">
        <v>94.5</v>
      </c>
      <c r="D5023" s="6">
        <v>102.5</v>
      </c>
      <c r="E5023" s="6">
        <v>197</v>
      </c>
      <c r="F5023" s="11"/>
    </row>
    <row r="5024" spans="1:6">
      <c r="A5024" s="5" t="str">
        <f t="shared" si="87"/>
        <v>202318</v>
      </c>
      <c r="B5024" s="5" t="str">
        <f>"23085042809"</f>
        <v>23085042809</v>
      </c>
      <c r="C5024" s="6">
        <v>90</v>
      </c>
      <c r="D5024" s="6">
        <v>107</v>
      </c>
      <c r="E5024" s="6">
        <v>197</v>
      </c>
      <c r="F5024" s="11"/>
    </row>
    <row r="5025" spans="1:6">
      <c r="A5025" s="5" t="str">
        <f t="shared" si="87"/>
        <v>202318</v>
      </c>
      <c r="B5025" s="5" t="str">
        <f>"23085040813"</f>
        <v>23085040813</v>
      </c>
      <c r="C5025" s="6">
        <v>96</v>
      </c>
      <c r="D5025" s="6">
        <v>101</v>
      </c>
      <c r="E5025" s="6">
        <v>197</v>
      </c>
      <c r="F5025" s="11"/>
    </row>
    <row r="5026" spans="1:6">
      <c r="A5026" s="5" t="str">
        <f t="shared" si="87"/>
        <v>202318</v>
      </c>
      <c r="B5026" s="5" t="str">
        <f>"23085042101"</f>
        <v>23085042101</v>
      </c>
      <c r="C5026" s="6">
        <v>91.5</v>
      </c>
      <c r="D5026" s="6">
        <v>105.5</v>
      </c>
      <c r="E5026" s="6">
        <v>197</v>
      </c>
      <c r="F5026" s="11"/>
    </row>
    <row r="5027" spans="1:6">
      <c r="A5027" s="5" t="str">
        <f t="shared" si="87"/>
        <v>202318</v>
      </c>
      <c r="B5027" s="5" t="str">
        <f>"23085042318"</f>
        <v>23085042318</v>
      </c>
      <c r="C5027" s="6">
        <v>84</v>
      </c>
      <c r="D5027" s="6">
        <v>113</v>
      </c>
      <c r="E5027" s="6">
        <v>197</v>
      </c>
      <c r="F5027" s="11"/>
    </row>
    <row r="5028" spans="1:6">
      <c r="A5028" s="5" t="str">
        <f t="shared" si="87"/>
        <v>202318</v>
      </c>
      <c r="B5028" s="5" t="str">
        <f>"23085042230"</f>
        <v>23085042230</v>
      </c>
      <c r="C5028" s="6">
        <v>82.5</v>
      </c>
      <c r="D5028" s="6">
        <v>114</v>
      </c>
      <c r="E5028" s="6">
        <v>196.5</v>
      </c>
      <c r="F5028" s="11"/>
    </row>
    <row r="5029" spans="1:6">
      <c r="A5029" s="5" t="str">
        <f t="shared" si="87"/>
        <v>202318</v>
      </c>
      <c r="B5029" s="5" t="str">
        <f>"23085042511"</f>
        <v>23085042511</v>
      </c>
      <c r="C5029" s="6">
        <v>87</v>
      </c>
      <c r="D5029" s="6">
        <v>109.5</v>
      </c>
      <c r="E5029" s="6">
        <v>196.5</v>
      </c>
      <c r="F5029" s="11"/>
    </row>
    <row r="5030" spans="1:6">
      <c r="A5030" s="5" t="str">
        <f t="shared" si="87"/>
        <v>202318</v>
      </c>
      <c r="B5030" s="5" t="str">
        <f>"23085043202"</f>
        <v>23085043202</v>
      </c>
      <c r="C5030" s="6">
        <v>81</v>
      </c>
      <c r="D5030" s="6">
        <v>115.5</v>
      </c>
      <c r="E5030" s="6">
        <v>196.5</v>
      </c>
      <c r="F5030" s="11"/>
    </row>
    <row r="5031" spans="1:6">
      <c r="A5031" s="5" t="str">
        <f t="shared" si="87"/>
        <v>202318</v>
      </c>
      <c r="B5031" s="5" t="str">
        <f>"23085043009"</f>
        <v>23085043009</v>
      </c>
      <c r="C5031" s="6">
        <v>78</v>
      </c>
      <c r="D5031" s="6">
        <v>118.5</v>
      </c>
      <c r="E5031" s="6">
        <v>196.5</v>
      </c>
      <c r="F5031" s="11"/>
    </row>
    <row r="5032" spans="1:6">
      <c r="A5032" s="5" t="str">
        <f t="shared" si="87"/>
        <v>202318</v>
      </c>
      <c r="B5032" s="5" t="str">
        <f>"23085041605"</f>
        <v>23085041605</v>
      </c>
      <c r="C5032" s="6">
        <v>93</v>
      </c>
      <c r="D5032" s="6">
        <v>103.5</v>
      </c>
      <c r="E5032" s="6">
        <v>196.5</v>
      </c>
      <c r="F5032" s="11"/>
    </row>
    <row r="5033" spans="1:6">
      <c r="A5033" s="5" t="str">
        <f t="shared" si="87"/>
        <v>202318</v>
      </c>
      <c r="B5033" s="5" t="str">
        <f>"23085042408"</f>
        <v>23085042408</v>
      </c>
      <c r="C5033" s="6">
        <v>93</v>
      </c>
      <c r="D5033" s="6">
        <v>103.5</v>
      </c>
      <c r="E5033" s="6">
        <v>196.5</v>
      </c>
      <c r="F5033" s="11"/>
    </row>
    <row r="5034" spans="1:6">
      <c r="A5034" s="5" t="str">
        <f t="shared" si="87"/>
        <v>202318</v>
      </c>
      <c r="B5034" s="5" t="str">
        <f>"23085041914"</f>
        <v>23085041914</v>
      </c>
      <c r="C5034" s="6">
        <v>100.5</v>
      </c>
      <c r="D5034" s="6">
        <v>95.5</v>
      </c>
      <c r="E5034" s="6">
        <v>196</v>
      </c>
      <c r="F5034" s="11"/>
    </row>
    <row r="5035" spans="1:6">
      <c r="A5035" s="5" t="str">
        <f t="shared" si="87"/>
        <v>202318</v>
      </c>
      <c r="B5035" s="5" t="str">
        <f>"23085041110"</f>
        <v>23085041110</v>
      </c>
      <c r="C5035" s="6">
        <v>84</v>
      </c>
      <c r="D5035" s="6">
        <v>112</v>
      </c>
      <c r="E5035" s="6">
        <v>196</v>
      </c>
      <c r="F5035" s="11"/>
    </row>
    <row r="5036" spans="1:6">
      <c r="A5036" s="5" t="str">
        <f t="shared" si="87"/>
        <v>202318</v>
      </c>
      <c r="B5036" s="5" t="str">
        <f>"23085041124"</f>
        <v>23085041124</v>
      </c>
      <c r="C5036" s="6">
        <v>84</v>
      </c>
      <c r="D5036" s="6">
        <v>112</v>
      </c>
      <c r="E5036" s="6">
        <v>196</v>
      </c>
      <c r="F5036" s="11"/>
    </row>
    <row r="5037" spans="1:6">
      <c r="A5037" s="5" t="str">
        <f t="shared" si="87"/>
        <v>202318</v>
      </c>
      <c r="B5037" s="5" t="str">
        <f>"23085041613"</f>
        <v>23085041613</v>
      </c>
      <c r="C5037" s="6">
        <v>102</v>
      </c>
      <c r="D5037" s="6">
        <v>94</v>
      </c>
      <c r="E5037" s="6">
        <v>196</v>
      </c>
      <c r="F5037" s="11"/>
    </row>
    <row r="5038" spans="1:6">
      <c r="A5038" s="5" t="str">
        <f t="shared" si="87"/>
        <v>202318</v>
      </c>
      <c r="B5038" s="5" t="str">
        <f>"23085042619"</f>
        <v>23085042619</v>
      </c>
      <c r="C5038" s="6">
        <v>81</v>
      </c>
      <c r="D5038" s="6">
        <v>115</v>
      </c>
      <c r="E5038" s="6">
        <v>196</v>
      </c>
      <c r="F5038" s="11"/>
    </row>
    <row r="5039" spans="1:6">
      <c r="A5039" s="5" t="str">
        <f t="shared" si="87"/>
        <v>202318</v>
      </c>
      <c r="B5039" s="5" t="str">
        <f>"23085042030"</f>
        <v>23085042030</v>
      </c>
      <c r="C5039" s="6">
        <v>79.5</v>
      </c>
      <c r="D5039" s="6">
        <v>116.5</v>
      </c>
      <c r="E5039" s="6">
        <v>196</v>
      </c>
      <c r="F5039" s="11"/>
    </row>
    <row r="5040" spans="1:6">
      <c r="A5040" s="5" t="str">
        <f t="shared" si="87"/>
        <v>202318</v>
      </c>
      <c r="B5040" s="5" t="str">
        <f>"23085041424"</f>
        <v>23085041424</v>
      </c>
      <c r="C5040" s="6">
        <v>84</v>
      </c>
      <c r="D5040" s="6">
        <v>112</v>
      </c>
      <c r="E5040" s="6">
        <v>196</v>
      </c>
      <c r="F5040" s="11"/>
    </row>
    <row r="5041" spans="1:6">
      <c r="A5041" s="5" t="str">
        <f t="shared" si="87"/>
        <v>202318</v>
      </c>
      <c r="B5041" s="5" t="str">
        <f>"23085043010"</f>
        <v>23085043010</v>
      </c>
      <c r="C5041" s="6">
        <v>90</v>
      </c>
      <c r="D5041" s="6">
        <v>106</v>
      </c>
      <c r="E5041" s="6">
        <v>196</v>
      </c>
      <c r="F5041" s="11"/>
    </row>
    <row r="5042" spans="1:6">
      <c r="A5042" s="5" t="str">
        <f t="shared" si="87"/>
        <v>202318</v>
      </c>
      <c r="B5042" s="5" t="str">
        <f>"23085042422"</f>
        <v>23085042422</v>
      </c>
      <c r="C5042" s="6">
        <v>84</v>
      </c>
      <c r="D5042" s="6">
        <v>112</v>
      </c>
      <c r="E5042" s="6">
        <v>196</v>
      </c>
      <c r="F5042" s="11"/>
    </row>
    <row r="5043" spans="1:6">
      <c r="A5043" s="5" t="str">
        <f t="shared" si="87"/>
        <v>202318</v>
      </c>
      <c r="B5043" s="5" t="str">
        <f>"23085043025"</f>
        <v>23085043025</v>
      </c>
      <c r="C5043" s="6">
        <v>87</v>
      </c>
      <c r="D5043" s="6">
        <v>109</v>
      </c>
      <c r="E5043" s="6">
        <v>196</v>
      </c>
      <c r="F5043" s="11"/>
    </row>
    <row r="5044" spans="1:6">
      <c r="A5044" s="5" t="str">
        <f t="shared" si="87"/>
        <v>202318</v>
      </c>
      <c r="B5044" s="5" t="str">
        <f>"23085041222"</f>
        <v>23085041222</v>
      </c>
      <c r="C5044" s="6">
        <v>90</v>
      </c>
      <c r="D5044" s="6">
        <v>106</v>
      </c>
      <c r="E5044" s="6">
        <v>196</v>
      </c>
      <c r="F5044" s="11"/>
    </row>
    <row r="5045" spans="1:6">
      <c r="A5045" s="5" t="str">
        <f t="shared" si="87"/>
        <v>202318</v>
      </c>
      <c r="B5045" s="5" t="str">
        <f>"23085042420"</f>
        <v>23085042420</v>
      </c>
      <c r="C5045" s="6">
        <v>82.5</v>
      </c>
      <c r="D5045" s="6">
        <v>113.5</v>
      </c>
      <c r="E5045" s="6">
        <v>196</v>
      </c>
      <c r="F5045" s="11"/>
    </row>
    <row r="5046" spans="1:6">
      <c r="A5046" s="5" t="str">
        <f t="shared" si="87"/>
        <v>202318</v>
      </c>
      <c r="B5046" s="5" t="str">
        <f>"23085041628"</f>
        <v>23085041628</v>
      </c>
      <c r="C5046" s="6">
        <v>85.5</v>
      </c>
      <c r="D5046" s="6">
        <v>110.5</v>
      </c>
      <c r="E5046" s="6">
        <v>196</v>
      </c>
      <c r="F5046" s="11"/>
    </row>
    <row r="5047" spans="1:6">
      <c r="A5047" s="5" t="str">
        <f t="shared" si="87"/>
        <v>202318</v>
      </c>
      <c r="B5047" s="5" t="str">
        <f>"23085041123"</f>
        <v>23085041123</v>
      </c>
      <c r="C5047" s="6">
        <v>84</v>
      </c>
      <c r="D5047" s="6">
        <v>111.5</v>
      </c>
      <c r="E5047" s="6">
        <v>195.5</v>
      </c>
      <c r="F5047" s="11"/>
    </row>
    <row r="5048" spans="1:6">
      <c r="A5048" s="5" t="str">
        <f t="shared" si="87"/>
        <v>202318</v>
      </c>
      <c r="B5048" s="5" t="str">
        <f>"23085042930"</f>
        <v>23085042930</v>
      </c>
      <c r="C5048" s="6">
        <v>88.5</v>
      </c>
      <c r="D5048" s="6">
        <v>107</v>
      </c>
      <c r="E5048" s="6">
        <v>195.5</v>
      </c>
      <c r="F5048" s="11"/>
    </row>
    <row r="5049" spans="1:6">
      <c r="A5049" s="5" t="str">
        <f t="shared" si="87"/>
        <v>202318</v>
      </c>
      <c r="B5049" s="5" t="str">
        <f>"23085042108"</f>
        <v>23085042108</v>
      </c>
      <c r="C5049" s="6">
        <v>75</v>
      </c>
      <c r="D5049" s="6">
        <v>120.5</v>
      </c>
      <c r="E5049" s="6">
        <v>195.5</v>
      </c>
      <c r="F5049" s="11"/>
    </row>
    <row r="5050" spans="1:6">
      <c r="A5050" s="5" t="str">
        <f t="shared" si="87"/>
        <v>202318</v>
      </c>
      <c r="B5050" s="5" t="str">
        <f>"23085041408"</f>
        <v>23085041408</v>
      </c>
      <c r="C5050" s="6">
        <v>84</v>
      </c>
      <c r="D5050" s="6">
        <v>111.5</v>
      </c>
      <c r="E5050" s="6">
        <v>195.5</v>
      </c>
      <c r="F5050" s="11"/>
    </row>
    <row r="5051" spans="1:6">
      <c r="A5051" s="5" t="str">
        <f t="shared" si="87"/>
        <v>202318</v>
      </c>
      <c r="B5051" s="5" t="str">
        <f>"23085042512"</f>
        <v>23085042512</v>
      </c>
      <c r="C5051" s="6">
        <v>82.5</v>
      </c>
      <c r="D5051" s="6">
        <v>112.5</v>
      </c>
      <c r="E5051" s="6">
        <v>195</v>
      </c>
      <c r="F5051" s="11"/>
    </row>
    <row r="5052" spans="1:6">
      <c r="A5052" s="5" t="str">
        <f t="shared" si="87"/>
        <v>202318</v>
      </c>
      <c r="B5052" s="5" t="str">
        <f>"23085043026"</f>
        <v>23085043026</v>
      </c>
      <c r="C5052" s="6">
        <v>90</v>
      </c>
      <c r="D5052" s="6">
        <v>105</v>
      </c>
      <c r="E5052" s="6">
        <v>195</v>
      </c>
      <c r="F5052" s="11"/>
    </row>
    <row r="5053" spans="1:6">
      <c r="A5053" s="5" t="str">
        <f t="shared" si="87"/>
        <v>202318</v>
      </c>
      <c r="B5053" s="5" t="str">
        <f>"23085041905"</f>
        <v>23085041905</v>
      </c>
      <c r="C5053" s="6">
        <v>93</v>
      </c>
      <c r="D5053" s="6">
        <v>102</v>
      </c>
      <c r="E5053" s="6">
        <v>195</v>
      </c>
      <c r="F5053" s="11"/>
    </row>
    <row r="5054" spans="1:6">
      <c r="A5054" s="5" t="str">
        <f t="shared" ref="A5054:A5117" si="88">"202318"</f>
        <v>202318</v>
      </c>
      <c r="B5054" s="5" t="str">
        <f>"23085042715"</f>
        <v>23085042715</v>
      </c>
      <c r="C5054" s="6">
        <v>81</v>
      </c>
      <c r="D5054" s="6">
        <v>114</v>
      </c>
      <c r="E5054" s="6">
        <v>195</v>
      </c>
      <c r="F5054" s="11"/>
    </row>
    <row r="5055" spans="1:6">
      <c r="A5055" s="5" t="str">
        <f t="shared" si="88"/>
        <v>202318</v>
      </c>
      <c r="B5055" s="5" t="str">
        <f>"23085041601"</f>
        <v>23085041601</v>
      </c>
      <c r="C5055" s="6">
        <v>78</v>
      </c>
      <c r="D5055" s="6">
        <v>117</v>
      </c>
      <c r="E5055" s="6">
        <v>195</v>
      </c>
      <c r="F5055" s="11"/>
    </row>
    <row r="5056" spans="1:6">
      <c r="A5056" s="5" t="str">
        <f t="shared" si="88"/>
        <v>202318</v>
      </c>
      <c r="B5056" s="5" t="str">
        <f>"23085041708"</f>
        <v>23085041708</v>
      </c>
      <c r="C5056" s="6">
        <v>84</v>
      </c>
      <c r="D5056" s="6">
        <v>110.5</v>
      </c>
      <c r="E5056" s="6">
        <v>194.5</v>
      </c>
      <c r="F5056" s="11"/>
    </row>
    <row r="5057" spans="1:6">
      <c r="A5057" s="5" t="str">
        <f t="shared" si="88"/>
        <v>202318</v>
      </c>
      <c r="B5057" s="5" t="str">
        <f>"23085041224"</f>
        <v>23085041224</v>
      </c>
      <c r="C5057" s="6">
        <v>82.5</v>
      </c>
      <c r="D5057" s="6">
        <v>112</v>
      </c>
      <c r="E5057" s="6">
        <v>194.5</v>
      </c>
      <c r="F5057" s="11"/>
    </row>
    <row r="5058" spans="1:6">
      <c r="A5058" s="5" t="str">
        <f t="shared" si="88"/>
        <v>202318</v>
      </c>
      <c r="B5058" s="5" t="str">
        <f>"23085042830"</f>
        <v>23085042830</v>
      </c>
      <c r="C5058" s="6">
        <v>84</v>
      </c>
      <c r="D5058" s="6">
        <v>110.5</v>
      </c>
      <c r="E5058" s="6">
        <v>194.5</v>
      </c>
      <c r="F5058" s="11"/>
    </row>
    <row r="5059" spans="1:6">
      <c r="A5059" s="5" t="str">
        <f t="shared" si="88"/>
        <v>202318</v>
      </c>
      <c r="B5059" s="5" t="str">
        <f>"23085041623"</f>
        <v>23085041623</v>
      </c>
      <c r="C5059" s="6">
        <v>85.5</v>
      </c>
      <c r="D5059" s="6">
        <v>109</v>
      </c>
      <c r="E5059" s="6">
        <v>194.5</v>
      </c>
      <c r="F5059" s="11"/>
    </row>
    <row r="5060" spans="1:6">
      <c r="A5060" s="5" t="str">
        <f t="shared" si="88"/>
        <v>202318</v>
      </c>
      <c r="B5060" s="5" t="str">
        <f>"23085040709"</f>
        <v>23085040709</v>
      </c>
      <c r="C5060" s="6">
        <v>94.5</v>
      </c>
      <c r="D5060" s="6">
        <v>99.5</v>
      </c>
      <c r="E5060" s="6">
        <v>194</v>
      </c>
      <c r="F5060" s="11"/>
    </row>
    <row r="5061" spans="1:6">
      <c r="A5061" s="5" t="str">
        <f t="shared" si="88"/>
        <v>202318</v>
      </c>
      <c r="B5061" s="5" t="str">
        <f>"23085041020"</f>
        <v>23085041020</v>
      </c>
      <c r="C5061" s="6">
        <v>90</v>
      </c>
      <c r="D5061" s="6">
        <v>104</v>
      </c>
      <c r="E5061" s="6">
        <v>194</v>
      </c>
      <c r="F5061" s="11"/>
    </row>
    <row r="5062" spans="1:6">
      <c r="A5062" s="5" t="str">
        <f t="shared" si="88"/>
        <v>202318</v>
      </c>
      <c r="B5062" s="5" t="str">
        <f>"23085042006"</f>
        <v>23085042006</v>
      </c>
      <c r="C5062" s="6">
        <v>85.5</v>
      </c>
      <c r="D5062" s="6">
        <v>108.5</v>
      </c>
      <c r="E5062" s="6">
        <v>194</v>
      </c>
      <c r="F5062" s="11"/>
    </row>
    <row r="5063" spans="1:6">
      <c r="A5063" s="5" t="str">
        <f t="shared" si="88"/>
        <v>202318</v>
      </c>
      <c r="B5063" s="5" t="str">
        <f>"23085042906"</f>
        <v>23085042906</v>
      </c>
      <c r="C5063" s="6">
        <v>78</v>
      </c>
      <c r="D5063" s="6">
        <v>116</v>
      </c>
      <c r="E5063" s="6">
        <v>194</v>
      </c>
      <c r="F5063" s="11"/>
    </row>
    <row r="5064" spans="1:6">
      <c r="A5064" s="5" t="str">
        <f t="shared" si="88"/>
        <v>202318</v>
      </c>
      <c r="B5064" s="5" t="str">
        <f>"23085042530"</f>
        <v>23085042530</v>
      </c>
      <c r="C5064" s="6">
        <v>81</v>
      </c>
      <c r="D5064" s="6">
        <v>113</v>
      </c>
      <c r="E5064" s="6">
        <v>194</v>
      </c>
      <c r="F5064" s="11"/>
    </row>
    <row r="5065" spans="1:6">
      <c r="A5065" s="5" t="str">
        <f t="shared" si="88"/>
        <v>202318</v>
      </c>
      <c r="B5065" s="5" t="str">
        <f>"23085041629"</f>
        <v>23085041629</v>
      </c>
      <c r="C5065" s="6">
        <v>78</v>
      </c>
      <c r="D5065" s="6">
        <v>115.5</v>
      </c>
      <c r="E5065" s="6">
        <v>193.5</v>
      </c>
      <c r="F5065" s="11"/>
    </row>
    <row r="5066" spans="1:6">
      <c r="A5066" s="5" t="str">
        <f t="shared" si="88"/>
        <v>202318</v>
      </c>
      <c r="B5066" s="5" t="str">
        <f>"23085042614"</f>
        <v>23085042614</v>
      </c>
      <c r="C5066" s="6">
        <v>82.5</v>
      </c>
      <c r="D5066" s="6">
        <v>111</v>
      </c>
      <c r="E5066" s="6">
        <v>193.5</v>
      </c>
      <c r="F5066" s="11"/>
    </row>
    <row r="5067" spans="1:6">
      <c r="A5067" s="5" t="str">
        <f t="shared" si="88"/>
        <v>202318</v>
      </c>
      <c r="B5067" s="5" t="str">
        <f>"23085041910"</f>
        <v>23085041910</v>
      </c>
      <c r="C5067" s="6">
        <v>84</v>
      </c>
      <c r="D5067" s="6">
        <v>109.5</v>
      </c>
      <c r="E5067" s="6">
        <v>193.5</v>
      </c>
      <c r="F5067" s="11"/>
    </row>
    <row r="5068" spans="1:6">
      <c r="A5068" s="5" t="str">
        <f t="shared" si="88"/>
        <v>202318</v>
      </c>
      <c r="B5068" s="5" t="str">
        <f>"23085041724"</f>
        <v>23085041724</v>
      </c>
      <c r="C5068" s="6">
        <v>84</v>
      </c>
      <c r="D5068" s="6">
        <v>109.5</v>
      </c>
      <c r="E5068" s="6">
        <v>193.5</v>
      </c>
      <c r="F5068" s="11"/>
    </row>
    <row r="5069" spans="1:6">
      <c r="A5069" s="5" t="str">
        <f t="shared" si="88"/>
        <v>202318</v>
      </c>
      <c r="B5069" s="5" t="str">
        <f>"23085043017"</f>
        <v>23085043017</v>
      </c>
      <c r="C5069" s="6">
        <v>84</v>
      </c>
      <c r="D5069" s="6">
        <v>109.5</v>
      </c>
      <c r="E5069" s="6">
        <v>193.5</v>
      </c>
      <c r="F5069" s="11"/>
    </row>
    <row r="5070" spans="1:6">
      <c r="A5070" s="5" t="str">
        <f t="shared" si="88"/>
        <v>202318</v>
      </c>
      <c r="B5070" s="5" t="str">
        <f>"23085041428"</f>
        <v>23085041428</v>
      </c>
      <c r="C5070" s="6">
        <v>87</v>
      </c>
      <c r="D5070" s="6">
        <v>106</v>
      </c>
      <c r="E5070" s="6">
        <v>193</v>
      </c>
      <c r="F5070" s="11"/>
    </row>
    <row r="5071" spans="1:6">
      <c r="A5071" s="5" t="str">
        <f t="shared" si="88"/>
        <v>202318</v>
      </c>
      <c r="B5071" s="5" t="str">
        <f>"23085042015"</f>
        <v>23085042015</v>
      </c>
      <c r="C5071" s="6">
        <v>96</v>
      </c>
      <c r="D5071" s="6">
        <v>97</v>
      </c>
      <c r="E5071" s="6">
        <v>193</v>
      </c>
      <c r="F5071" s="11"/>
    </row>
    <row r="5072" spans="1:6">
      <c r="A5072" s="5" t="str">
        <f t="shared" si="88"/>
        <v>202318</v>
      </c>
      <c r="B5072" s="5" t="str">
        <f>"23085041705"</f>
        <v>23085041705</v>
      </c>
      <c r="C5072" s="6">
        <v>76.5</v>
      </c>
      <c r="D5072" s="6">
        <v>116.5</v>
      </c>
      <c r="E5072" s="6">
        <v>193</v>
      </c>
      <c r="F5072" s="11"/>
    </row>
    <row r="5073" spans="1:6">
      <c r="A5073" s="5" t="str">
        <f t="shared" si="88"/>
        <v>202318</v>
      </c>
      <c r="B5073" s="5" t="str">
        <f>"23085043204"</f>
        <v>23085043204</v>
      </c>
      <c r="C5073" s="6">
        <v>76.5</v>
      </c>
      <c r="D5073" s="6">
        <v>116.5</v>
      </c>
      <c r="E5073" s="6">
        <v>193</v>
      </c>
      <c r="F5073" s="11"/>
    </row>
    <row r="5074" spans="1:6">
      <c r="A5074" s="5" t="str">
        <f t="shared" si="88"/>
        <v>202318</v>
      </c>
      <c r="B5074" s="5" t="str">
        <f>"23085041015"</f>
        <v>23085041015</v>
      </c>
      <c r="C5074" s="6">
        <v>100.5</v>
      </c>
      <c r="D5074" s="6">
        <v>92.5</v>
      </c>
      <c r="E5074" s="6">
        <v>193</v>
      </c>
      <c r="F5074" s="11"/>
    </row>
    <row r="5075" spans="1:6">
      <c r="A5075" s="5" t="str">
        <f t="shared" si="88"/>
        <v>202318</v>
      </c>
      <c r="B5075" s="5" t="str">
        <f>"23085041606"</f>
        <v>23085041606</v>
      </c>
      <c r="C5075" s="6">
        <v>88.5</v>
      </c>
      <c r="D5075" s="6">
        <v>104.5</v>
      </c>
      <c r="E5075" s="6">
        <v>193</v>
      </c>
      <c r="F5075" s="11"/>
    </row>
    <row r="5076" spans="1:6">
      <c r="A5076" s="5" t="str">
        <f t="shared" si="88"/>
        <v>202318</v>
      </c>
      <c r="B5076" s="5" t="str">
        <f>"23085041809"</f>
        <v>23085041809</v>
      </c>
      <c r="C5076" s="6">
        <v>82.5</v>
      </c>
      <c r="D5076" s="6">
        <v>110</v>
      </c>
      <c r="E5076" s="6">
        <v>192.5</v>
      </c>
      <c r="F5076" s="11"/>
    </row>
    <row r="5077" spans="1:6">
      <c r="A5077" s="5" t="str">
        <f t="shared" si="88"/>
        <v>202318</v>
      </c>
      <c r="B5077" s="5" t="str">
        <f>"23085041823"</f>
        <v>23085041823</v>
      </c>
      <c r="C5077" s="6">
        <v>93</v>
      </c>
      <c r="D5077" s="6">
        <v>99.5</v>
      </c>
      <c r="E5077" s="6">
        <v>192.5</v>
      </c>
      <c r="F5077" s="11"/>
    </row>
    <row r="5078" spans="1:6">
      <c r="A5078" s="5" t="str">
        <f t="shared" si="88"/>
        <v>202318</v>
      </c>
      <c r="B5078" s="5" t="str">
        <f>"23085042426"</f>
        <v>23085042426</v>
      </c>
      <c r="C5078" s="6">
        <v>78</v>
      </c>
      <c r="D5078" s="6">
        <v>114.5</v>
      </c>
      <c r="E5078" s="6">
        <v>192.5</v>
      </c>
      <c r="F5078" s="11"/>
    </row>
    <row r="5079" spans="1:6">
      <c r="A5079" s="5" t="str">
        <f t="shared" si="88"/>
        <v>202318</v>
      </c>
      <c r="B5079" s="5" t="str">
        <f>"23085041209"</f>
        <v>23085041209</v>
      </c>
      <c r="C5079" s="6">
        <v>78</v>
      </c>
      <c r="D5079" s="6">
        <v>114.5</v>
      </c>
      <c r="E5079" s="6">
        <v>192.5</v>
      </c>
      <c r="F5079" s="11"/>
    </row>
    <row r="5080" spans="1:6">
      <c r="A5080" s="5" t="str">
        <f t="shared" si="88"/>
        <v>202318</v>
      </c>
      <c r="B5080" s="5" t="str">
        <f>"23085042427"</f>
        <v>23085042427</v>
      </c>
      <c r="C5080" s="6">
        <v>85.5</v>
      </c>
      <c r="D5080" s="6">
        <v>107</v>
      </c>
      <c r="E5080" s="6">
        <v>192.5</v>
      </c>
      <c r="F5080" s="11"/>
    </row>
    <row r="5081" spans="1:6">
      <c r="A5081" s="5" t="str">
        <f t="shared" si="88"/>
        <v>202318</v>
      </c>
      <c r="B5081" s="5" t="str">
        <f>"23085041102"</f>
        <v>23085041102</v>
      </c>
      <c r="C5081" s="6">
        <v>91.5</v>
      </c>
      <c r="D5081" s="6">
        <v>101</v>
      </c>
      <c r="E5081" s="6">
        <v>192.5</v>
      </c>
      <c r="F5081" s="11"/>
    </row>
    <row r="5082" spans="1:6">
      <c r="A5082" s="5" t="str">
        <f t="shared" si="88"/>
        <v>202318</v>
      </c>
      <c r="B5082" s="5" t="str">
        <f>"23085042919"</f>
        <v>23085042919</v>
      </c>
      <c r="C5082" s="6">
        <v>87</v>
      </c>
      <c r="D5082" s="6">
        <v>105</v>
      </c>
      <c r="E5082" s="6">
        <v>192</v>
      </c>
      <c r="F5082" s="11"/>
    </row>
    <row r="5083" spans="1:6">
      <c r="A5083" s="5" t="str">
        <f t="shared" si="88"/>
        <v>202318</v>
      </c>
      <c r="B5083" s="5" t="str">
        <f>"23085041008"</f>
        <v>23085041008</v>
      </c>
      <c r="C5083" s="6">
        <v>82.5</v>
      </c>
      <c r="D5083" s="6">
        <v>109.5</v>
      </c>
      <c r="E5083" s="6">
        <v>192</v>
      </c>
      <c r="F5083" s="11"/>
    </row>
    <row r="5084" spans="1:6">
      <c r="A5084" s="5" t="str">
        <f t="shared" si="88"/>
        <v>202318</v>
      </c>
      <c r="B5084" s="5" t="str">
        <f>"23085041505"</f>
        <v>23085041505</v>
      </c>
      <c r="C5084" s="6">
        <v>90</v>
      </c>
      <c r="D5084" s="6">
        <v>102</v>
      </c>
      <c r="E5084" s="6">
        <v>192</v>
      </c>
      <c r="F5084" s="11"/>
    </row>
    <row r="5085" spans="1:6">
      <c r="A5085" s="5" t="str">
        <f t="shared" si="88"/>
        <v>202318</v>
      </c>
      <c r="B5085" s="5" t="str">
        <f>"23085041215"</f>
        <v>23085041215</v>
      </c>
      <c r="C5085" s="6">
        <v>82.5</v>
      </c>
      <c r="D5085" s="6">
        <v>109.5</v>
      </c>
      <c r="E5085" s="6">
        <v>192</v>
      </c>
      <c r="F5085" s="11"/>
    </row>
    <row r="5086" spans="1:6">
      <c r="A5086" s="5" t="str">
        <f t="shared" si="88"/>
        <v>202318</v>
      </c>
      <c r="B5086" s="5" t="str">
        <f>"23085040722"</f>
        <v>23085040722</v>
      </c>
      <c r="C5086" s="6">
        <v>87</v>
      </c>
      <c r="D5086" s="6">
        <v>104.5</v>
      </c>
      <c r="E5086" s="6">
        <v>191.5</v>
      </c>
      <c r="F5086" s="11"/>
    </row>
    <row r="5087" spans="1:6">
      <c r="A5087" s="5" t="str">
        <f t="shared" si="88"/>
        <v>202318</v>
      </c>
      <c r="B5087" s="5" t="str">
        <f>"23085041611"</f>
        <v>23085041611</v>
      </c>
      <c r="C5087" s="6">
        <v>84</v>
      </c>
      <c r="D5087" s="6">
        <v>107.5</v>
      </c>
      <c r="E5087" s="6">
        <v>191.5</v>
      </c>
      <c r="F5087" s="11"/>
    </row>
    <row r="5088" spans="1:6">
      <c r="A5088" s="5" t="str">
        <f t="shared" si="88"/>
        <v>202318</v>
      </c>
      <c r="B5088" s="5" t="str">
        <f>"23085042925"</f>
        <v>23085042925</v>
      </c>
      <c r="C5088" s="6">
        <v>73.5</v>
      </c>
      <c r="D5088" s="6">
        <v>118</v>
      </c>
      <c r="E5088" s="6">
        <v>191.5</v>
      </c>
      <c r="F5088" s="11"/>
    </row>
    <row r="5089" spans="1:6">
      <c r="A5089" s="5" t="str">
        <f t="shared" si="88"/>
        <v>202318</v>
      </c>
      <c r="B5089" s="5" t="str">
        <f>"23085041512"</f>
        <v>23085041512</v>
      </c>
      <c r="C5089" s="6">
        <v>81</v>
      </c>
      <c r="D5089" s="6">
        <v>110.5</v>
      </c>
      <c r="E5089" s="6">
        <v>191.5</v>
      </c>
      <c r="F5089" s="11"/>
    </row>
    <row r="5090" spans="1:6">
      <c r="A5090" s="5" t="str">
        <f t="shared" si="88"/>
        <v>202318</v>
      </c>
      <c r="B5090" s="5" t="str">
        <f>"23085042011"</f>
        <v>23085042011</v>
      </c>
      <c r="C5090" s="6">
        <v>76.5</v>
      </c>
      <c r="D5090" s="6">
        <v>115</v>
      </c>
      <c r="E5090" s="6">
        <v>191.5</v>
      </c>
      <c r="F5090" s="11"/>
    </row>
    <row r="5091" spans="1:6">
      <c r="A5091" s="5" t="str">
        <f t="shared" si="88"/>
        <v>202318</v>
      </c>
      <c r="B5091" s="5" t="str">
        <f>"23085041612"</f>
        <v>23085041612</v>
      </c>
      <c r="C5091" s="6">
        <v>79.5</v>
      </c>
      <c r="D5091" s="6">
        <v>112</v>
      </c>
      <c r="E5091" s="6">
        <v>191.5</v>
      </c>
      <c r="F5091" s="11"/>
    </row>
    <row r="5092" spans="1:6">
      <c r="A5092" s="5" t="str">
        <f t="shared" si="88"/>
        <v>202318</v>
      </c>
      <c r="B5092" s="5" t="str">
        <f>"23085042911"</f>
        <v>23085042911</v>
      </c>
      <c r="C5092" s="6">
        <v>70.5</v>
      </c>
      <c r="D5092" s="6">
        <v>120.5</v>
      </c>
      <c r="E5092" s="6">
        <v>191</v>
      </c>
      <c r="F5092" s="11"/>
    </row>
    <row r="5093" spans="1:6">
      <c r="A5093" s="5" t="str">
        <f t="shared" si="88"/>
        <v>202318</v>
      </c>
      <c r="B5093" s="5" t="str">
        <f>"23085041807"</f>
        <v>23085041807</v>
      </c>
      <c r="C5093" s="6">
        <v>79.5</v>
      </c>
      <c r="D5093" s="6">
        <v>111.5</v>
      </c>
      <c r="E5093" s="6">
        <v>191</v>
      </c>
      <c r="F5093" s="11"/>
    </row>
    <row r="5094" spans="1:6">
      <c r="A5094" s="5" t="str">
        <f t="shared" si="88"/>
        <v>202318</v>
      </c>
      <c r="B5094" s="5" t="str">
        <f>"23085042917"</f>
        <v>23085042917</v>
      </c>
      <c r="C5094" s="6">
        <v>78</v>
      </c>
      <c r="D5094" s="6">
        <v>113</v>
      </c>
      <c r="E5094" s="6">
        <v>191</v>
      </c>
      <c r="F5094" s="11"/>
    </row>
    <row r="5095" spans="1:6">
      <c r="A5095" s="5" t="str">
        <f t="shared" si="88"/>
        <v>202318</v>
      </c>
      <c r="B5095" s="5" t="str">
        <f>"23085042718"</f>
        <v>23085042718</v>
      </c>
      <c r="C5095" s="6">
        <v>81</v>
      </c>
      <c r="D5095" s="6">
        <v>110</v>
      </c>
      <c r="E5095" s="6">
        <v>191</v>
      </c>
      <c r="F5095" s="11"/>
    </row>
    <row r="5096" spans="1:6">
      <c r="A5096" s="5" t="str">
        <f t="shared" si="88"/>
        <v>202318</v>
      </c>
      <c r="B5096" s="5" t="str">
        <f>"23085041704"</f>
        <v>23085041704</v>
      </c>
      <c r="C5096" s="6">
        <v>82.5</v>
      </c>
      <c r="D5096" s="6">
        <v>108</v>
      </c>
      <c r="E5096" s="6">
        <v>190.5</v>
      </c>
      <c r="F5096" s="11"/>
    </row>
    <row r="5097" spans="1:6">
      <c r="A5097" s="5" t="str">
        <f t="shared" si="88"/>
        <v>202318</v>
      </c>
      <c r="B5097" s="5" t="str">
        <f>"23085042923"</f>
        <v>23085042923</v>
      </c>
      <c r="C5097" s="6">
        <v>81</v>
      </c>
      <c r="D5097" s="6">
        <v>109.5</v>
      </c>
      <c r="E5097" s="6">
        <v>190.5</v>
      </c>
      <c r="F5097" s="11"/>
    </row>
    <row r="5098" spans="1:6">
      <c r="A5098" s="5" t="str">
        <f t="shared" si="88"/>
        <v>202318</v>
      </c>
      <c r="B5098" s="5" t="str">
        <f>"23085041711"</f>
        <v>23085041711</v>
      </c>
      <c r="C5098" s="6">
        <v>78</v>
      </c>
      <c r="D5098" s="6">
        <v>112</v>
      </c>
      <c r="E5098" s="6">
        <v>190</v>
      </c>
      <c r="F5098" s="11"/>
    </row>
    <row r="5099" spans="1:6">
      <c r="A5099" s="5" t="str">
        <f t="shared" si="88"/>
        <v>202318</v>
      </c>
      <c r="B5099" s="5" t="str">
        <f>"23085042622"</f>
        <v>23085042622</v>
      </c>
      <c r="C5099" s="6">
        <v>85.5</v>
      </c>
      <c r="D5099" s="6">
        <v>104.5</v>
      </c>
      <c r="E5099" s="6">
        <v>190</v>
      </c>
      <c r="F5099" s="11"/>
    </row>
    <row r="5100" spans="1:6">
      <c r="A5100" s="5" t="str">
        <f t="shared" si="88"/>
        <v>202318</v>
      </c>
      <c r="B5100" s="5" t="str">
        <f>"23085041904"</f>
        <v>23085041904</v>
      </c>
      <c r="C5100" s="6">
        <v>75</v>
      </c>
      <c r="D5100" s="6">
        <v>115</v>
      </c>
      <c r="E5100" s="6">
        <v>190</v>
      </c>
      <c r="F5100" s="11"/>
    </row>
    <row r="5101" spans="1:6">
      <c r="A5101" s="5" t="str">
        <f t="shared" si="88"/>
        <v>202318</v>
      </c>
      <c r="B5101" s="5" t="str">
        <f>"23085042201"</f>
        <v>23085042201</v>
      </c>
      <c r="C5101" s="6">
        <v>85.5</v>
      </c>
      <c r="D5101" s="6">
        <v>104</v>
      </c>
      <c r="E5101" s="6">
        <v>189.5</v>
      </c>
      <c r="F5101" s="11"/>
    </row>
    <row r="5102" spans="1:6">
      <c r="A5102" s="5" t="str">
        <f t="shared" si="88"/>
        <v>202318</v>
      </c>
      <c r="B5102" s="5" t="str">
        <f>"23085041614"</f>
        <v>23085041614</v>
      </c>
      <c r="C5102" s="6">
        <v>87</v>
      </c>
      <c r="D5102" s="6">
        <v>102.5</v>
      </c>
      <c r="E5102" s="6">
        <v>189.5</v>
      </c>
      <c r="F5102" s="11"/>
    </row>
    <row r="5103" spans="1:6">
      <c r="A5103" s="5" t="str">
        <f t="shared" si="88"/>
        <v>202318</v>
      </c>
      <c r="B5103" s="5" t="str">
        <f>"23085042815"</f>
        <v>23085042815</v>
      </c>
      <c r="C5103" s="6">
        <v>84</v>
      </c>
      <c r="D5103" s="6">
        <v>105.5</v>
      </c>
      <c r="E5103" s="6">
        <v>189.5</v>
      </c>
      <c r="F5103" s="11"/>
    </row>
    <row r="5104" spans="1:6">
      <c r="A5104" s="5" t="str">
        <f t="shared" si="88"/>
        <v>202318</v>
      </c>
      <c r="B5104" s="5" t="str">
        <f>"23085040624"</f>
        <v>23085040624</v>
      </c>
      <c r="C5104" s="6">
        <v>87</v>
      </c>
      <c r="D5104" s="6">
        <v>102</v>
      </c>
      <c r="E5104" s="6">
        <v>189</v>
      </c>
      <c r="F5104" s="11"/>
    </row>
    <row r="5105" spans="1:6">
      <c r="A5105" s="5" t="str">
        <f t="shared" si="88"/>
        <v>202318</v>
      </c>
      <c r="B5105" s="5" t="str">
        <f>"23085042418"</f>
        <v>23085042418</v>
      </c>
      <c r="C5105" s="6">
        <v>81</v>
      </c>
      <c r="D5105" s="6">
        <v>108</v>
      </c>
      <c r="E5105" s="6">
        <v>189</v>
      </c>
      <c r="F5105" s="11"/>
    </row>
    <row r="5106" spans="1:6">
      <c r="A5106" s="5" t="str">
        <f t="shared" si="88"/>
        <v>202318</v>
      </c>
      <c r="B5106" s="5" t="str">
        <f>"23085041718"</f>
        <v>23085041718</v>
      </c>
      <c r="C5106" s="6">
        <v>81</v>
      </c>
      <c r="D5106" s="6">
        <v>108</v>
      </c>
      <c r="E5106" s="6">
        <v>189</v>
      </c>
      <c r="F5106" s="11"/>
    </row>
    <row r="5107" spans="1:6">
      <c r="A5107" s="5" t="str">
        <f t="shared" si="88"/>
        <v>202318</v>
      </c>
      <c r="B5107" s="5" t="str">
        <f>"23085041529"</f>
        <v>23085041529</v>
      </c>
      <c r="C5107" s="6">
        <v>78</v>
      </c>
      <c r="D5107" s="6">
        <v>111</v>
      </c>
      <c r="E5107" s="6">
        <v>189</v>
      </c>
      <c r="F5107" s="11"/>
    </row>
    <row r="5108" spans="1:6">
      <c r="A5108" s="5" t="str">
        <f t="shared" si="88"/>
        <v>202318</v>
      </c>
      <c r="B5108" s="5" t="str">
        <f>"23085042516"</f>
        <v>23085042516</v>
      </c>
      <c r="C5108" s="6">
        <v>81</v>
      </c>
      <c r="D5108" s="6">
        <v>108</v>
      </c>
      <c r="E5108" s="6">
        <v>189</v>
      </c>
      <c r="F5108" s="11"/>
    </row>
    <row r="5109" spans="1:6">
      <c r="A5109" s="5" t="str">
        <f t="shared" si="88"/>
        <v>202318</v>
      </c>
      <c r="B5109" s="5" t="str">
        <f>"23085042402"</f>
        <v>23085042402</v>
      </c>
      <c r="C5109" s="6">
        <v>82.5</v>
      </c>
      <c r="D5109" s="6">
        <v>106.5</v>
      </c>
      <c r="E5109" s="6">
        <v>189</v>
      </c>
      <c r="F5109" s="11"/>
    </row>
    <row r="5110" spans="1:6">
      <c r="A5110" s="5" t="str">
        <f t="shared" si="88"/>
        <v>202318</v>
      </c>
      <c r="B5110" s="5" t="str">
        <f>"23085043006"</f>
        <v>23085043006</v>
      </c>
      <c r="C5110" s="6">
        <v>75</v>
      </c>
      <c r="D5110" s="6">
        <v>114</v>
      </c>
      <c r="E5110" s="6">
        <v>189</v>
      </c>
      <c r="F5110" s="11"/>
    </row>
    <row r="5111" spans="1:6">
      <c r="A5111" s="5" t="str">
        <f t="shared" si="88"/>
        <v>202318</v>
      </c>
      <c r="B5111" s="5" t="str">
        <f>"23085043004"</f>
        <v>23085043004</v>
      </c>
      <c r="C5111" s="6">
        <v>84</v>
      </c>
      <c r="D5111" s="6">
        <v>105</v>
      </c>
      <c r="E5111" s="6">
        <v>189</v>
      </c>
      <c r="F5111" s="11"/>
    </row>
    <row r="5112" spans="1:6">
      <c r="A5112" s="5" t="str">
        <f t="shared" si="88"/>
        <v>202318</v>
      </c>
      <c r="B5112" s="5" t="str">
        <f>"23085042028"</f>
        <v>23085042028</v>
      </c>
      <c r="C5112" s="6">
        <v>75</v>
      </c>
      <c r="D5112" s="6">
        <v>113.5</v>
      </c>
      <c r="E5112" s="6">
        <v>188.5</v>
      </c>
      <c r="F5112" s="11"/>
    </row>
    <row r="5113" spans="1:6">
      <c r="A5113" s="5" t="str">
        <f t="shared" si="88"/>
        <v>202318</v>
      </c>
      <c r="B5113" s="5" t="str">
        <f>"23085041702"</f>
        <v>23085041702</v>
      </c>
      <c r="C5113" s="6">
        <v>81</v>
      </c>
      <c r="D5113" s="6">
        <v>107</v>
      </c>
      <c r="E5113" s="6">
        <v>188</v>
      </c>
      <c r="F5113" s="11"/>
    </row>
    <row r="5114" spans="1:6">
      <c r="A5114" s="5" t="str">
        <f t="shared" si="88"/>
        <v>202318</v>
      </c>
      <c r="B5114" s="5" t="str">
        <f>"23085042913"</f>
        <v>23085042913</v>
      </c>
      <c r="C5114" s="6">
        <v>66</v>
      </c>
      <c r="D5114" s="6">
        <v>122</v>
      </c>
      <c r="E5114" s="6">
        <v>188</v>
      </c>
      <c r="F5114" s="11"/>
    </row>
    <row r="5115" spans="1:6">
      <c r="A5115" s="5" t="str">
        <f t="shared" si="88"/>
        <v>202318</v>
      </c>
      <c r="B5115" s="5" t="str">
        <f>"23085043122"</f>
        <v>23085043122</v>
      </c>
      <c r="C5115" s="6">
        <v>84</v>
      </c>
      <c r="D5115" s="6">
        <v>103.5</v>
      </c>
      <c r="E5115" s="6">
        <v>187.5</v>
      </c>
      <c r="F5115" s="11"/>
    </row>
    <row r="5116" spans="1:6">
      <c r="A5116" s="5" t="str">
        <f t="shared" si="88"/>
        <v>202318</v>
      </c>
      <c r="B5116" s="5" t="str">
        <f>"23085042409"</f>
        <v>23085042409</v>
      </c>
      <c r="C5116" s="6">
        <v>73.5</v>
      </c>
      <c r="D5116" s="6">
        <v>114</v>
      </c>
      <c r="E5116" s="6">
        <v>187.5</v>
      </c>
      <c r="F5116" s="11"/>
    </row>
    <row r="5117" spans="1:6">
      <c r="A5117" s="5" t="str">
        <f t="shared" si="88"/>
        <v>202318</v>
      </c>
      <c r="B5117" s="5" t="str">
        <f>"23085041014"</f>
        <v>23085041014</v>
      </c>
      <c r="C5117" s="6">
        <v>78</v>
      </c>
      <c r="D5117" s="6">
        <v>109.5</v>
      </c>
      <c r="E5117" s="6">
        <v>187.5</v>
      </c>
      <c r="F5117" s="11"/>
    </row>
    <row r="5118" spans="1:6">
      <c r="A5118" s="5" t="str">
        <f t="shared" ref="A5118:A5181" si="89">"202318"</f>
        <v>202318</v>
      </c>
      <c r="B5118" s="5" t="str">
        <f>"23085041319"</f>
        <v>23085041319</v>
      </c>
      <c r="C5118" s="6">
        <v>82.5</v>
      </c>
      <c r="D5118" s="6">
        <v>104.5</v>
      </c>
      <c r="E5118" s="6">
        <v>187</v>
      </c>
      <c r="F5118" s="11"/>
    </row>
    <row r="5119" spans="1:6">
      <c r="A5119" s="5" t="str">
        <f t="shared" si="89"/>
        <v>202318</v>
      </c>
      <c r="B5119" s="5" t="str">
        <f>"23085042728"</f>
        <v>23085042728</v>
      </c>
      <c r="C5119" s="6">
        <v>75</v>
      </c>
      <c r="D5119" s="6">
        <v>112</v>
      </c>
      <c r="E5119" s="6">
        <v>187</v>
      </c>
      <c r="F5119" s="11"/>
    </row>
    <row r="5120" spans="1:6">
      <c r="A5120" s="5" t="str">
        <f t="shared" si="89"/>
        <v>202318</v>
      </c>
      <c r="B5120" s="5" t="str">
        <f>"23085041103"</f>
        <v>23085041103</v>
      </c>
      <c r="C5120" s="6">
        <v>67.5</v>
      </c>
      <c r="D5120" s="6">
        <v>119.5</v>
      </c>
      <c r="E5120" s="6">
        <v>187</v>
      </c>
      <c r="F5120" s="11"/>
    </row>
    <row r="5121" spans="1:6">
      <c r="A5121" s="5" t="str">
        <f t="shared" si="89"/>
        <v>202318</v>
      </c>
      <c r="B5121" s="5" t="str">
        <f>"23085042311"</f>
        <v>23085042311</v>
      </c>
      <c r="C5121" s="6">
        <v>75</v>
      </c>
      <c r="D5121" s="6">
        <v>111.5</v>
      </c>
      <c r="E5121" s="6">
        <v>186.5</v>
      </c>
      <c r="F5121" s="11"/>
    </row>
    <row r="5122" spans="1:6">
      <c r="A5122" s="5" t="str">
        <f t="shared" si="89"/>
        <v>202318</v>
      </c>
      <c r="B5122" s="5" t="str">
        <f>"23085041317"</f>
        <v>23085041317</v>
      </c>
      <c r="C5122" s="6">
        <v>79.5</v>
      </c>
      <c r="D5122" s="6">
        <v>107</v>
      </c>
      <c r="E5122" s="6">
        <v>186.5</v>
      </c>
      <c r="F5122" s="11"/>
    </row>
    <row r="5123" spans="1:6">
      <c r="A5123" s="5" t="str">
        <f t="shared" si="89"/>
        <v>202318</v>
      </c>
      <c r="B5123" s="5" t="str">
        <f>"23085041308"</f>
        <v>23085041308</v>
      </c>
      <c r="C5123" s="6">
        <v>79.5</v>
      </c>
      <c r="D5123" s="6">
        <v>107</v>
      </c>
      <c r="E5123" s="6">
        <v>186.5</v>
      </c>
      <c r="F5123" s="11"/>
    </row>
    <row r="5124" spans="1:6">
      <c r="A5124" s="5" t="str">
        <f t="shared" si="89"/>
        <v>202318</v>
      </c>
      <c r="B5124" s="5" t="str">
        <f>"23085042716"</f>
        <v>23085042716</v>
      </c>
      <c r="C5124" s="6">
        <v>78</v>
      </c>
      <c r="D5124" s="6">
        <v>108</v>
      </c>
      <c r="E5124" s="6">
        <v>186</v>
      </c>
      <c r="F5124" s="11"/>
    </row>
    <row r="5125" spans="1:6">
      <c r="A5125" s="5" t="str">
        <f t="shared" si="89"/>
        <v>202318</v>
      </c>
      <c r="B5125" s="5" t="str">
        <f>"23085041517"</f>
        <v>23085041517</v>
      </c>
      <c r="C5125" s="6">
        <v>73.5</v>
      </c>
      <c r="D5125" s="6">
        <v>112.5</v>
      </c>
      <c r="E5125" s="6">
        <v>186</v>
      </c>
      <c r="F5125" s="11"/>
    </row>
    <row r="5126" spans="1:6">
      <c r="A5126" s="5" t="str">
        <f t="shared" si="89"/>
        <v>202318</v>
      </c>
      <c r="B5126" s="5" t="str">
        <f>"23085043011"</f>
        <v>23085043011</v>
      </c>
      <c r="C5126" s="6">
        <v>75</v>
      </c>
      <c r="D5126" s="6">
        <v>111</v>
      </c>
      <c r="E5126" s="6">
        <v>186</v>
      </c>
      <c r="F5126" s="11"/>
    </row>
    <row r="5127" spans="1:6">
      <c r="A5127" s="5" t="str">
        <f t="shared" si="89"/>
        <v>202318</v>
      </c>
      <c r="B5127" s="5" t="str">
        <f>"23085042509"</f>
        <v>23085042509</v>
      </c>
      <c r="C5127" s="6">
        <v>67.5</v>
      </c>
      <c r="D5127" s="6">
        <v>118</v>
      </c>
      <c r="E5127" s="6">
        <v>185.5</v>
      </c>
      <c r="F5127" s="11"/>
    </row>
    <row r="5128" spans="1:6">
      <c r="A5128" s="5" t="str">
        <f t="shared" si="89"/>
        <v>202318</v>
      </c>
      <c r="B5128" s="5" t="str">
        <f>"23085041311"</f>
        <v>23085041311</v>
      </c>
      <c r="C5128" s="6">
        <v>78</v>
      </c>
      <c r="D5128" s="6">
        <v>107</v>
      </c>
      <c r="E5128" s="6">
        <v>185</v>
      </c>
      <c r="F5128" s="11"/>
    </row>
    <row r="5129" spans="1:6">
      <c r="A5129" s="5" t="str">
        <f t="shared" si="89"/>
        <v>202318</v>
      </c>
      <c r="B5129" s="5" t="str">
        <f>"23085042116"</f>
        <v>23085042116</v>
      </c>
      <c r="C5129" s="6">
        <v>76.5</v>
      </c>
      <c r="D5129" s="6">
        <v>108.5</v>
      </c>
      <c r="E5129" s="6">
        <v>185</v>
      </c>
      <c r="F5129" s="11"/>
    </row>
    <row r="5130" spans="1:6">
      <c r="A5130" s="5" t="str">
        <f t="shared" si="89"/>
        <v>202318</v>
      </c>
      <c r="B5130" s="5" t="str">
        <f>"23085040820"</f>
        <v>23085040820</v>
      </c>
      <c r="C5130" s="6">
        <v>82.5</v>
      </c>
      <c r="D5130" s="6">
        <v>102.5</v>
      </c>
      <c r="E5130" s="6">
        <v>185</v>
      </c>
      <c r="F5130" s="11"/>
    </row>
    <row r="5131" spans="1:6">
      <c r="A5131" s="5" t="str">
        <f t="shared" si="89"/>
        <v>202318</v>
      </c>
      <c r="B5131" s="5" t="str">
        <f>"23085040818"</f>
        <v>23085040818</v>
      </c>
      <c r="C5131" s="6">
        <v>70.5</v>
      </c>
      <c r="D5131" s="6">
        <v>114</v>
      </c>
      <c r="E5131" s="6">
        <v>184.5</v>
      </c>
      <c r="F5131" s="11"/>
    </row>
    <row r="5132" spans="1:6">
      <c r="A5132" s="5" t="str">
        <f t="shared" si="89"/>
        <v>202318</v>
      </c>
      <c r="B5132" s="5" t="str">
        <f>"23085043119"</f>
        <v>23085043119</v>
      </c>
      <c r="C5132" s="6">
        <v>85.5</v>
      </c>
      <c r="D5132" s="6">
        <v>99</v>
      </c>
      <c r="E5132" s="6">
        <v>184.5</v>
      </c>
      <c r="F5132" s="11"/>
    </row>
    <row r="5133" spans="1:6">
      <c r="A5133" s="5" t="str">
        <f t="shared" si="89"/>
        <v>202318</v>
      </c>
      <c r="B5133" s="5" t="str">
        <f>"23085041710"</f>
        <v>23085041710</v>
      </c>
      <c r="C5133" s="6">
        <v>67.5</v>
      </c>
      <c r="D5133" s="6">
        <v>117</v>
      </c>
      <c r="E5133" s="6">
        <v>184.5</v>
      </c>
      <c r="F5133" s="11"/>
    </row>
    <row r="5134" spans="1:6">
      <c r="A5134" s="5" t="str">
        <f t="shared" si="89"/>
        <v>202318</v>
      </c>
      <c r="B5134" s="5" t="str">
        <f>"23085042613"</f>
        <v>23085042613</v>
      </c>
      <c r="C5134" s="6">
        <v>70.5</v>
      </c>
      <c r="D5134" s="6">
        <v>114</v>
      </c>
      <c r="E5134" s="6">
        <v>184.5</v>
      </c>
      <c r="F5134" s="11"/>
    </row>
    <row r="5135" spans="1:6">
      <c r="A5135" s="5" t="str">
        <f t="shared" si="89"/>
        <v>202318</v>
      </c>
      <c r="B5135" s="5" t="str">
        <f>"23085041130"</f>
        <v>23085041130</v>
      </c>
      <c r="C5135" s="6">
        <v>76.5</v>
      </c>
      <c r="D5135" s="6">
        <v>108</v>
      </c>
      <c r="E5135" s="6">
        <v>184.5</v>
      </c>
      <c r="F5135" s="11"/>
    </row>
    <row r="5136" spans="1:6">
      <c r="A5136" s="5" t="str">
        <f t="shared" si="89"/>
        <v>202318</v>
      </c>
      <c r="B5136" s="5" t="str">
        <f>"23085042126"</f>
        <v>23085042126</v>
      </c>
      <c r="C5136" s="6">
        <v>85.5</v>
      </c>
      <c r="D5136" s="6">
        <v>98.5</v>
      </c>
      <c r="E5136" s="6">
        <v>184</v>
      </c>
      <c r="F5136" s="11"/>
    </row>
    <row r="5137" spans="1:6">
      <c r="A5137" s="5" t="str">
        <f t="shared" si="89"/>
        <v>202318</v>
      </c>
      <c r="B5137" s="5" t="str">
        <f>"23085042227"</f>
        <v>23085042227</v>
      </c>
      <c r="C5137" s="6">
        <v>73.5</v>
      </c>
      <c r="D5137" s="6">
        <v>110</v>
      </c>
      <c r="E5137" s="6">
        <v>183.5</v>
      </c>
      <c r="F5137" s="11"/>
    </row>
    <row r="5138" spans="1:6">
      <c r="A5138" s="5" t="str">
        <f t="shared" si="89"/>
        <v>202318</v>
      </c>
      <c r="B5138" s="5" t="str">
        <f>"23085041825"</f>
        <v>23085041825</v>
      </c>
      <c r="C5138" s="6">
        <v>73.5</v>
      </c>
      <c r="D5138" s="6">
        <v>110</v>
      </c>
      <c r="E5138" s="6">
        <v>183.5</v>
      </c>
      <c r="F5138" s="11"/>
    </row>
    <row r="5139" spans="1:6">
      <c r="A5139" s="5" t="str">
        <f t="shared" si="89"/>
        <v>202318</v>
      </c>
      <c r="B5139" s="5" t="str">
        <f>"23085041312"</f>
        <v>23085041312</v>
      </c>
      <c r="C5139" s="6">
        <v>76.5</v>
      </c>
      <c r="D5139" s="6">
        <v>107</v>
      </c>
      <c r="E5139" s="6">
        <v>183.5</v>
      </c>
      <c r="F5139" s="11"/>
    </row>
    <row r="5140" spans="1:6">
      <c r="A5140" s="5" t="str">
        <f t="shared" si="89"/>
        <v>202318</v>
      </c>
      <c r="B5140" s="5" t="str">
        <f>"23085042117"</f>
        <v>23085042117</v>
      </c>
      <c r="C5140" s="6">
        <v>79.5</v>
      </c>
      <c r="D5140" s="6">
        <v>103.5</v>
      </c>
      <c r="E5140" s="6">
        <v>183</v>
      </c>
      <c r="F5140" s="11"/>
    </row>
    <row r="5141" spans="1:6">
      <c r="A5141" s="5" t="str">
        <f t="shared" si="89"/>
        <v>202318</v>
      </c>
      <c r="B5141" s="5" t="str">
        <f>"23085042419"</f>
        <v>23085042419</v>
      </c>
      <c r="C5141" s="6">
        <v>79.5</v>
      </c>
      <c r="D5141" s="6">
        <v>103.5</v>
      </c>
      <c r="E5141" s="6">
        <v>183</v>
      </c>
      <c r="F5141" s="11"/>
    </row>
    <row r="5142" spans="1:6">
      <c r="A5142" s="5" t="str">
        <f t="shared" si="89"/>
        <v>202318</v>
      </c>
      <c r="B5142" s="5" t="str">
        <f>"23085042127"</f>
        <v>23085042127</v>
      </c>
      <c r="C5142" s="6">
        <v>84</v>
      </c>
      <c r="D5142" s="6">
        <v>98.5</v>
      </c>
      <c r="E5142" s="6">
        <v>182.5</v>
      </c>
      <c r="F5142" s="11"/>
    </row>
    <row r="5143" spans="1:6">
      <c r="A5143" s="5" t="str">
        <f t="shared" si="89"/>
        <v>202318</v>
      </c>
      <c r="B5143" s="5" t="str">
        <f>"23085040727"</f>
        <v>23085040727</v>
      </c>
      <c r="C5143" s="6">
        <v>66</v>
      </c>
      <c r="D5143" s="6">
        <v>116.5</v>
      </c>
      <c r="E5143" s="6">
        <v>182.5</v>
      </c>
      <c r="F5143" s="11"/>
    </row>
    <row r="5144" spans="1:6">
      <c r="A5144" s="5" t="str">
        <f t="shared" si="89"/>
        <v>202318</v>
      </c>
      <c r="B5144" s="5" t="str">
        <f>"23085042424"</f>
        <v>23085042424</v>
      </c>
      <c r="C5144" s="6">
        <v>63</v>
      </c>
      <c r="D5144" s="6">
        <v>119.5</v>
      </c>
      <c r="E5144" s="6">
        <v>182.5</v>
      </c>
      <c r="F5144" s="11"/>
    </row>
    <row r="5145" spans="1:6">
      <c r="A5145" s="5" t="str">
        <f t="shared" si="89"/>
        <v>202318</v>
      </c>
      <c r="B5145" s="5" t="str">
        <f>"23085041928"</f>
        <v>23085041928</v>
      </c>
      <c r="C5145" s="6">
        <v>84</v>
      </c>
      <c r="D5145" s="6">
        <v>98.5</v>
      </c>
      <c r="E5145" s="6">
        <v>182.5</v>
      </c>
      <c r="F5145" s="11"/>
    </row>
    <row r="5146" spans="1:6">
      <c r="A5146" s="5" t="str">
        <f t="shared" si="89"/>
        <v>202318</v>
      </c>
      <c r="B5146" s="5" t="str">
        <f>"23085041213"</f>
        <v>23085041213</v>
      </c>
      <c r="C5146" s="6">
        <v>75</v>
      </c>
      <c r="D5146" s="6">
        <v>107.5</v>
      </c>
      <c r="E5146" s="6">
        <v>182.5</v>
      </c>
      <c r="F5146" s="11"/>
    </row>
    <row r="5147" spans="1:6">
      <c r="A5147" s="5" t="str">
        <f t="shared" si="89"/>
        <v>202318</v>
      </c>
      <c r="B5147" s="5" t="str">
        <f>"23085042627"</f>
        <v>23085042627</v>
      </c>
      <c r="C5147" s="6">
        <v>78</v>
      </c>
      <c r="D5147" s="6">
        <v>104</v>
      </c>
      <c r="E5147" s="6">
        <v>182</v>
      </c>
      <c r="F5147" s="11"/>
    </row>
    <row r="5148" spans="1:6">
      <c r="A5148" s="5" t="str">
        <f t="shared" si="89"/>
        <v>202318</v>
      </c>
      <c r="B5148" s="5" t="str">
        <f>"23085041025"</f>
        <v>23085041025</v>
      </c>
      <c r="C5148" s="6">
        <v>76.5</v>
      </c>
      <c r="D5148" s="6">
        <v>105.5</v>
      </c>
      <c r="E5148" s="6">
        <v>182</v>
      </c>
      <c r="F5148" s="11"/>
    </row>
    <row r="5149" spans="1:6">
      <c r="A5149" s="5" t="str">
        <f t="shared" si="89"/>
        <v>202318</v>
      </c>
      <c r="B5149" s="5" t="str">
        <f>"23085042013"</f>
        <v>23085042013</v>
      </c>
      <c r="C5149" s="6">
        <v>79.5</v>
      </c>
      <c r="D5149" s="6">
        <v>102</v>
      </c>
      <c r="E5149" s="6">
        <v>181.5</v>
      </c>
      <c r="F5149" s="11"/>
    </row>
    <row r="5150" spans="1:6">
      <c r="A5150" s="5" t="str">
        <f t="shared" si="89"/>
        <v>202318</v>
      </c>
      <c r="B5150" s="5" t="str">
        <f>"23085041730"</f>
        <v>23085041730</v>
      </c>
      <c r="C5150" s="6">
        <v>70.5</v>
      </c>
      <c r="D5150" s="6">
        <v>111</v>
      </c>
      <c r="E5150" s="6">
        <v>181.5</v>
      </c>
      <c r="F5150" s="11"/>
    </row>
    <row r="5151" spans="1:6">
      <c r="A5151" s="5" t="str">
        <f t="shared" si="89"/>
        <v>202318</v>
      </c>
      <c r="B5151" s="5" t="str">
        <f>"23085041726"</f>
        <v>23085041726</v>
      </c>
      <c r="C5151" s="6">
        <v>70.5</v>
      </c>
      <c r="D5151" s="6">
        <v>111</v>
      </c>
      <c r="E5151" s="6">
        <v>181.5</v>
      </c>
      <c r="F5151" s="11"/>
    </row>
    <row r="5152" spans="1:6">
      <c r="A5152" s="5" t="str">
        <f t="shared" si="89"/>
        <v>202318</v>
      </c>
      <c r="B5152" s="5" t="str">
        <f>"23085041202"</f>
        <v>23085041202</v>
      </c>
      <c r="C5152" s="6">
        <v>75</v>
      </c>
      <c r="D5152" s="6">
        <v>106.5</v>
      </c>
      <c r="E5152" s="6">
        <v>181.5</v>
      </c>
      <c r="F5152" s="11"/>
    </row>
    <row r="5153" spans="1:6">
      <c r="A5153" s="5" t="str">
        <f t="shared" si="89"/>
        <v>202318</v>
      </c>
      <c r="B5153" s="5" t="str">
        <f>"23085041111"</f>
        <v>23085041111</v>
      </c>
      <c r="C5153" s="6">
        <v>69</v>
      </c>
      <c r="D5153" s="6">
        <v>112</v>
      </c>
      <c r="E5153" s="6">
        <v>181</v>
      </c>
      <c r="F5153" s="11"/>
    </row>
    <row r="5154" spans="1:6">
      <c r="A5154" s="5" t="str">
        <f t="shared" si="89"/>
        <v>202318</v>
      </c>
      <c r="B5154" s="5" t="str">
        <f>"23085042908"</f>
        <v>23085042908</v>
      </c>
      <c r="C5154" s="6">
        <v>73.5</v>
      </c>
      <c r="D5154" s="6">
        <v>107.5</v>
      </c>
      <c r="E5154" s="6">
        <v>181</v>
      </c>
      <c r="F5154" s="11"/>
    </row>
    <row r="5155" spans="1:6">
      <c r="A5155" s="5" t="str">
        <f t="shared" si="89"/>
        <v>202318</v>
      </c>
      <c r="B5155" s="5" t="str">
        <f>"23085041013"</f>
        <v>23085041013</v>
      </c>
      <c r="C5155" s="6">
        <v>70.5</v>
      </c>
      <c r="D5155" s="6">
        <v>110</v>
      </c>
      <c r="E5155" s="6">
        <v>180.5</v>
      </c>
      <c r="F5155" s="11"/>
    </row>
    <row r="5156" spans="1:6">
      <c r="A5156" s="5" t="str">
        <f t="shared" si="89"/>
        <v>202318</v>
      </c>
      <c r="B5156" s="5" t="str">
        <f>"23085040918"</f>
        <v>23085040918</v>
      </c>
      <c r="C5156" s="6">
        <v>69</v>
      </c>
      <c r="D5156" s="6">
        <v>111</v>
      </c>
      <c r="E5156" s="6">
        <v>180</v>
      </c>
      <c r="F5156" s="11"/>
    </row>
    <row r="5157" spans="1:6">
      <c r="A5157" s="5" t="str">
        <f t="shared" si="89"/>
        <v>202318</v>
      </c>
      <c r="B5157" s="5" t="str">
        <f>"23085041506"</f>
        <v>23085041506</v>
      </c>
      <c r="C5157" s="6">
        <v>70.5</v>
      </c>
      <c r="D5157" s="6">
        <v>109.5</v>
      </c>
      <c r="E5157" s="6">
        <v>180</v>
      </c>
      <c r="F5157" s="11"/>
    </row>
    <row r="5158" spans="1:6">
      <c r="A5158" s="5" t="str">
        <f t="shared" si="89"/>
        <v>202318</v>
      </c>
      <c r="B5158" s="5" t="str">
        <f>"23085041514"</f>
        <v>23085041514</v>
      </c>
      <c r="C5158" s="6">
        <v>76.5</v>
      </c>
      <c r="D5158" s="6">
        <v>103</v>
      </c>
      <c r="E5158" s="6">
        <v>179.5</v>
      </c>
      <c r="F5158" s="11"/>
    </row>
    <row r="5159" spans="1:6">
      <c r="A5159" s="5" t="str">
        <f t="shared" si="89"/>
        <v>202318</v>
      </c>
      <c r="B5159" s="5" t="str">
        <f>"23085041307"</f>
        <v>23085041307</v>
      </c>
      <c r="C5159" s="6">
        <v>66</v>
      </c>
      <c r="D5159" s="6">
        <v>113.5</v>
      </c>
      <c r="E5159" s="6">
        <v>179.5</v>
      </c>
      <c r="F5159" s="11"/>
    </row>
    <row r="5160" spans="1:6">
      <c r="A5160" s="5" t="str">
        <f t="shared" si="89"/>
        <v>202318</v>
      </c>
      <c r="B5160" s="5" t="str">
        <f>"23085043002"</f>
        <v>23085043002</v>
      </c>
      <c r="C5160" s="6">
        <v>66</v>
      </c>
      <c r="D5160" s="6">
        <v>113.5</v>
      </c>
      <c r="E5160" s="6">
        <v>179.5</v>
      </c>
      <c r="F5160" s="11"/>
    </row>
    <row r="5161" spans="1:6">
      <c r="A5161" s="5" t="str">
        <f t="shared" si="89"/>
        <v>202318</v>
      </c>
      <c r="B5161" s="5" t="str">
        <f>"23085041207"</f>
        <v>23085041207</v>
      </c>
      <c r="C5161" s="6">
        <v>72</v>
      </c>
      <c r="D5161" s="6">
        <v>107</v>
      </c>
      <c r="E5161" s="6">
        <v>179</v>
      </c>
      <c r="F5161" s="11"/>
    </row>
    <row r="5162" spans="1:6">
      <c r="A5162" s="5" t="str">
        <f t="shared" si="89"/>
        <v>202318</v>
      </c>
      <c r="B5162" s="5" t="str">
        <f>"23085043101"</f>
        <v>23085043101</v>
      </c>
      <c r="C5162" s="6">
        <v>69</v>
      </c>
      <c r="D5162" s="6">
        <v>110</v>
      </c>
      <c r="E5162" s="6">
        <v>179</v>
      </c>
      <c r="F5162" s="11"/>
    </row>
    <row r="5163" spans="1:6">
      <c r="A5163" s="5" t="str">
        <f t="shared" si="89"/>
        <v>202318</v>
      </c>
      <c r="B5163" s="5" t="str">
        <f>"23085042914"</f>
        <v>23085042914</v>
      </c>
      <c r="C5163" s="6">
        <v>70.5</v>
      </c>
      <c r="D5163" s="6">
        <v>108.5</v>
      </c>
      <c r="E5163" s="6">
        <v>179</v>
      </c>
      <c r="F5163" s="11"/>
    </row>
    <row r="5164" spans="1:6">
      <c r="A5164" s="5" t="str">
        <f t="shared" si="89"/>
        <v>202318</v>
      </c>
      <c r="B5164" s="5" t="str">
        <f>"23085041415"</f>
        <v>23085041415</v>
      </c>
      <c r="C5164" s="6">
        <v>73.5</v>
      </c>
      <c r="D5164" s="6">
        <v>105</v>
      </c>
      <c r="E5164" s="6">
        <v>178.5</v>
      </c>
      <c r="F5164" s="11"/>
    </row>
    <row r="5165" spans="1:6">
      <c r="A5165" s="5" t="str">
        <f t="shared" si="89"/>
        <v>202318</v>
      </c>
      <c r="B5165" s="5" t="str">
        <f>"23085042630"</f>
        <v>23085042630</v>
      </c>
      <c r="C5165" s="6">
        <v>79.5</v>
      </c>
      <c r="D5165" s="6">
        <v>98.5</v>
      </c>
      <c r="E5165" s="6">
        <v>178</v>
      </c>
      <c r="F5165" s="11"/>
    </row>
    <row r="5166" spans="1:6">
      <c r="A5166" s="5" t="str">
        <f t="shared" si="89"/>
        <v>202318</v>
      </c>
      <c r="B5166" s="5" t="str">
        <f>"23085042807"</f>
        <v>23085042807</v>
      </c>
      <c r="C5166" s="6">
        <v>82.5</v>
      </c>
      <c r="D5166" s="6">
        <v>95.5</v>
      </c>
      <c r="E5166" s="6">
        <v>178</v>
      </c>
      <c r="F5166" s="11"/>
    </row>
    <row r="5167" spans="1:6">
      <c r="A5167" s="5" t="str">
        <f t="shared" si="89"/>
        <v>202318</v>
      </c>
      <c r="B5167" s="5" t="str">
        <f>"23085041815"</f>
        <v>23085041815</v>
      </c>
      <c r="C5167" s="6">
        <v>69</v>
      </c>
      <c r="D5167" s="6">
        <v>108.5</v>
      </c>
      <c r="E5167" s="6">
        <v>177.5</v>
      </c>
      <c r="F5167" s="11"/>
    </row>
    <row r="5168" spans="1:6">
      <c r="A5168" s="5" t="str">
        <f t="shared" si="89"/>
        <v>202318</v>
      </c>
      <c r="B5168" s="5" t="str">
        <f>"23085041909"</f>
        <v>23085041909</v>
      </c>
      <c r="C5168" s="6">
        <v>75</v>
      </c>
      <c r="D5168" s="6">
        <v>102.5</v>
      </c>
      <c r="E5168" s="6">
        <v>177.5</v>
      </c>
      <c r="F5168" s="11"/>
    </row>
    <row r="5169" spans="1:6">
      <c r="A5169" s="5" t="str">
        <f t="shared" si="89"/>
        <v>202318</v>
      </c>
      <c r="B5169" s="5" t="str">
        <f>"23085041125"</f>
        <v>23085041125</v>
      </c>
      <c r="C5169" s="6">
        <v>109.5</v>
      </c>
      <c r="D5169" s="6">
        <v>68</v>
      </c>
      <c r="E5169" s="6">
        <v>177.5</v>
      </c>
      <c r="F5169" s="11"/>
    </row>
    <row r="5170" spans="1:6">
      <c r="A5170" s="5" t="str">
        <f t="shared" si="89"/>
        <v>202318</v>
      </c>
      <c r="B5170" s="5" t="str">
        <f>"23085042702"</f>
        <v>23085042702</v>
      </c>
      <c r="C5170" s="6">
        <v>70.5</v>
      </c>
      <c r="D5170" s="6">
        <v>107</v>
      </c>
      <c r="E5170" s="6">
        <v>177.5</v>
      </c>
      <c r="F5170" s="11"/>
    </row>
    <row r="5171" spans="1:6">
      <c r="A5171" s="5" t="str">
        <f t="shared" si="89"/>
        <v>202318</v>
      </c>
      <c r="B5171" s="5" t="str">
        <f>"23085040919"</f>
        <v>23085040919</v>
      </c>
      <c r="C5171" s="6">
        <v>73.5</v>
      </c>
      <c r="D5171" s="6">
        <v>103.5</v>
      </c>
      <c r="E5171" s="6">
        <v>177</v>
      </c>
      <c r="F5171" s="11"/>
    </row>
    <row r="5172" spans="1:6">
      <c r="A5172" s="5" t="str">
        <f t="shared" si="89"/>
        <v>202318</v>
      </c>
      <c r="B5172" s="5" t="str">
        <f>"23085042303"</f>
        <v>23085042303</v>
      </c>
      <c r="C5172" s="6">
        <v>64.5</v>
      </c>
      <c r="D5172" s="6">
        <v>112.5</v>
      </c>
      <c r="E5172" s="6">
        <v>177</v>
      </c>
      <c r="F5172" s="11"/>
    </row>
    <row r="5173" spans="1:6">
      <c r="A5173" s="5" t="str">
        <f t="shared" si="89"/>
        <v>202318</v>
      </c>
      <c r="B5173" s="5" t="str">
        <f>"23085042407"</f>
        <v>23085042407</v>
      </c>
      <c r="C5173" s="6">
        <v>69</v>
      </c>
      <c r="D5173" s="6">
        <v>108</v>
      </c>
      <c r="E5173" s="6">
        <v>177</v>
      </c>
      <c r="F5173" s="11"/>
    </row>
    <row r="5174" spans="1:6">
      <c r="A5174" s="5" t="str">
        <f t="shared" si="89"/>
        <v>202318</v>
      </c>
      <c r="B5174" s="5" t="str">
        <f>"23085041802"</f>
        <v>23085041802</v>
      </c>
      <c r="C5174" s="6">
        <v>79.5</v>
      </c>
      <c r="D5174" s="6">
        <v>97</v>
      </c>
      <c r="E5174" s="6">
        <v>176.5</v>
      </c>
      <c r="F5174" s="11"/>
    </row>
    <row r="5175" spans="1:6">
      <c r="A5175" s="5" t="str">
        <f t="shared" si="89"/>
        <v>202318</v>
      </c>
      <c r="B5175" s="5" t="str">
        <f>"23085043110"</f>
        <v>23085043110</v>
      </c>
      <c r="C5175" s="6">
        <v>60</v>
      </c>
      <c r="D5175" s="6">
        <v>116.5</v>
      </c>
      <c r="E5175" s="6">
        <v>176.5</v>
      </c>
      <c r="F5175" s="11"/>
    </row>
    <row r="5176" spans="1:6">
      <c r="A5176" s="5" t="str">
        <f t="shared" si="89"/>
        <v>202318</v>
      </c>
      <c r="B5176" s="5" t="str">
        <f>"23085041403"</f>
        <v>23085041403</v>
      </c>
      <c r="C5176" s="6">
        <v>64.5</v>
      </c>
      <c r="D5176" s="6">
        <v>111.5</v>
      </c>
      <c r="E5176" s="6">
        <v>176</v>
      </c>
      <c r="F5176" s="11"/>
    </row>
    <row r="5177" spans="1:6">
      <c r="A5177" s="5" t="str">
        <f t="shared" si="89"/>
        <v>202318</v>
      </c>
      <c r="B5177" s="5" t="str">
        <f>"23085042329"</f>
        <v>23085042329</v>
      </c>
      <c r="C5177" s="6">
        <v>66</v>
      </c>
      <c r="D5177" s="6">
        <v>110</v>
      </c>
      <c r="E5177" s="6">
        <v>176</v>
      </c>
      <c r="F5177" s="11"/>
    </row>
    <row r="5178" spans="1:6">
      <c r="A5178" s="5" t="str">
        <f t="shared" si="89"/>
        <v>202318</v>
      </c>
      <c r="B5178" s="5" t="str">
        <f>"23085041417"</f>
        <v>23085041417</v>
      </c>
      <c r="C5178" s="6">
        <v>67.5</v>
      </c>
      <c r="D5178" s="6">
        <v>108</v>
      </c>
      <c r="E5178" s="6">
        <v>175.5</v>
      </c>
      <c r="F5178" s="11"/>
    </row>
    <row r="5179" spans="1:6">
      <c r="A5179" s="5" t="str">
        <f t="shared" si="89"/>
        <v>202318</v>
      </c>
      <c r="B5179" s="5" t="str">
        <f>"23085041329"</f>
        <v>23085041329</v>
      </c>
      <c r="C5179" s="6">
        <v>75</v>
      </c>
      <c r="D5179" s="6">
        <v>100.5</v>
      </c>
      <c r="E5179" s="6">
        <v>175.5</v>
      </c>
      <c r="F5179" s="11"/>
    </row>
    <row r="5180" spans="1:6">
      <c r="A5180" s="5" t="str">
        <f t="shared" si="89"/>
        <v>202318</v>
      </c>
      <c r="B5180" s="5" t="str">
        <f>"23085042212"</f>
        <v>23085042212</v>
      </c>
      <c r="C5180" s="6">
        <v>69</v>
      </c>
      <c r="D5180" s="6">
        <v>105.5</v>
      </c>
      <c r="E5180" s="6">
        <v>174.5</v>
      </c>
      <c r="F5180" s="11"/>
    </row>
    <row r="5181" spans="1:6">
      <c r="A5181" s="5" t="str">
        <f t="shared" ref="A5181:A5244" si="90">"202318"</f>
        <v>202318</v>
      </c>
      <c r="B5181" s="5" t="str">
        <f>"23085042922"</f>
        <v>23085042922</v>
      </c>
      <c r="C5181" s="6">
        <v>69</v>
      </c>
      <c r="D5181" s="6">
        <v>105.5</v>
      </c>
      <c r="E5181" s="6">
        <v>174.5</v>
      </c>
      <c r="F5181" s="11"/>
    </row>
    <row r="5182" spans="1:6">
      <c r="A5182" s="5" t="str">
        <f t="shared" si="90"/>
        <v>202318</v>
      </c>
      <c r="B5182" s="5" t="str">
        <f>"23085040909"</f>
        <v>23085040909</v>
      </c>
      <c r="C5182" s="6">
        <v>67.5</v>
      </c>
      <c r="D5182" s="6">
        <v>106.5</v>
      </c>
      <c r="E5182" s="6">
        <v>174</v>
      </c>
      <c r="F5182" s="11"/>
    </row>
    <row r="5183" spans="1:6">
      <c r="A5183" s="5" t="str">
        <f t="shared" si="90"/>
        <v>202318</v>
      </c>
      <c r="B5183" s="5" t="str">
        <f>"23085041625"</f>
        <v>23085041625</v>
      </c>
      <c r="C5183" s="6">
        <v>63</v>
      </c>
      <c r="D5183" s="6">
        <v>111</v>
      </c>
      <c r="E5183" s="6">
        <v>174</v>
      </c>
      <c r="F5183" s="11"/>
    </row>
    <row r="5184" spans="1:6">
      <c r="A5184" s="5" t="str">
        <f t="shared" si="90"/>
        <v>202318</v>
      </c>
      <c r="B5184" s="5" t="str">
        <f>"23085042615"</f>
        <v>23085042615</v>
      </c>
      <c r="C5184" s="6">
        <v>61.5</v>
      </c>
      <c r="D5184" s="6">
        <v>112</v>
      </c>
      <c r="E5184" s="6">
        <v>173.5</v>
      </c>
      <c r="F5184" s="11"/>
    </row>
    <row r="5185" spans="1:6">
      <c r="A5185" s="5" t="str">
        <f t="shared" si="90"/>
        <v>202318</v>
      </c>
      <c r="B5185" s="5" t="str">
        <f>"23085042705"</f>
        <v>23085042705</v>
      </c>
      <c r="C5185" s="6">
        <v>67.5</v>
      </c>
      <c r="D5185" s="6">
        <v>105.5</v>
      </c>
      <c r="E5185" s="6">
        <v>173</v>
      </c>
      <c r="F5185" s="11"/>
    </row>
    <row r="5186" spans="1:6">
      <c r="A5186" s="5" t="str">
        <f t="shared" si="90"/>
        <v>202318</v>
      </c>
      <c r="B5186" s="5" t="str">
        <f>"23085041817"</f>
        <v>23085041817</v>
      </c>
      <c r="C5186" s="6">
        <v>67.5</v>
      </c>
      <c r="D5186" s="6">
        <v>105.5</v>
      </c>
      <c r="E5186" s="6">
        <v>173</v>
      </c>
      <c r="F5186" s="11"/>
    </row>
    <row r="5187" spans="1:6">
      <c r="A5187" s="5" t="str">
        <f t="shared" si="90"/>
        <v>202318</v>
      </c>
      <c r="B5187" s="5" t="str">
        <f>"23085040729"</f>
        <v>23085040729</v>
      </c>
      <c r="C5187" s="6">
        <v>69</v>
      </c>
      <c r="D5187" s="6">
        <v>103</v>
      </c>
      <c r="E5187" s="6">
        <v>172</v>
      </c>
      <c r="F5187" s="11"/>
    </row>
    <row r="5188" spans="1:6">
      <c r="A5188" s="5" t="str">
        <f t="shared" si="90"/>
        <v>202318</v>
      </c>
      <c r="B5188" s="5" t="str">
        <f>"23085042219"</f>
        <v>23085042219</v>
      </c>
      <c r="C5188" s="6">
        <v>64.5</v>
      </c>
      <c r="D5188" s="6">
        <v>107.5</v>
      </c>
      <c r="E5188" s="6">
        <v>172</v>
      </c>
      <c r="F5188" s="11"/>
    </row>
    <row r="5189" spans="1:6">
      <c r="A5189" s="5" t="str">
        <f t="shared" si="90"/>
        <v>202318</v>
      </c>
      <c r="B5189" s="5" t="str">
        <f>"23085041829"</f>
        <v>23085041829</v>
      </c>
      <c r="C5189" s="6">
        <v>63</v>
      </c>
      <c r="D5189" s="6">
        <v>108.5</v>
      </c>
      <c r="E5189" s="6">
        <v>171.5</v>
      </c>
      <c r="F5189" s="11"/>
    </row>
    <row r="5190" spans="1:6">
      <c r="A5190" s="5" t="str">
        <f t="shared" si="90"/>
        <v>202318</v>
      </c>
      <c r="B5190" s="5" t="str">
        <f>"23085042110"</f>
        <v>23085042110</v>
      </c>
      <c r="C5190" s="6">
        <v>76.5</v>
      </c>
      <c r="D5190" s="6">
        <v>94.5</v>
      </c>
      <c r="E5190" s="6">
        <v>171</v>
      </c>
      <c r="F5190" s="11"/>
    </row>
    <row r="5191" spans="1:6">
      <c r="A5191" s="5" t="str">
        <f t="shared" si="90"/>
        <v>202318</v>
      </c>
      <c r="B5191" s="5" t="str">
        <f>"23085041229"</f>
        <v>23085041229</v>
      </c>
      <c r="C5191" s="6">
        <v>64.5</v>
      </c>
      <c r="D5191" s="6">
        <v>106.5</v>
      </c>
      <c r="E5191" s="6">
        <v>171</v>
      </c>
      <c r="F5191" s="11"/>
    </row>
    <row r="5192" spans="1:6">
      <c r="A5192" s="5" t="str">
        <f t="shared" si="90"/>
        <v>202318</v>
      </c>
      <c r="B5192" s="5" t="str">
        <f>"23085040619"</f>
        <v>23085040619</v>
      </c>
      <c r="C5192" s="6">
        <v>60</v>
      </c>
      <c r="D5192" s="6">
        <v>111</v>
      </c>
      <c r="E5192" s="6">
        <v>171</v>
      </c>
      <c r="F5192" s="11"/>
    </row>
    <row r="5193" spans="1:6">
      <c r="A5193" s="5" t="str">
        <f t="shared" si="90"/>
        <v>202318</v>
      </c>
      <c r="B5193" s="5" t="str">
        <f>"23085040705"</f>
        <v>23085040705</v>
      </c>
      <c r="C5193" s="6">
        <v>67.5</v>
      </c>
      <c r="D5193" s="6">
        <v>103.5</v>
      </c>
      <c r="E5193" s="6">
        <v>171</v>
      </c>
      <c r="F5193" s="11"/>
    </row>
    <row r="5194" spans="1:6">
      <c r="A5194" s="5" t="str">
        <f t="shared" si="90"/>
        <v>202318</v>
      </c>
      <c r="B5194" s="5" t="str">
        <f>"23085042206"</f>
        <v>23085042206</v>
      </c>
      <c r="C5194" s="6">
        <v>60</v>
      </c>
      <c r="D5194" s="6">
        <v>110.5</v>
      </c>
      <c r="E5194" s="6">
        <v>170.5</v>
      </c>
      <c r="F5194" s="11"/>
    </row>
    <row r="5195" spans="1:6">
      <c r="A5195" s="5" t="str">
        <f t="shared" si="90"/>
        <v>202318</v>
      </c>
      <c r="B5195" s="5" t="str">
        <f>"23085043207"</f>
        <v>23085043207</v>
      </c>
      <c r="C5195" s="6">
        <v>78</v>
      </c>
      <c r="D5195" s="6">
        <v>92</v>
      </c>
      <c r="E5195" s="6">
        <v>170</v>
      </c>
      <c r="F5195" s="11"/>
    </row>
    <row r="5196" spans="1:6">
      <c r="A5196" s="5" t="str">
        <f t="shared" si="90"/>
        <v>202318</v>
      </c>
      <c r="B5196" s="5" t="str">
        <f>"23085041701"</f>
        <v>23085041701</v>
      </c>
      <c r="C5196" s="6">
        <v>70.5</v>
      </c>
      <c r="D5196" s="6">
        <v>99</v>
      </c>
      <c r="E5196" s="6">
        <v>169.5</v>
      </c>
      <c r="F5196" s="11"/>
    </row>
    <row r="5197" spans="1:6">
      <c r="A5197" s="5" t="str">
        <f t="shared" si="90"/>
        <v>202318</v>
      </c>
      <c r="B5197" s="5" t="str">
        <f>"23085043028"</f>
        <v>23085043028</v>
      </c>
      <c r="C5197" s="6">
        <v>69</v>
      </c>
      <c r="D5197" s="6">
        <v>100.5</v>
      </c>
      <c r="E5197" s="6">
        <v>169.5</v>
      </c>
      <c r="F5197" s="11"/>
    </row>
    <row r="5198" spans="1:6">
      <c r="A5198" s="5" t="str">
        <f t="shared" si="90"/>
        <v>202318</v>
      </c>
      <c r="B5198" s="5" t="str">
        <f>"23085041321"</f>
        <v>23085041321</v>
      </c>
      <c r="C5198" s="6">
        <v>69</v>
      </c>
      <c r="D5198" s="6">
        <v>100.5</v>
      </c>
      <c r="E5198" s="6">
        <v>169.5</v>
      </c>
      <c r="F5198" s="11"/>
    </row>
    <row r="5199" spans="1:6">
      <c r="A5199" s="5" t="str">
        <f t="shared" si="90"/>
        <v>202318</v>
      </c>
      <c r="B5199" s="5" t="str">
        <f>"23085041009"</f>
        <v>23085041009</v>
      </c>
      <c r="C5199" s="6">
        <v>52.5</v>
      </c>
      <c r="D5199" s="6">
        <v>116</v>
      </c>
      <c r="E5199" s="6">
        <v>168.5</v>
      </c>
      <c r="F5199" s="11"/>
    </row>
    <row r="5200" spans="1:6">
      <c r="A5200" s="5" t="str">
        <f t="shared" si="90"/>
        <v>202318</v>
      </c>
      <c r="B5200" s="5" t="str">
        <f>"23085042801"</f>
        <v>23085042801</v>
      </c>
      <c r="C5200" s="6">
        <v>55.5</v>
      </c>
      <c r="D5200" s="6">
        <v>113</v>
      </c>
      <c r="E5200" s="6">
        <v>168.5</v>
      </c>
      <c r="F5200" s="11"/>
    </row>
    <row r="5201" spans="1:6">
      <c r="A5201" s="5" t="str">
        <f t="shared" si="90"/>
        <v>202318</v>
      </c>
      <c r="B5201" s="5" t="str">
        <f>"23085042519"</f>
        <v>23085042519</v>
      </c>
      <c r="C5201" s="6">
        <v>70.5</v>
      </c>
      <c r="D5201" s="6">
        <v>98</v>
      </c>
      <c r="E5201" s="6">
        <v>168.5</v>
      </c>
      <c r="F5201" s="11"/>
    </row>
    <row r="5202" spans="1:6">
      <c r="A5202" s="5" t="str">
        <f t="shared" si="90"/>
        <v>202318</v>
      </c>
      <c r="B5202" s="5" t="str">
        <f>"23085041923"</f>
        <v>23085041923</v>
      </c>
      <c r="C5202" s="6">
        <v>58.5</v>
      </c>
      <c r="D5202" s="6">
        <v>109.5</v>
      </c>
      <c r="E5202" s="6">
        <v>168</v>
      </c>
      <c r="F5202" s="11"/>
    </row>
    <row r="5203" spans="1:6">
      <c r="A5203" s="5" t="str">
        <f t="shared" si="90"/>
        <v>202318</v>
      </c>
      <c r="B5203" s="5" t="str">
        <f>"23085042803"</f>
        <v>23085042803</v>
      </c>
      <c r="C5203" s="6">
        <v>58.5</v>
      </c>
      <c r="D5203" s="6">
        <v>109</v>
      </c>
      <c r="E5203" s="6">
        <v>167.5</v>
      </c>
      <c r="F5203" s="11"/>
    </row>
    <row r="5204" spans="1:6">
      <c r="A5204" s="5" t="str">
        <f t="shared" si="90"/>
        <v>202318</v>
      </c>
      <c r="B5204" s="5" t="str">
        <f>"23085041930"</f>
        <v>23085041930</v>
      </c>
      <c r="C5204" s="6">
        <v>69</v>
      </c>
      <c r="D5204" s="6">
        <v>98.5</v>
      </c>
      <c r="E5204" s="6">
        <v>167.5</v>
      </c>
      <c r="F5204" s="11"/>
    </row>
    <row r="5205" spans="1:6">
      <c r="A5205" s="5" t="str">
        <f t="shared" si="90"/>
        <v>202318</v>
      </c>
      <c r="B5205" s="5" t="str">
        <f>"23085042330"</f>
        <v>23085042330</v>
      </c>
      <c r="C5205" s="6">
        <v>61.5</v>
      </c>
      <c r="D5205" s="6">
        <v>105.5</v>
      </c>
      <c r="E5205" s="6">
        <v>167</v>
      </c>
      <c r="F5205" s="11"/>
    </row>
    <row r="5206" spans="1:6">
      <c r="A5206" s="5" t="str">
        <f t="shared" si="90"/>
        <v>202318</v>
      </c>
      <c r="B5206" s="5" t="str">
        <f>"23085041206"</f>
        <v>23085041206</v>
      </c>
      <c r="C5206" s="6">
        <v>57</v>
      </c>
      <c r="D5206" s="6">
        <v>109.5</v>
      </c>
      <c r="E5206" s="6">
        <v>166.5</v>
      </c>
      <c r="F5206" s="11"/>
    </row>
    <row r="5207" spans="1:6">
      <c r="A5207" s="5" t="str">
        <f t="shared" si="90"/>
        <v>202318</v>
      </c>
      <c r="B5207" s="5" t="str">
        <f>"23085041210"</f>
        <v>23085041210</v>
      </c>
      <c r="C5207" s="6">
        <v>57</v>
      </c>
      <c r="D5207" s="6">
        <v>109.5</v>
      </c>
      <c r="E5207" s="6">
        <v>166.5</v>
      </c>
      <c r="F5207" s="11"/>
    </row>
    <row r="5208" spans="1:6">
      <c r="A5208" s="5" t="str">
        <f t="shared" si="90"/>
        <v>202318</v>
      </c>
      <c r="B5208" s="5" t="str">
        <f>"23085043109"</f>
        <v>23085043109</v>
      </c>
      <c r="C5208" s="6">
        <v>67.5</v>
      </c>
      <c r="D5208" s="6">
        <v>98.5</v>
      </c>
      <c r="E5208" s="6">
        <v>166</v>
      </c>
      <c r="F5208" s="11"/>
    </row>
    <row r="5209" spans="1:6">
      <c r="A5209" s="5" t="str">
        <f t="shared" si="90"/>
        <v>202318</v>
      </c>
      <c r="B5209" s="5" t="str">
        <f>"23085041927"</f>
        <v>23085041927</v>
      </c>
      <c r="C5209" s="6">
        <v>73.5</v>
      </c>
      <c r="D5209" s="6">
        <v>92</v>
      </c>
      <c r="E5209" s="6">
        <v>165.5</v>
      </c>
      <c r="F5209" s="11"/>
    </row>
    <row r="5210" spans="1:6">
      <c r="A5210" s="5" t="str">
        <f t="shared" si="90"/>
        <v>202318</v>
      </c>
      <c r="B5210" s="5" t="str">
        <f>"23085040707"</f>
        <v>23085040707</v>
      </c>
      <c r="C5210" s="6">
        <v>67.5</v>
      </c>
      <c r="D5210" s="6">
        <v>97.5</v>
      </c>
      <c r="E5210" s="6">
        <v>165</v>
      </c>
      <c r="F5210" s="11"/>
    </row>
    <row r="5211" spans="1:6">
      <c r="A5211" s="5" t="str">
        <f t="shared" si="90"/>
        <v>202318</v>
      </c>
      <c r="B5211" s="5" t="str">
        <f>"23085042003"</f>
        <v>23085042003</v>
      </c>
      <c r="C5211" s="6">
        <v>63</v>
      </c>
      <c r="D5211" s="6">
        <v>101.5</v>
      </c>
      <c r="E5211" s="6">
        <v>164.5</v>
      </c>
      <c r="F5211" s="11"/>
    </row>
    <row r="5212" spans="1:6">
      <c r="A5212" s="5" t="str">
        <f t="shared" si="90"/>
        <v>202318</v>
      </c>
      <c r="B5212" s="5" t="str">
        <f>"23085042525"</f>
        <v>23085042525</v>
      </c>
      <c r="C5212" s="6">
        <v>52.5</v>
      </c>
      <c r="D5212" s="6">
        <v>112</v>
      </c>
      <c r="E5212" s="6">
        <v>164.5</v>
      </c>
      <c r="F5212" s="11"/>
    </row>
    <row r="5213" spans="1:6">
      <c r="A5213" s="5" t="str">
        <f t="shared" si="90"/>
        <v>202318</v>
      </c>
      <c r="B5213" s="5" t="str">
        <f>"23085043121"</f>
        <v>23085043121</v>
      </c>
      <c r="C5213" s="6">
        <v>66</v>
      </c>
      <c r="D5213" s="6">
        <v>98</v>
      </c>
      <c r="E5213" s="6">
        <v>164</v>
      </c>
      <c r="F5213" s="11"/>
    </row>
    <row r="5214" spans="1:6">
      <c r="A5214" s="5" t="str">
        <f t="shared" si="90"/>
        <v>202318</v>
      </c>
      <c r="B5214" s="5" t="str">
        <f>"23085042526"</f>
        <v>23085042526</v>
      </c>
      <c r="C5214" s="6">
        <v>61.5</v>
      </c>
      <c r="D5214" s="6">
        <v>102</v>
      </c>
      <c r="E5214" s="6">
        <v>163.5</v>
      </c>
      <c r="F5214" s="11"/>
    </row>
    <row r="5215" spans="1:6">
      <c r="A5215" s="5" t="str">
        <f t="shared" si="90"/>
        <v>202318</v>
      </c>
      <c r="B5215" s="5" t="str">
        <f>"23085042125"</f>
        <v>23085042125</v>
      </c>
      <c r="C5215" s="6">
        <v>70.5</v>
      </c>
      <c r="D5215" s="6">
        <v>93</v>
      </c>
      <c r="E5215" s="6">
        <v>163.5</v>
      </c>
      <c r="F5215" s="11"/>
    </row>
    <row r="5216" spans="1:6">
      <c r="A5216" s="5" t="str">
        <f t="shared" si="90"/>
        <v>202318</v>
      </c>
      <c r="B5216" s="5" t="str">
        <f>"23085042306"</f>
        <v>23085042306</v>
      </c>
      <c r="C5216" s="6">
        <v>55.5</v>
      </c>
      <c r="D5216" s="6">
        <v>106</v>
      </c>
      <c r="E5216" s="6">
        <v>161.5</v>
      </c>
      <c r="F5216" s="11"/>
    </row>
    <row r="5217" spans="1:6">
      <c r="A5217" s="5" t="str">
        <f t="shared" si="90"/>
        <v>202318</v>
      </c>
      <c r="B5217" s="5" t="str">
        <f>"23085042121"</f>
        <v>23085042121</v>
      </c>
      <c r="C5217" s="6">
        <v>82.5</v>
      </c>
      <c r="D5217" s="6">
        <v>79</v>
      </c>
      <c r="E5217" s="6">
        <v>161.5</v>
      </c>
      <c r="F5217" s="11"/>
    </row>
    <row r="5218" spans="1:6">
      <c r="A5218" s="5" t="str">
        <f t="shared" si="90"/>
        <v>202318</v>
      </c>
      <c r="B5218" s="5" t="str">
        <f>"23085042313"</f>
        <v>23085042313</v>
      </c>
      <c r="C5218" s="6">
        <v>63</v>
      </c>
      <c r="D5218" s="6">
        <v>98</v>
      </c>
      <c r="E5218" s="6">
        <v>161</v>
      </c>
      <c r="F5218" s="11"/>
    </row>
    <row r="5219" spans="1:6">
      <c r="A5219" s="5" t="str">
        <f t="shared" si="90"/>
        <v>202318</v>
      </c>
      <c r="B5219" s="5" t="str">
        <f>"23085041715"</f>
        <v>23085041715</v>
      </c>
      <c r="C5219" s="6">
        <v>64.5</v>
      </c>
      <c r="D5219" s="6">
        <v>94.5</v>
      </c>
      <c r="E5219" s="6">
        <v>159</v>
      </c>
      <c r="F5219" s="11"/>
    </row>
    <row r="5220" spans="1:6">
      <c r="A5220" s="5" t="str">
        <f t="shared" si="90"/>
        <v>202318</v>
      </c>
      <c r="B5220" s="5" t="str">
        <f>"23085042425"</f>
        <v>23085042425</v>
      </c>
      <c r="C5220" s="6">
        <v>61.5</v>
      </c>
      <c r="D5220" s="6">
        <v>97.5</v>
      </c>
      <c r="E5220" s="6">
        <v>159</v>
      </c>
      <c r="F5220" s="11"/>
    </row>
    <row r="5221" spans="1:6">
      <c r="A5221" s="5" t="str">
        <f t="shared" si="90"/>
        <v>202318</v>
      </c>
      <c r="B5221" s="5" t="str">
        <f>"23085042825"</f>
        <v>23085042825</v>
      </c>
      <c r="C5221" s="6">
        <v>48</v>
      </c>
      <c r="D5221" s="6">
        <v>110.5</v>
      </c>
      <c r="E5221" s="6">
        <v>158.5</v>
      </c>
      <c r="F5221" s="11"/>
    </row>
    <row r="5222" spans="1:6">
      <c r="A5222" s="5" t="str">
        <f t="shared" si="90"/>
        <v>202318</v>
      </c>
      <c r="B5222" s="5" t="str">
        <f>"23085041003"</f>
        <v>23085041003</v>
      </c>
      <c r="C5222" s="6">
        <v>51</v>
      </c>
      <c r="D5222" s="6">
        <v>106</v>
      </c>
      <c r="E5222" s="6">
        <v>157</v>
      </c>
      <c r="F5222" s="11"/>
    </row>
    <row r="5223" spans="1:6">
      <c r="A5223" s="5" t="str">
        <f t="shared" si="90"/>
        <v>202318</v>
      </c>
      <c r="B5223" s="5" t="str">
        <f>"23085041828"</f>
        <v>23085041828</v>
      </c>
      <c r="C5223" s="6">
        <v>63</v>
      </c>
      <c r="D5223" s="6">
        <v>92.5</v>
      </c>
      <c r="E5223" s="6">
        <v>155.5</v>
      </c>
      <c r="F5223" s="11"/>
    </row>
    <row r="5224" spans="1:6">
      <c r="A5224" s="5" t="str">
        <f t="shared" si="90"/>
        <v>202318</v>
      </c>
      <c r="B5224" s="5" t="str">
        <f>"23085043106"</f>
        <v>23085043106</v>
      </c>
      <c r="C5224" s="6">
        <v>42</v>
      </c>
      <c r="D5224" s="6">
        <v>113.5</v>
      </c>
      <c r="E5224" s="6">
        <v>155.5</v>
      </c>
      <c r="F5224" s="11"/>
    </row>
    <row r="5225" spans="1:6">
      <c r="A5225" s="5" t="str">
        <f t="shared" si="90"/>
        <v>202318</v>
      </c>
      <c r="B5225" s="5" t="str">
        <f>"23085041610"</f>
        <v>23085041610</v>
      </c>
      <c r="C5225" s="6">
        <v>85.5</v>
      </c>
      <c r="D5225" s="6">
        <v>69.5</v>
      </c>
      <c r="E5225" s="6">
        <v>155</v>
      </c>
      <c r="F5225" s="11"/>
    </row>
    <row r="5226" spans="1:6">
      <c r="A5226" s="5" t="str">
        <f t="shared" si="90"/>
        <v>202318</v>
      </c>
      <c r="B5226" s="5" t="str">
        <f>"23085041328"</f>
        <v>23085041328</v>
      </c>
      <c r="C5226" s="6">
        <v>69</v>
      </c>
      <c r="D5226" s="6">
        <v>86</v>
      </c>
      <c r="E5226" s="6">
        <v>155</v>
      </c>
      <c r="F5226" s="11"/>
    </row>
    <row r="5227" spans="1:6">
      <c r="A5227" s="5" t="str">
        <f t="shared" si="90"/>
        <v>202318</v>
      </c>
      <c r="B5227" s="5" t="str">
        <f>"23085041225"</f>
        <v>23085041225</v>
      </c>
      <c r="C5227" s="6">
        <v>75</v>
      </c>
      <c r="D5227" s="6">
        <v>80</v>
      </c>
      <c r="E5227" s="6">
        <v>155</v>
      </c>
      <c r="F5227" s="11"/>
    </row>
    <row r="5228" spans="1:6">
      <c r="A5228" s="5" t="str">
        <f t="shared" si="90"/>
        <v>202318</v>
      </c>
      <c r="B5228" s="5" t="str">
        <f>"23085041216"</f>
        <v>23085041216</v>
      </c>
      <c r="C5228" s="6">
        <v>55.5</v>
      </c>
      <c r="D5228" s="6">
        <v>99</v>
      </c>
      <c r="E5228" s="6">
        <v>154.5</v>
      </c>
      <c r="F5228" s="11"/>
    </row>
    <row r="5229" spans="1:6">
      <c r="A5229" s="5" t="str">
        <f t="shared" si="90"/>
        <v>202318</v>
      </c>
      <c r="B5229" s="5" t="str">
        <f>"23085041621"</f>
        <v>23085041621</v>
      </c>
      <c r="C5229" s="6">
        <v>55.5</v>
      </c>
      <c r="D5229" s="6">
        <v>98</v>
      </c>
      <c r="E5229" s="6">
        <v>153.5</v>
      </c>
      <c r="F5229" s="11"/>
    </row>
    <row r="5230" spans="1:6">
      <c r="A5230" s="5" t="str">
        <f t="shared" si="90"/>
        <v>202318</v>
      </c>
      <c r="B5230" s="5" t="str">
        <f>"23085042827"</f>
        <v>23085042827</v>
      </c>
      <c r="C5230" s="6">
        <v>54</v>
      </c>
      <c r="D5230" s="6">
        <v>97.5</v>
      </c>
      <c r="E5230" s="6">
        <v>151.5</v>
      </c>
      <c r="F5230" s="11"/>
    </row>
    <row r="5231" spans="1:6">
      <c r="A5231" s="5" t="str">
        <f t="shared" si="90"/>
        <v>202318</v>
      </c>
      <c r="B5231" s="5" t="str">
        <f>"23085042221"</f>
        <v>23085042221</v>
      </c>
      <c r="C5231" s="6">
        <v>40.5</v>
      </c>
      <c r="D5231" s="6">
        <v>111</v>
      </c>
      <c r="E5231" s="6">
        <v>151.5</v>
      </c>
      <c r="F5231" s="11"/>
    </row>
    <row r="5232" spans="1:6">
      <c r="A5232" s="5" t="str">
        <f t="shared" si="90"/>
        <v>202318</v>
      </c>
      <c r="B5232" s="5" t="str">
        <f>"23085043013"</f>
        <v>23085043013</v>
      </c>
      <c r="C5232" s="6">
        <v>45</v>
      </c>
      <c r="D5232" s="6">
        <v>106</v>
      </c>
      <c r="E5232" s="6">
        <v>151</v>
      </c>
      <c r="F5232" s="11"/>
    </row>
    <row r="5233" spans="1:6">
      <c r="A5233" s="5" t="str">
        <f t="shared" si="90"/>
        <v>202318</v>
      </c>
      <c r="B5233" s="5" t="str">
        <f>"23085041527"</f>
        <v>23085041527</v>
      </c>
      <c r="C5233" s="6">
        <v>58.5</v>
      </c>
      <c r="D5233" s="6">
        <v>92</v>
      </c>
      <c r="E5233" s="6">
        <v>150.5</v>
      </c>
      <c r="F5233" s="11"/>
    </row>
    <row r="5234" spans="1:6">
      <c r="A5234" s="5" t="str">
        <f t="shared" si="90"/>
        <v>202318</v>
      </c>
      <c r="B5234" s="5" t="str">
        <f>"23085042228"</f>
        <v>23085042228</v>
      </c>
      <c r="C5234" s="6">
        <v>49.5</v>
      </c>
      <c r="D5234" s="6">
        <v>95.5</v>
      </c>
      <c r="E5234" s="6">
        <v>145</v>
      </c>
      <c r="F5234" s="11"/>
    </row>
    <row r="5235" spans="1:6">
      <c r="A5235" s="5" t="str">
        <f t="shared" si="90"/>
        <v>202318</v>
      </c>
      <c r="B5235" s="5" t="str">
        <f>"23085042901"</f>
        <v>23085042901</v>
      </c>
      <c r="C5235" s="6">
        <v>60</v>
      </c>
      <c r="D5235" s="6">
        <v>81.5</v>
      </c>
      <c r="E5235" s="6">
        <v>141.5</v>
      </c>
      <c r="F5235" s="11"/>
    </row>
    <row r="5236" spans="1:6">
      <c r="A5236" s="5" t="str">
        <f t="shared" si="90"/>
        <v>202318</v>
      </c>
      <c r="B5236" s="5" t="str">
        <f>"23085040714"</f>
        <v>23085040714</v>
      </c>
      <c r="C5236" s="6">
        <v>55.5</v>
      </c>
      <c r="D5236" s="6">
        <v>82.5</v>
      </c>
      <c r="E5236" s="6">
        <v>138</v>
      </c>
      <c r="F5236" s="11"/>
    </row>
    <row r="5237" spans="1:6">
      <c r="A5237" s="5" t="str">
        <f t="shared" si="90"/>
        <v>202318</v>
      </c>
      <c r="B5237" s="5" t="str">
        <f>"23085041903"</f>
        <v>23085041903</v>
      </c>
      <c r="C5237" s="6">
        <v>61.5</v>
      </c>
      <c r="D5237" s="6">
        <v>74</v>
      </c>
      <c r="E5237" s="6">
        <v>135.5</v>
      </c>
      <c r="F5237" s="11"/>
    </row>
    <row r="5238" spans="1:6">
      <c r="A5238" s="5" t="str">
        <f t="shared" si="90"/>
        <v>202318</v>
      </c>
      <c r="B5238" s="5" t="str">
        <f>"23085043125"</f>
        <v>23085043125</v>
      </c>
      <c r="C5238" s="6">
        <v>58.5</v>
      </c>
      <c r="D5238" s="6">
        <v>76.5</v>
      </c>
      <c r="E5238" s="6">
        <v>135</v>
      </c>
      <c r="F5238" s="11"/>
    </row>
    <row r="5239" spans="1:6">
      <c r="A5239" s="5" t="str">
        <f t="shared" si="90"/>
        <v>202318</v>
      </c>
      <c r="B5239" s="5" t="str">
        <f>"23085040717"</f>
        <v>23085040717</v>
      </c>
      <c r="C5239" s="6">
        <v>73.5</v>
      </c>
      <c r="D5239" s="6">
        <v>51.5</v>
      </c>
      <c r="E5239" s="6">
        <v>125</v>
      </c>
      <c r="F5239" s="11"/>
    </row>
    <row r="5240" spans="1:6">
      <c r="A5240" s="5" t="str">
        <f t="shared" si="90"/>
        <v>202318</v>
      </c>
      <c r="B5240" s="5" t="str">
        <f>"23085042929"</f>
        <v>23085042929</v>
      </c>
      <c r="C5240" s="6">
        <v>54</v>
      </c>
      <c r="D5240" s="6">
        <v>50.5</v>
      </c>
      <c r="E5240" s="6">
        <v>104.5</v>
      </c>
      <c r="F5240" s="11"/>
    </row>
    <row r="5241" spans="1:6">
      <c r="A5241" s="12" t="str">
        <f t="shared" si="90"/>
        <v>202318</v>
      </c>
      <c r="B5241" s="12" t="str">
        <f>"23085040907"</f>
        <v>23085040907</v>
      </c>
      <c r="C5241" s="6">
        <v>0</v>
      </c>
      <c r="D5241" s="6">
        <v>0</v>
      </c>
      <c r="E5241" s="6">
        <v>0</v>
      </c>
      <c r="F5241" s="11" t="s">
        <v>8</v>
      </c>
    </row>
    <row r="5242" spans="1:6">
      <c r="A5242" s="5" t="str">
        <f t="shared" si="90"/>
        <v>202318</v>
      </c>
      <c r="B5242" s="5" t="str">
        <f>"23085042811"</f>
        <v>23085042811</v>
      </c>
      <c r="C5242" s="6">
        <v>0</v>
      </c>
      <c r="D5242" s="6">
        <v>0</v>
      </c>
      <c r="E5242" s="6">
        <v>0</v>
      </c>
      <c r="F5242" s="11" t="s">
        <v>7</v>
      </c>
    </row>
    <row r="5243" spans="1:6">
      <c r="A5243" s="5" t="str">
        <f t="shared" si="90"/>
        <v>202318</v>
      </c>
      <c r="B5243" s="5" t="str">
        <f>"23085041113"</f>
        <v>23085041113</v>
      </c>
      <c r="C5243" s="6">
        <v>0</v>
      </c>
      <c r="D5243" s="6">
        <v>0</v>
      </c>
      <c r="E5243" s="6">
        <v>0</v>
      </c>
      <c r="F5243" s="11" t="s">
        <v>7</v>
      </c>
    </row>
    <row r="5244" spans="1:6">
      <c r="A5244" s="5" t="str">
        <f t="shared" si="90"/>
        <v>202318</v>
      </c>
      <c r="B5244" s="5" t="str">
        <f>"23085042410"</f>
        <v>23085042410</v>
      </c>
      <c r="C5244" s="6">
        <v>0</v>
      </c>
      <c r="D5244" s="6">
        <v>0</v>
      </c>
      <c r="E5244" s="6">
        <v>0</v>
      </c>
      <c r="F5244" s="11" t="s">
        <v>7</v>
      </c>
    </row>
    <row r="5245" spans="1:6">
      <c r="A5245" s="5" t="str">
        <f>"202318"</f>
        <v>202318</v>
      </c>
      <c r="B5245" s="5" t="str">
        <f>"23085040804"</f>
        <v>23085040804</v>
      </c>
      <c r="C5245" s="6">
        <v>0</v>
      </c>
      <c r="D5245" s="6">
        <v>0</v>
      </c>
      <c r="E5245" s="6">
        <v>0</v>
      </c>
      <c r="F5245" s="11" t="s">
        <v>7</v>
      </c>
    </row>
    <row r="5246" spans="1:6">
      <c r="A5246" s="5" t="str">
        <f t="shared" ref="A5246:A5309" si="91">"202318"</f>
        <v>202318</v>
      </c>
      <c r="B5246" s="5" t="str">
        <f>"23085042628"</f>
        <v>23085042628</v>
      </c>
      <c r="C5246" s="6">
        <v>0</v>
      </c>
      <c r="D5246" s="6">
        <v>0</v>
      </c>
      <c r="E5246" s="6">
        <v>0</v>
      </c>
      <c r="F5246" s="11" t="s">
        <v>7</v>
      </c>
    </row>
    <row r="5247" spans="1:6">
      <c r="A5247" s="5" t="str">
        <f t="shared" si="91"/>
        <v>202318</v>
      </c>
      <c r="B5247" s="5" t="str">
        <f>"23085042710"</f>
        <v>23085042710</v>
      </c>
      <c r="C5247" s="6">
        <v>0</v>
      </c>
      <c r="D5247" s="6">
        <v>0</v>
      </c>
      <c r="E5247" s="6">
        <v>0</v>
      </c>
      <c r="F5247" s="11" t="s">
        <v>7</v>
      </c>
    </row>
    <row r="5248" spans="1:6">
      <c r="A5248" s="5" t="str">
        <f t="shared" si="91"/>
        <v>202318</v>
      </c>
      <c r="B5248" s="5" t="str">
        <f>"23085042421"</f>
        <v>23085042421</v>
      </c>
      <c r="C5248" s="6">
        <v>0</v>
      </c>
      <c r="D5248" s="6">
        <v>0</v>
      </c>
      <c r="E5248" s="6">
        <v>0</v>
      </c>
      <c r="F5248" s="11" t="s">
        <v>7</v>
      </c>
    </row>
    <row r="5249" spans="1:6">
      <c r="A5249" s="5" t="str">
        <f t="shared" si="91"/>
        <v>202318</v>
      </c>
      <c r="B5249" s="5" t="str">
        <f>"23085041609"</f>
        <v>23085041609</v>
      </c>
      <c r="C5249" s="6">
        <v>0</v>
      </c>
      <c r="D5249" s="6">
        <v>0</v>
      </c>
      <c r="E5249" s="6">
        <v>0</v>
      </c>
      <c r="F5249" s="11" t="s">
        <v>7</v>
      </c>
    </row>
    <row r="5250" spans="1:6">
      <c r="A5250" s="5" t="str">
        <f t="shared" si="91"/>
        <v>202318</v>
      </c>
      <c r="B5250" s="5" t="str">
        <f>"23085040916"</f>
        <v>23085040916</v>
      </c>
      <c r="C5250" s="6">
        <v>0</v>
      </c>
      <c r="D5250" s="6">
        <v>0</v>
      </c>
      <c r="E5250" s="6">
        <v>0</v>
      </c>
      <c r="F5250" s="11" t="s">
        <v>7</v>
      </c>
    </row>
    <row r="5251" spans="1:6">
      <c r="A5251" s="5" t="str">
        <f t="shared" si="91"/>
        <v>202318</v>
      </c>
      <c r="B5251" s="5" t="str">
        <f>"23085040801"</f>
        <v>23085040801</v>
      </c>
      <c r="C5251" s="6">
        <v>0</v>
      </c>
      <c r="D5251" s="6">
        <v>0</v>
      </c>
      <c r="E5251" s="6">
        <v>0</v>
      </c>
      <c r="F5251" s="11" t="s">
        <v>7</v>
      </c>
    </row>
    <row r="5252" spans="1:6">
      <c r="A5252" s="5" t="str">
        <f t="shared" si="91"/>
        <v>202318</v>
      </c>
      <c r="B5252" s="5" t="str">
        <f>"23085041320"</f>
        <v>23085041320</v>
      </c>
      <c r="C5252" s="6">
        <v>0</v>
      </c>
      <c r="D5252" s="6">
        <v>0</v>
      </c>
      <c r="E5252" s="6">
        <v>0</v>
      </c>
      <c r="F5252" s="11" t="s">
        <v>7</v>
      </c>
    </row>
    <row r="5253" spans="1:6">
      <c r="A5253" s="5" t="str">
        <f t="shared" si="91"/>
        <v>202318</v>
      </c>
      <c r="B5253" s="5" t="str">
        <f>"23085040825"</f>
        <v>23085040825</v>
      </c>
      <c r="C5253" s="6">
        <v>0</v>
      </c>
      <c r="D5253" s="6">
        <v>0</v>
      </c>
      <c r="E5253" s="6">
        <v>0</v>
      </c>
      <c r="F5253" s="11" t="s">
        <v>7</v>
      </c>
    </row>
    <row r="5254" spans="1:6">
      <c r="A5254" s="5" t="str">
        <f t="shared" si="91"/>
        <v>202318</v>
      </c>
      <c r="B5254" s="5" t="str">
        <f>"23085042215"</f>
        <v>23085042215</v>
      </c>
      <c r="C5254" s="6">
        <v>0</v>
      </c>
      <c r="D5254" s="6">
        <v>0</v>
      </c>
      <c r="E5254" s="6">
        <v>0</v>
      </c>
      <c r="F5254" s="11" t="s">
        <v>7</v>
      </c>
    </row>
    <row r="5255" spans="1:6">
      <c r="A5255" s="5" t="str">
        <f t="shared" si="91"/>
        <v>202318</v>
      </c>
      <c r="B5255" s="5" t="str">
        <f>"23085043018"</f>
        <v>23085043018</v>
      </c>
      <c r="C5255" s="6">
        <v>0</v>
      </c>
      <c r="D5255" s="6">
        <v>0</v>
      </c>
      <c r="E5255" s="6">
        <v>0</v>
      </c>
      <c r="F5255" s="11" t="s">
        <v>7</v>
      </c>
    </row>
    <row r="5256" spans="1:6">
      <c r="A5256" s="5" t="str">
        <f t="shared" si="91"/>
        <v>202318</v>
      </c>
      <c r="B5256" s="5" t="str">
        <f>"23085041218"</f>
        <v>23085041218</v>
      </c>
      <c r="C5256" s="6">
        <v>0</v>
      </c>
      <c r="D5256" s="6">
        <v>0</v>
      </c>
      <c r="E5256" s="6">
        <v>0</v>
      </c>
      <c r="F5256" s="11" t="s">
        <v>7</v>
      </c>
    </row>
    <row r="5257" spans="1:6">
      <c r="A5257" s="5" t="str">
        <f t="shared" si="91"/>
        <v>202318</v>
      </c>
      <c r="B5257" s="5" t="str">
        <f>"23085041808"</f>
        <v>23085041808</v>
      </c>
      <c r="C5257" s="6">
        <v>0</v>
      </c>
      <c r="D5257" s="6">
        <v>0</v>
      </c>
      <c r="E5257" s="6">
        <v>0</v>
      </c>
      <c r="F5257" s="11" t="s">
        <v>7</v>
      </c>
    </row>
    <row r="5258" spans="1:6">
      <c r="A5258" s="5" t="str">
        <f t="shared" si="91"/>
        <v>202318</v>
      </c>
      <c r="B5258" s="5" t="str">
        <f>"23085042609"</f>
        <v>23085042609</v>
      </c>
      <c r="C5258" s="6">
        <v>0</v>
      </c>
      <c r="D5258" s="6">
        <v>0</v>
      </c>
      <c r="E5258" s="6">
        <v>0</v>
      </c>
      <c r="F5258" s="11" t="s">
        <v>7</v>
      </c>
    </row>
    <row r="5259" spans="1:6">
      <c r="A5259" s="5" t="str">
        <f t="shared" si="91"/>
        <v>202318</v>
      </c>
      <c r="B5259" s="5" t="str">
        <f>"23085041924"</f>
        <v>23085041924</v>
      </c>
      <c r="C5259" s="6">
        <v>0</v>
      </c>
      <c r="D5259" s="6">
        <v>0</v>
      </c>
      <c r="E5259" s="6">
        <v>0</v>
      </c>
      <c r="F5259" s="11" t="s">
        <v>7</v>
      </c>
    </row>
    <row r="5260" spans="1:6">
      <c r="A5260" s="5" t="str">
        <f t="shared" si="91"/>
        <v>202318</v>
      </c>
      <c r="B5260" s="5" t="str">
        <f>"23085042905"</f>
        <v>23085042905</v>
      </c>
      <c r="C5260" s="6">
        <v>0</v>
      </c>
      <c r="D5260" s="6">
        <v>0</v>
      </c>
      <c r="E5260" s="6">
        <v>0</v>
      </c>
      <c r="F5260" s="11" t="s">
        <v>7</v>
      </c>
    </row>
    <row r="5261" spans="1:6">
      <c r="A5261" s="5" t="str">
        <f t="shared" si="91"/>
        <v>202318</v>
      </c>
      <c r="B5261" s="5" t="str">
        <f>"23085042416"</f>
        <v>23085042416</v>
      </c>
      <c r="C5261" s="6">
        <v>0</v>
      </c>
      <c r="D5261" s="6">
        <v>0</v>
      </c>
      <c r="E5261" s="6">
        <v>0</v>
      </c>
      <c r="F5261" s="11" t="s">
        <v>7</v>
      </c>
    </row>
    <row r="5262" spans="1:6">
      <c r="A5262" s="5" t="str">
        <f t="shared" si="91"/>
        <v>202318</v>
      </c>
      <c r="B5262" s="5" t="str">
        <f>"23085042921"</f>
        <v>23085042921</v>
      </c>
      <c r="C5262" s="6">
        <v>0</v>
      </c>
      <c r="D5262" s="6">
        <v>0</v>
      </c>
      <c r="E5262" s="6">
        <v>0</v>
      </c>
      <c r="F5262" s="11" t="s">
        <v>7</v>
      </c>
    </row>
    <row r="5263" spans="1:6">
      <c r="A5263" s="5" t="str">
        <f t="shared" si="91"/>
        <v>202318</v>
      </c>
      <c r="B5263" s="5" t="str">
        <f>"23085041012"</f>
        <v>23085041012</v>
      </c>
      <c r="C5263" s="6">
        <v>0</v>
      </c>
      <c r="D5263" s="6">
        <v>0</v>
      </c>
      <c r="E5263" s="6">
        <v>0</v>
      </c>
      <c r="F5263" s="11" t="s">
        <v>7</v>
      </c>
    </row>
    <row r="5264" spans="1:6">
      <c r="A5264" s="5" t="str">
        <f t="shared" si="91"/>
        <v>202318</v>
      </c>
      <c r="B5264" s="5" t="str">
        <f>"23085041911"</f>
        <v>23085041911</v>
      </c>
      <c r="C5264" s="6">
        <v>0</v>
      </c>
      <c r="D5264" s="6">
        <v>0</v>
      </c>
      <c r="E5264" s="6">
        <v>0</v>
      </c>
      <c r="F5264" s="11" t="s">
        <v>7</v>
      </c>
    </row>
    <row r="5265" spans="1:6">
      <c r="A5265" s="5" t="str">
        <f t="shared" si="91"/>
        <v>202318</v>
      </c>
      <c r="B5265" s="5" t="str">
        <f>"23085041019"</f>
        <v>23085041019</v>
      </c>
      <c r="C5265" s="6">
        <v>0</v>
      </c>
      <c r="D5265" s="6">
        <v>0</v>
      </c>
      <c r="E5265" s="6">
        <v>0</v>
      </c>
      <c r="F5265" s="11" t="s">
        <v>7</v>
      </c>
    </row>
    <row r="5266" spans="1:6">
      <c r="A5266" s="5" t="str">
        <f t="shared" si="91"/>
        <v>202318</v>
      </c>
      <c r="B5266" s="5" t="str">
        <f>"23085042513"</f>
        <v>23085042513</v>
      </c>
      <c r="C5266" s="6">
        <v>0</v>
      </c>
      <c r="D5266" s="6">
        <v>0</v>
      </c>
      <c r="E5266" s="6">
        <v>0</v>
      </c>
      <c r="F5266" s="11" t="s">
        <v>7</v>
      </c>
    </row>
    <row r="5267" spans="1:6">
      <c r="A5267" s="5" t="str">
        <f t="shared" si="91"/>
        <v>202318</v>
      </c>
      <c r="B5267" s="5" t="str">
        <f>"23085042915"</f>
        <v>23085042915</v>
      </c>
      <c r="C5267" s="6">
        <v>0</v>
      </c>
      <c r="D5267" s="6">
        <v>0</v>
      </c>
      <c r="E5267" s="6">
        <v>0</v>
      </c>
      <c r="F5267" s="11" t="s">
        <v>7</v>
      </c>
    </row>
    <row r="5268" spans="1:6">
      <c r="A5268" s="5" t="str">
        <f t="shared" si="91"/>
        <v>202318</v>
      </c>
      <c r="B5268" s="5" t="str">
        <f>"23085043114"</f>
        <v>23085043114</v>
      </c>
      <c r="C5268" s="6">
        <v>0</v>
      </c>
      <c r="D5268" s="6">
        <v>0</v>
      </c>
      <c r="E5268" s="6">
        <v>0</v>
      </c>
      <c r="F5268" s="11" t="s">
        <v>7</v>
      </c>
    </row>
    <row r="5269" spans="1:6">
      <c r="A5269" s="5" t="str">
        <f t="shared" si="91"/>
        <v>202318</v>
      </c>
      <c r="B5269" s="5" t="str">
        <f>"23085042012"</f>
        <v>23085042012</v>
      </c>
      <c r="C5269" s="6">
        <v>0</v>
      </c>
      <c r="D5269" s="6">
        <v>0</v>
      </c>
      <c r="E5269" s="6">
        <v>0</v>
      </c>
      <c r="F5269" s="11" t="s">
        <v>7</v>
      </c>
    </row>
    <row r="5270" spans="1:6">
      <c r="A5270" s="5" t="str">
        <f t="shared" si="91"/>
        <v>202318</v>
      </c>
      <c r="B5270" s="5" t="str">
        <f>"23085043001"</f>
        <v>23085043001</v>
      </c>
      <c r="C5270" s="6">
        <v>0</v>
      </c>
      <c r="D5270" s="6">
        <v>0</v>
      </c>
      <c r="E5270" s="6">
        <v>0</v>
      </c>
      <c r="F5270" s="11" t="s">
        <v>7</v>
      </c>
    </row>
    <row r="5271" spans="1:6">
      <c r="A5271" s="5" t="str">
        <f t="shared" si="91"/>
        <v>202318</v>
      </c>
      <c r="B5271" s="5" t="str">
        <f>"23085042008"</f>
        <v>23085042008</v>
      </c>
      <c r="C5271" s="6">
        <v>0</v>
      </c>
      <c r="D5271" s="6">
        <v>0</v>
      </c>
      <c r="E5271" s="6">
        <v>0</v>
      </c>
      <c r="F5271" s="11" t="s">
        <v>7</v>
      </c>
    </row>
    <row r="5272" spans="1:6">
      <c r="A5272" s="5" t="str">
        <f t="shared" si="91"/>
        <v>202318</v>
      </c>
      <c r="B5272" s="5" t="str">
        <f>"23085042414"</f>
        <v>23085042414</v>
      </c>
      <c r="C5272" s="6">
        <v>0</v>
      </c>
      <c r="D5272" s="6">
        <v>0</v>
      </c>
      <c r="E5272" s="6">
        <v>0</v>
      </c>
      <c r="F5272" s="11" t="s">
        <v>7</v>
      </c>
    </row>
    <row r="5273" spans="1:6">
      <c r="A5273" s="5" t="str">
        <f t="shared" si="91"/>
        <v>202318</v>
      </c>
      <c r="B5273" s="5" t="str">
        <f>"23085041228"</f>
        <v>23085041228</v>
      </c>
      <c r="C5273" s="6">
        <v>0</v>
      </c>
      <c r="D5273" s="6">
        <v>0</v>
      </c>
      <c r="E5273" s="6">
        <v>0</v>
      </c>
      <c r="F5273" s="11" t="s">
        <v>7</v>
      </c>
    </row>
    <row r="5274" spans="1:6">
      <c r="A5274" s="5" t="str">
        <f t="shared" si="91"/>
        <v>202318</v>
      </c>
      <c r="B5274" s="5" t="str">
        <f>"23085041824"</f>
        <v>23085041824</v>
      </c>
      <c r="C5274" s="6">
        <v>0</v>
      </c>
      <c r="D5274" s="6">
        <v>0</v>
      </c>
      <c r="E5274" s="6">
        <v>0</v>
      </c>
      <c r="F5274" s="11" t="s">
        <v>7</v>
      </c>
    </row>
    <row r="5275" spans="1:6">
      <c r="A5275" s="5" t="str">
        <f t="shared" si="91"/>
        <v>202318</v>
      </c>
      <c r="B5275" s="5" t="str">
        <f>"23085042727"</f>
        <v>23085042727</v>
      </c>
      <c r="C5275" s="6">
        <v>0</v>
      </c>
      <c r="D5275" s="6">
        <v>0</v>
      </c>
      <c r="E5275" s="6">
        <v>0</v>
      </c>
      <c r="F5275" s="11" t="s">
        <v>7</v>
      </c>
    </row>
    <row r="5276" spans="1:6">
      <c r="A5276" s="5" t="str">
        <f t="shared" si="91"/>
        <v>202318</v>
      </c>
      <c r="B5276" s="5" t="str">
        <f>"23085041011"</f>
        <v>23085041011</v>
      </c>
      <c r="C5276" s="6">
        <v>0</v>
      </c>
      <c r="D5276" s="6">
        <v>0</v>
      </c>
      <c r="E5276" s="6">
        <v>0</v>
      </c>
      <c r="F5276" s="11" t="s">
        <v>7</v>
      </c>
    </row>
    <row r="5277" spans="1:6">
      <c r="A5277" s="5" t="str">
        <f t="shared" si="91"/>
        <v>202318</v>
      </c>
      <c r="B5277" s="5" t="str">
        <f>"23085041804"</f>
        <v>23085041804</v>
      </c>
      <c r="C5277" s="6">
        <v>0</v>
      </c>
      <c r="D5277" s="6">
        <v>0</v>
      </c>
      <c r="E5277" s="6">
        <v>0</v>
      </c>
      <c r="F5277" s="11" t="s">
        <v>7</v>
      </c>
    </row>
    <row r="5278" spans="1:6">
      <c r="A5278" s="5" t="str">
        <f t="shared" si="91"/>
        <v>202318</v>
      </c>
      <c r="B5278" s="5" t="str">
        <f>"23085041221"</f>
        <v>23085041221</v>
      </c>
      <c r="C5278" s="6">
        <v>0</v>
      </c>
      <c r="D5278" s="6">
        <v>0</v>
      </c>
      <c r="E5278" s="6">
        <v>0</v>
      </c>
      <c r="F5278" s="11" t="s">
        <v>7</v>
      </c>
    </row>
    <row r="5279" spans="1:6">
      <c r="A5279" s="5" t="str">
        <f t="shared" si="91"/>
        <v>202318</v>
      </c>
      <c r="B5279" s="5" t="str">
        <f>"23085040913"</f>
        <v>23085040913</v>
      </c>
      <c r="C5279" s="6">
        <v>0</v>
      </c>
      <c r="D5279" s="6">
        <v>0</v>
      </c>
      <c r="E5279" s="6">
        <v>0</v>
      </c>
      <c r="F5279" s="11" t="s">
        <v>7</v>
      </c>
    </row>
    <row r="5280" spans="1:6">
      <c r="A5280" s="5" t="str">
        <f t="shared" si="91"/>
        <v>202318</v>
      </c>
      <c r="B5280" s="5" t="str">
        <f>"23085042106"</f>
        <v>23085042106</v>
      </c>
      <c r="C5280" s="6">
        <v>0</v>
      </c>
      <c r="D5280" s="6">
        <v>0</v>
      </c>
      <c r="E5280" s="6">
        <v>0</v>
      </c>
      <c r="F5280" s="11" t="s">
        <v>7</v>
      </c>
    </row>
    <row r="5281" spans="1:6">
      <c r="A5281" s="5" t="str">
        <f t="shared" si="91"/>
        <v>202318</v>
      </c>
      <c r="B5281" s="5" t="str">
        <f>"23085042105"</f>
        <v>23085042105</v>
      </c>
      <c r="C5281" s="6">
        <v>0</v>
      </c>
      <c r="D5281" s="6">
        <v>0</v>
      </c>
      <c r="E5281" s="6">
        <v>0</v>
      </c>
      <c r="F5281" s="11" t="s">
        <v>7</v>
      </c>
    </row>
    <row r="5282" spans="1:6">
      <c r="A5282" s="5" t="str">
        <f t="shared" si="91"/>
        <v>202318</v>
      </c>
      <c r="B5282" s="5" t="str">
        <f>"23085042810"</f>
        <v>23085042810</v>
      </c>
      <c r="C5282" s="6">
        <v>0</v>
      </c>
      <c r="D5282" s="6">
        <v>0</v>
      </c>
      <c r="E5282" s="6">
        <v>0</v>
      </c>
      <c r="F5282" s="11" t="s">
        <v>7</v>
      </c>
    </row>
    <row r="5283" spans="1:6">
      <c r="A5283" s="5" t="str">
        <f t="shared" si="91"/>
        <v>202318</v>
      </c>
      <c r="B5283" s="5" t="str">
        <f>"23085040618"</f>
        <v>23085040618</v>
      </c>
      <c r="C5283" s="6">
        <v>0</v>
      </c>
      <c r="D5283" s="6">
        <v>0</v>
      </c>
      <c r="E5283" s="6">
        <v>0</v>
      </c>
      <c r="F5283" s="11" t="s">
        <v>7</v>
      </c>
    </row>
    <row r="5284" spans="1:6">
      <c r="A5284" s="5" t="str">
        <f t="shared" si="91"/>
        <v>202318</v>
      </c>
      <c r="B5284" s="5" t="str">
        <f>"23085041703"</f>
        <v>23085041703</v>
      </c>
      <c r="C5284" s="6">
        <v>0</v>
      </c>
      <c r="D5284" s="6">
        <v>0</v>
      </c>
      <c r="E5284" s="6">
        <v>0</v>
      </c>
      <c r="F5284" s="11" t="s">
        <v>7</v>
      </c>
    </row>
    <row r="5285" spans="1:6">
      <c r="A5285" s="5" t="str">
        <f t="shared" si="91"/>
        <v>202318</v>
      </c>
      <c r="B5285" s="5" t="str">
        <f>"23085042010"</f>
        <v>23085042010</v>
      </c>
      <c r="C5285" s="6">
        <v>0</v>
      </c>
      <c r="D5285" s="6">
        <v>0</v>
      </c>
      <c r="E5285" s="6">
        <v>0</v>
      </c>
      <c r="F5285" s="11" t="s">
        <v>7</v>
      </c>
    </row>
    <row r="5286" spans="1:6">
      <c r="A5286" s="5" t="str">
        <f t="shared" si="91"/>
        <v>202318</v>
      </c>
      <c r="B5286" s="5" t="str">
        <f>"23085041811"</f>
        <v>23085041811</v>
      </c>
      <c r="C5286" s="6">
        <v>0</v>
      </c>
      <c r="D5286" s="6">
        <v>0</v>
      </c>
      <c r="E5286" s="6">
        <v>0</v>
      </c>
      <c r="F5286" s="11" t="s">
        <v>7</v>
      </c>
    </row>
    <row r="5287" spans="1:6">
      <c r="A5287" s="5" t="str">
        <f t="shared" si="91"/>
        <v>202318</v>
      </c>
      <c r="B5287" s="5" t="str">
        <f>"23085040718"</f>
        <v>23085040718</v>
      </c>
      <c r="C5287" s="6">
        <v>0</v>
      </c>
      <c r="D5287" s="6">
        <v>0</v>
      </c>
      <c r="E5287" s="6">
        <v>0</v>
      </c>
      <c r="F5287" s="11" t="s">
        <v>7</v>
      </c>
    </row>
    <row r="5288" spans="1:6">
      <c r="A5288" s="5" t="str">
        <f t="shared" si="91"/>
        <v>202318</v>
      </c>
      <c r="B5288" s="5" t="str">
        <f>"23085042808"</f>
        <v>23085042808</v>
      </c>
      <c r="C5288" s="6">
        <v>0</v>
      </c>
      <c r="D5288" s="6">
        <v>0</v>
      </c>
      <c r="E5288" s="6">
        <v>0</v>
      </c>
      <c r="F5288" s="11" t="s">
        <v>7</v>
      </c>
    </row>
    <row r="5289" spans="1:6">
      <c r="A5289" s="5" t="str">
        <f t="shared" si="91"/>
        <v>202318</v>
      </c>
      <c r="B5289" s="5" t="str">
        <f>"23085041128"</f>
        <v>23085041128</v>
      </c>
      <c r="C5289" s="6">
        <v>0</v>
      </c>
      <c r="D5289" s="6">
        <v>0</v>
      </c>
      <c r="E5289" s="6">
        <v>0</v>
      </c>
      <c r="F5289" s="11" t="s">
        <v>7</v>
      </c>
    </row>
    <row r="5290" spans="1:6">
      <c r="A5290" s="5" t="str">
        <f t="shared" si="91"/>
        <v>202318</v>
      </c>
      <c r="B5290" s="5" t="str">
        <f>"23085042122"</f>
        <v>23085042122</v>
      </c>
      <c r="C5290" s="6">
        <v>0</v>
      </c>
      <c r="D5290" s="6">
        <v>0</v>
      </c>
      <c r="E5290" s="6">
        <v>0</v>
      </c>
      <c r="F5290" s="11" t="s">
        <v>7</v>
      </c>
    </row>
    <row r="5291" spans="1:6">
      <c r="A5291" s="5" t="str">
        <f t="shared" si="91"/>
        <v>202318</v>
      </c>
      <c r="B5291" s="5" t="str">
        <f>"23085043012"</f>
        <v>23085043012</v>
      </c>
      <c r="C5291" s="6">
        <v>0</v>
      </c>
      <c r="D5291" s="6">
        <v>0</v>
      </c>
      <c r="E5291" s="6">
        <v>0</v>
      </c>
      <c r="F5291" s="11" t="s">
        <v>7</v>
      </c>
    </row>
    <row r="5292" spans="1:6">
      <c r="A5292" s="5" t="str">
        <f t="shared" si="91"/>
        <v>202318</v>
      </c>
      <c r="B5292" s="5" t="str">
        <f>"23085040911"</f>
        <v>23085040911</v>
      </c>
      <c r="C5292" s="6">
        <v>0</v>
      </c>
      <c r="D5292" s="6">
        <v>0</v>
      </c>
      <c r="E5292" s="6">
        <v>0</v>
      </c>
      <c r="F5292" s="11" t="s">
        <v>7</v>
      </c>
    </row>
    <row r="5293" spans="1:6">
      <c r="A5293" s="5" t="str">
        <f t="shared" si="91"/>
        <v>202318</v>
      </c>
      <c r="B5293" s="5" t="str">
        <f>"23085041026"</f>
        <v>23085041026</v>
      </c>
      <c r="C5293" s="6">
        <v>0</v>
      </c>
      <c r="D5293" s="6">
        <v>0</v>
      </c>
      <c r="E5293" s="6">
        <v>0</v>
      </c>
      <c r="F5293" s="11" t="s">
        <v>7</v>
      </c>
    </row>
    <row r="5294" spans="1:6">
      <c r="A5294" s="5" t="str">
        <f t="shared" si="91"/>
        <v>202318</v>
      </c>
      <c r="B5294" s="5" t="str">
        <f>"23085042608"</f>
        <v>23085042608</v>
      </c>
      <c r="C5294" s="6">
        <v>0</v>
      </c>
      <c r="D5294" s="6">
        <v>0</v>
      </c>
      <c r="E5294" s="6">
        <v>0</v>
      </c>
      <c r="F5294" s="11" t="s">
        <v>7</v>
      </c>
    </row>
    <row r="5295" spans="1:6">
      <c r="A5295" s="5" t="str">
        <f t="shared" si="91"/>
        <v>202318</v>
      </c>
      <c r="B5295" s="5" t="str">
        <f>"23085042406"</f>
        <v>23085042406</v>
      </c>
      <c r="C5295" s="6">
        <v>0</v>
      </c>
      <c r="D5295" s="6">
        <v>0</v>
      </c>
      <c r="E5295" s="6">
        <v>0</v>
      </c>
      <c r="F5295" s="11" t="s">
        <v>7</v>
      </c>
    </row>
    <row r="5296" spans="1:6">
      <c r="A5296" s="5" t="str">
        <f t="shared" si="91"/>
        <v>202318</v>
      </c>
      <c r="B5296" s="5" t="str">
        <f>"23085040901"</f>
        <v>23085040901</v>
      </c>
      <c r="C5296" s="6">
        <v>0</v>
      </c>
      <c r="D5296" s="6">
        <v>0</v>
      </c>
      <c r="E5296" s="6">
        <v>0</v>
      </c>
      <c r="F5296" s="11" t="s">
        <v>7</v>
      </c>
    </row>
    <row r="5297" spans="1:6">
      <c r="A5297" s="5" t="str">
        <f t="shared" si="91"/>
        <v>202318</v>
      </c>
      <c r="B5297" s="5" t="str">
        <f>"23085043208"</f>
        <v>23085043208</v>
      </c>
      <c r="C5297" s="6">
        <v>0</v>
      </c>
      <c r="D5297" s="6">
        <v>0</v>
      </c>
      <c r="E5297" s="6">
        <v>0</v>
      </c>
      <c r="F5297" s="11" t="s">
        <v>7</v>
      </c>
    </row>
    <row r="5298" spans="1:6">
      <c r="A5298" s="5" t="str">
        <f t="shared" si="91"/>
        <v>202318</v>
      </c>
      <c r="B5298" s="5" t="str">
        <f>"23085042323"</f>
        <v>23085042323</v>
      </c>
      <c r="C5298" s="6">
        <v>0</v>
      </c>
      <c r="D5298" s="6">
        <v>0</v>
      </c>
      <c r="E5298" s="6">
        <v>0</v>
      </c>
      <c r="F5298" s="11" t="s">
        <v>7</v>
      </c>
    </row>
    <row r="5299" spans="1:6">
      <c r="A5299" s="5" t="str">
        <f t="shared" si="91"/>
        <v>202318</v>
      </c>
      <c r="B5299" s="5" t="str">
        <f>"23085042927"</f>
        <v>23085042927</v>
      </c>
      <c r="C5299" s="6">
        <v>0</v>
      </c>
      <c r="D5299" s="6">
        <v>0</v>
      </c>
      <c r="E5299" s="6">
        <v>0</v>
      </c>
      <c r="F5299" s="11" t="s">
        <v>7</v>
      </c>
    </row>
    <row r="5300" spans="1:6">
      <c r="A5300" s="5" t="str">
        <f t="shared" si="91"/>
        <v>202318</v>
      </c>
      <c r="B5300" s="5" t="str">
        <f>"23085042128"</f>
        <v>23085042128</v>
      </c>
      <c r="C5300" s="6">
        <v>0</v>
      </c>
      <c r="D5300" s="6">
        <v>0</v>
      </c>
      <c r="E5300" s="6">
        <v>0</v>
      </c>
      <c r="F5300" s="11" t="s">
        <v>7</v>
      </c>
    </row>
    <row r="5301" spans="1:6">
      <c r="A5301" s="5" t="str">
        <f t="shared" si="91"/>
        <v>202318</v>
      </c>
      <c r="B5301" s="5" t="str">
        <f>"23085042314"</f>
        <v>23085042314</v>
      </c>
      <c r="C5301" s="6">
        <v>0</v>
      </c>
      <c r="D5301" s="6">
        <v>0</v>
      </c>
      <c r="E5301" s="6">
        <v>0</v>
      </c>
      <c r="F5301" s="11" t="s">
        <v>7</v>
      </c>
    </row>
    <row r="5302" spans="1:6">
      <c r="A5302" s="5" t="str">
        <f t="shared" si="91"/>
        <v>202318</v>
      </c>
      <c r="B5302" s="5" t="str">
        <f>"23085042024"</f>
        <v>23085042024</v>
      </c>
      <c r="C5302" s="6">
        <v>0</v>
      </c>
      <c r="D5302" s="6">
        <v>0</v>
      </c>
      <c r="E5302" s="6">
        <v>0</v>
      </c>
      <c r="F5302" s="11" t="s">
        <v>7</v>
      </c>
    </row>
    <row r="5303" spans="1:6">
      <c r="A5303" s="5" t="str">
        <f t="shared" si="91"/>
        <v>202318</v>
      </c>
      <c r="B5303" s="5" t="str">
        <f>"23085043126"</f>
        <v>23085043126</v>
      </c>
      <c r="C5303" s="6">
        <v>0</v>
      </c>
      <c r="D5303" s="6">
        <v>0</v>
      </c>
      <c r="E5303" s="6">
        <v>0</v>
      </c>
      <c r="F5303" s="11" t="s">
        <v>7</v>
      </c>
    </row>
    <row r="5304" spans="1:6">
      <c r="A5304" s="5" t="str">
        <f t="shared" si="91"/>
        <v>202318</v>
      </c>
      <c r="B5304" s="5" t="str">
        <f>"23085041608"</f>
        <v>23085041608</v>
      </c>
      <c r="C5304" s="6">
        <v>0</v>
      </c>
      <c r="D5304" s="6">
        <v>0</v>
      </c>
      <c r="E5304" s="6">
        <v>0</v>
      </c>
      <c r="F5304" s="11" t="s">
        <v>7</v>
      </c>
    </row>
    <row r="5305" spans="1:6">
      <c r="A5305" s="5" t="str">
        <f t="shared" si="91"/>
        <v>202318</v>
      </c>
      <c r="B5305" s="5" t="str">
        <f>"23085041114"</f>
        <v>23085041114</v>
      </c>
      <c r="C5305" s="6">
        <v>0</v>
      </c>
      <c r="D5305" s="6">
        <v>0</v>
      </c>
      <c r="E5305" s="6">
        <v>0</v>
      </c>
      <c r="F5305" s="11" t="s">
        <v>7</v>
      </c>
    </row>
    <row r="5306" spans="1:6">
      <c r="A5306" s="5" t="str">
        <f t="shared" si="91"/>
        <v>202318</v>
      </c>
      <c r="B5306" s="5" t="str">
        <f>"23085041723"</f>
        <v>23085041723</v>
      </c>
      <c r="C5306" s="6">
        <v>0</v>
      </c>
      <c r="D5306" s="6">
        <v>0</v>
      </c>
      <c r="E5306" s="6">
        <v>0</v>
      </c>
      <c r="F5306" s="11" t="s">
        <v>7</v>
      </c>
    </row>
    <row r="5307" spans="1:6">
      <c r="A5307" s="5" t="str">
        <f t="shared" si="91"/>
        <v>202318</v>
      </c>
      <c r="B5307" s="5" t="str">
        <f>"23085040703"</f>
        <v>23085040703</v>
      </c>
      <c r="C5307" s="6">
        <v>0</v>
      </c>
      <c r="D5307" s="6">
        <v>0</v>
      </c>
      <c r="E5307" s="6">
        <v>0</v>
      </c>
      <c r="F5307" s="11" t="s">
        <v>7</v>
      </c>
    </row>
    <row r="5308" spans="1:6">
      <c r="A5308" s="5" t="str">
        <f t="shared" si="91"/>
        <v>202318</v>
      </c>
      <c r="B5308" s="5" t="str">
        <f>"23085040922"</f>
        <v>23085040922</v>
      </c>
      <c r="C5308" s="6">
        <v>0</v>
      </c>
      <c r="D5308" s="6">
        <v>0</v>
      </c>
      <c r="E5308" s="6">
        <v>0</v>
      </c>
      <c r="F5308" s="11" t="s">
        <v>7</v>
      </c>
    </row>
    <row r="5309" spans="1:6">
      <c r="A5309" s="5" t="str">
        <f t="shared" si="91"/>
        <v>202318</v>
      </c>
      <c r="B5309" s="5" t="str">
        <f>"23085042103"</f>
        <v>23085042103</v>
      </c>
      <c r="C5309" s="6">
        <v>0</v>
      </c>
      <c r="D5309" s="6">
        <v>0</v>
      </c>
      <c r="E5309" s="6">
        <v>0</v>
      </c>
      <c r="F5309" s="11" t="s">
        <v>7</v>
      </c>
    </row>
    <row r="5310" spans="1:6">
      <c r="A5310" s="5" t="str">
        <f t="shared" ref="A5310:A5373" si="92">"202318"</f>
        <v>202318</v>
      </c>
      <c r="B5310" s="5" t="str">
        <f>"23085041712"</f>
        <v>23085041712</v>
      </c>
      <c r="C5310" s="6">
        <v>0</v>
      </c>
      <c r="D5310" s="6">
        <v>0</v>
      </c>
      <c r="E5310" s="6">
        <v>0</v>
      </c>
      <c r="F5310" s="11" t="s">
        <v>7</v>
      </c>
    </row>
    <row r="5311" spans="1:6">
      <c r="A5311" s="5" t="str">
        <f t="shared" si="92"/>
        <v>202318</v>
      </c>
      <c r="B5311" s="5" t="str">
        <f>"23085041819"</f>
        <v>23085041819</v>
      </c>
      <c r="C5311" s="6">
        <v>0</v>
      </c>
      <c r="D5311" s="6">
        <v>0</v>
      </c>
      <c r="E5311" s="6">
        <v>0</v>
      </c>
      <c r="F5311" s="11" t="s">
        <v>7</v>
      </c>
    </row>
    <row r="5312" spans="1:6">
      <c r="A5312" s="5" t="str">
        <f t="shared" si="92"/>
        <v>202318</v>
      </c>
      <c r="B5312" s="5" t="str">
        <f>"23085043128"</f>
        <v>23085043128</v>
      </c>
      <c r="C5312" s="6">
        <v>0</v>
      </c>
      <c r="D5312" s="6">
        <v>0</v>
      </c>
      <c r="E5312" s="6">
        <v>0</v>
      </c>
      <c r="F5312" s="11" t="s">
        <v>7</v>
      </c>
    </row>
    <row r="5313" spans="1:6">
      <c r="A5313" s="5" t="str">
        <f t="shared" si="92"/>
        <v>202318</v>
      </c>
      <c r="B5313" s="5" t="str">
        <f>"23085040802"</f>
        <v>23085040802</v>
      </c>
      <c r="C5313" s="6">
        <v>0</v>
      </c>
      <c r="D5313" s="6">
        <v>0</v>
      </c>
      <c r="E5313" s="6">
        <v>0</v>
      </c>
      <c r="F5313" s="11" t="s">
        <v>7</v>
      </c>
    </row>
    <row r="5314" spans="1:6">
      <c r="A5314" s="5" t="str">
        <f t="shared" si="92"/>
        <v>202318</v>
      </c>
      <c r="B5314" s="5" t="str">
        <f>"23085042528"</f>
        <v>23085042528</v>
      </c>
      <c r="C5314" s="6">
        <v>0</v>
      </c>
      <c r="D5314" s="6">
        <v>0</v>
      </c>
      <c r="E5314" s="6">
        <v>0</v>
      </c>
      <c r="F5314" s="11" t="s">
        <v>7</v>
      </c>
    </row>
    <row r="5315" spans="1:6">
      <c r="A5315" s="5" t="str">
        <f t="shared" si="92"/>
        <v>202318</v>
      </c>
      <c r="B5315" s="5" t="str">
        <f>"23085040803"</f>
        <v>23085040803</v>
      </c>
      <c r="C5315" s="6">
        <v>0</v>
      </c>
      <c r="D5315" s="6">
        <v>0</v>
      </c>
      <c r="E5315" s="6">
        <v>0</v>
      </c>
      <c r="F5315" s="11" t="s">
        <v>7</v>
      </c>
    </row>
    <row r="5316" spans="1:6">
      <c r="A5316" s="5" t="str">
        <f t="shared" si="92"/>
        <v>202318</v>
      </c>
      <c r="B5316" s="5" t="str">
        <f>"23085041518"</f>
        <v>23085041518</v>
      </c>
      <c r="C5316" s="6">
        <v>0</v>
      </c>
      <c r="D5316" s="6">
        <v>0</v>
      </c>
      <c r="E5316" s="6">
        <v>0</v>
      </c>
      <c r="F5316" s="11" t="s">
        <v>7</v>
      </c>
    </row>
    <row r="5317" spans="1:6">
      <c r="A5317" s="5" t="str">
        <f t="shared" si="92"/>
        <v>202318</v>
      </c>
      <c r="B5317" s="5" t="str">
        <f>"23085043205"</f>
        <v>23085043205</v>
      </c>
      <c r="C5317" s="6">
        <v>0</v>
      </c>
      <c r="D5317" s="6">
        <v>0</v>
      </c>
      <c r="E5317" s="6">
        <v>0</v>
      </c>
      <c r="F5317" s="11" t="s">
        <v>7</v>
      </c>
    </row>
    <row r="5318" spans="1:6">
      <c r="A5318" s="5" t="str">
        <f t="shared" si="92"/>
        <v>202318</v>
      </c>
      <c r="B5318" s="5" t="str">
        <f>"23085041727"</f>
        <v>23085041727</v>
      </c>
      <c r="C5318" s="6">
        <v>0</v>
      </c>
      <c r="D5318" s="6">
        <v>0</v>
      </c>
      <c r="E5318" s="6">
        <v>0</v>
      </c>
      <c r="F5318" s="11" t="s">
        <v>7</v>
      </c>
    </row>
    <row r="5319" spans="1:6">
      <c r="A5319" s="5" t="str">
        <f t="shared" si="92"/>
        <v>202318</v>
      </c>
      <c r="B5319" s="5" t="str">
        <f>"23085042322"</f>
        <v>23085042322</v>
      </c>
      <c r="C5319" s="6">
        <v>0</v>
      </c>
      <c r="D5319" s="6">
        <v>0</v>
      </c>
      <c r="E5319" s="6">
        <v>0</v>
      </c>
      <c r="F5319" s="11" t="s">
        <v>7</v>
      </c>
    </row>
    <row r="5320" spans="1:6">
      <c r="A5320" s="5" t="str">
        <f t="shared" si="92"/>
        <v>202318</v>
      </c>
      <c r="B5320" s="5" t="str">
        <f>"23085040829"</f>
        <v>23085040829</v>
      </c>
      <c r="C5320" s="6">
        <v>0</v>
      </c>
      <c r="D5320" s="6">
        <v>0</v>
      </c>
      <c r="E5320" s="6">
        <v>0</v>
      </c>
      <c r="F5320" s="11" t="s">
        <v>7</v>
      </c>
    </row>
    <row r="5321" spans="1:6">
      <c r="A5321" s="5" t="str">
        <f t="shared" si="92"/>
        <v>202318</v>
      </c>
      <c r="B5321" s="5" t="str">
        <f>"23085040914"</f>
        <v>23085040914</v>
      </c>
      <c r="C5321" s="6">
        <v>0</v>
      </c>
      <c r="D5321" s="6">
        <v>0</v>
      </c>
      <c r="E5321" s="6">
        <v>0</v>
      </c>
      <c r="F5321" s="11" t="s">
        <v>7</v>
      </c>
    </row>
    <row r="5322" spans="1:6">
      <c r="A5322" s="5" t="str">
        <f t="shared" si="92"/>
        <v>202318</v>
      </c>
      <c r="B5322" s="5" t="str">
        <f>"23085043003"</f>
        <v>23085043003</v>
      </c>
      <c r="C5322" s="6">
        <v>0</v>
      </c>
      <c r="D5322" s="6">
        <v>0</v>
      </c>
      <c r="E5322" s="6">
        <v>0</v>
      </c>
      <c r="F5322" s="11" t="s">
        <v>7</v>
      </c>
    </row>
    <row r="5323" spans="1:6">
      <c r="A5323" s="5" t="str">
        <f t="shared" si="92"/>
        <v>202318</v>
      </c>
      <c r="B5323" s="5" t="str">
        <f>"23085041006"</f>
        <v>23085041006</v>
      </c>
      <c r="C5323" s="6">
        <v>0</v>
      </c>
      <c r="D5323" s="6">
        <v>0</v>
      </c>
      <c r="E5323" s="6">
        <v>0</v>
      </c>
      <c r="F5323" s="11" t="s">
        <v>7</v>
      </c>
    </row>
    <row r="5324" spans="1:6">
      <c r="A5324" s="5" t="str">
        <f t="shared" si="92"/>
        <v>202318</v>
      </c>
      <c r="B5324" s="5" t="str">
        <f>"23085042918"</f>
        <v>23085042918</v>
      </c>
      <c r="C5324" s="6">
        <v>0</v>
      </c>
      <c r="D5324" s="6">
        <v>0</v>
      </c>
      <c r="E5324" s="6">
        <v>0</v>
      </c>
      <c r="F5324" s="11" t="s">
        <v>7</v>
      </c>
    </row>
    <row r="5325" spans="1:6">
      <c r="A5325" s="5" t="str">
        <f t="shared" si="92"/>
        <v>202318</v>
      </c>
      <c r="B5325" s="5" t="str">
        <f>"23085042225"</f>
        <v>23085042225</v>
      </c>
      <c r="C5325" s="6">
        <v>0</v>
      </c>
      <c r="D5325" s="6">
        <v>0</v>
      </c>
      <c r="E5325" s="6">
        <v>0</v>
      </c>
      <c r="F5325" s="11" t="s">
        <v>7</v>
      </c>
    </row>
    <row r="5326" spans="1:6">
      <c r="A5326" s="5" t="str">
        <f t="shared" si="92"/>
        <v>202318</v>
      </c>
      <c r="B5326" s="5" t="str">
        <f>"23085041010"</f>
        <v>23085041010</v>
      </c>
      <c r="C5326" s="6">
        <v>0</v>
      </c>
      <c r="D5326" s="6">
        <v>0</v>
      </c>
      <c r="E5326" s="6">
        <v>0</v>
      </c>
      <c r="F5326" s="11" t="s">
        <v>7</v>
      </c>
    </row>
    <row r="5327" spans="1:6">
      <c r="A5327" s="5" t="str">
        <f t="shared" si="92"/>
        <v>202318</v>
      </c>
      <c r="B5327" s="5" t="str">
        <f>"23085040711"</f>
        <v>23085040711</v>
      </c>
      <c r="C5327" s="6">
        <v>0</v>
      </c>
      <c r="D5327" s="6">
        <v>0</v>
      </c>
      <c r="E5327" s="6">
        <v>0</v>
      </c>
      <c r="F5327" s="11" t="s">
        <v>7</v>
      </c>
    </row>
    <row r="5328" spans="1:6">
      <c r="A5328" s="5" t="str">
        <f t="shared" si="92"/>
        <v>202318</v>
      </c>
      <c r="B5328" s="5" t="str">
        <f>"23085042523"</f>
        <v>23085042523</v>
      </c>
      <c r="C5328" s="6">
        <v>0</v>
      </c>
      <c r="D5328" s="6">
        <v>0</v>
      </c>
      <c r="E5328" s="6">
        <v>0</v>
      </c>
      <c r="F5328" s="11" t="s">
        <v>7</v>
      </c>
    </row>
    <row r="5329" spans="1:6">
      <c r="A5329" s="5" t="str">
        <f t="shared" si="92"/>
        <v>202318</v>
      </c>
      <c r="B5329" s="5" t="str">
        <f>"23085042625"</f>
        <v>23085042625</v>
      </c>
      <c r="C5329" s="6">
        <v>0</v>
      </c>
      <c r="D5329" s="6">
        <v>0</v>
      </c>
      <c r="E5329" s="6">
        <v>0</v>
      </c>
      <c r="F5329" s="11" t="s">
        <v>7</v>
      </c>
    </row>
    <row r="5330" spans="1:6">
      <c r="A5330" s="5" t="str">
        <f t="shared" si="92"/>
        <v>202318</v>
      </c>
      <c r="B5330" s="5" t="str">
        <f>"23085042819"</f>
        <v>23085042819</v>
      </c>
      <c r="C5330" s="6">
        <v>0</v>
      </c>
      <c r="D5330" s="6">
        <v>0</v>
      </c>
      <c r="E5330" s="6">
        <v>0</v>
      </c>
      <c r="F5330" s="11" t="s">
        <v>7</v>
      </c>
    </row>
    <row r="5331" spans="1:6">
      <c r="A5331" s="5" t="str">
        <f t="shared" si="92"/>
        <v>202318</v>
      </c>
      <c r="B5331" s="5" t="str">
        <f>"23085041830"</f>
        <v>23085041830</v>
      </c>
      <c r="C5331" s="6">
        <v>0</v>
      </c>
      <c r="D5331" s="6">
        <v>0</v>
      </c>
      <c r="E5331" s="6">
        <v>0</v>
      </c>
      <c r="F5331" s="11" t="s">
        <v>7</v>
      </c>
    </row>
    <row r="5332" spans="1:6">
      <c r="A5332" s="5" t="str">
        <f t="shared" si="92"/>
        <v>202318</v>
      </c>
      <c r="B5332" s="5" t="str">
        <f>"23085041120"</f>
        <v>23085041120</v>
      </c>
      <c r="C5332" s="6">
        <v>0</v>
      </c>
      <c r="D5332" s="6">
        <v>0</v>
      </c>
      <c r="E5332" s="6">
        <v>0</v>
      </c>
      <c r="F5332" s="11" t="s">
        <v>7</v>
      </c>
    </row>
    <row r="5333" spans="1:6">
      <c r="A5333" s="5" t="str">
        <f t="shared" si="92"/>
        <v>202318</v>
      </c>
      <c r="B5333" s="5" t="str">
        <f>"23085041423"</f>
        <v>23085041423</v>
      </c>
      <c r="C5333" s="6">
        <v>0</v>
      </c>
      <c r="D5333" s="6">
        <v>0</v>
      </c>
      <c r="E5333" s="6">
        <v>0</v>
      </c>
      <c r="F5333" s="11" t="s">
        <v>7</v>
      </c>
    </row>
    <row r="5334" spans="1:6">
      <c r="A5334" s="5" t="str">
        <f t="shared" si="92"/>
        <v>202318</v>
      </c>
      <c r="B5334" s="5" t="str">
        <f>"23085042112"</f>
        <v>23085042112</v>
      </c>
      <c r="C5334" s="6">
        <v>0</v>
      </c>
      <c r="D5334" s="6">
        <v>0</v>
      </c>
      <c r="E5334" s="6">
        <v>0</v>
      </c>
      <c r="F5334" s="11" t="s">
        <v>7</v>
      </c>
    </row>
    <row r="5335" spans="1:6">
      <c r="A5335" s="5" t="str">
        <f t="shared" si="92"/>
        <v>202318</v>
      </c>
      <c r="B5335" s="5" t="str">
        <f>"23085040926"</f>
        <v>23085040926</v>
      </c>
      <c r="C5335" s="6">
        <v>0</v>
      </c>
      <c r="D5335" s="6">
        <v>0</v>
      </c>
      <c r="E5335" s="6">
        <v>0</v>
      </c>
      <c r="F5335" s="11" t="s">
        <v>7</v>
      </c>
    </row>
    <row r="5336" spans="1:6">
      <c r="A5336" s="5" t="str">
        <f t="shared" si="92"/>
        <v>202318</v>
      </c>
      <c r="B5336" s="5" t="str">
        <f>"23085042130"</f>
        <v>23085042130</v>
      </c>
      <c r="C5336" s="6">
        <v>0</v>
      </c>
      <c r="D5336" s="6">
        <v>0</v>
      </c>
      <c r="E5336" s="6">
        <v>0</v>
      </c>
      <c r="F5336" s="11" t="s">
        <v>7</v>
      </c>
    </row>
    <row r="5337" spans="1:6">
      <c r="A5337" s="5" t="str">
        <f t="shared" si="92"/>
        <v>202318</v>
      </c>
      <c r="B5337" s="5" t="str">
        <f>"23085040903"</f>
        <v>23085040903</v>
      </c>
      <c r="C5337" s="6">
        <v>0</v>
      </c>
      <c r="D5337" s="6">
        <v>0</v>
      </c>
      <c r="E5337" s="6">
        <v>0</v>
      </c>
      <c r="F5337" s="11" t="s">
        <v>7</v>
      </c>
    </row>
    <row r="5338" spans="1:6">
      <c r="A5338" s="5" t="str">
        <f t="shared" si="92"/>
        <v>202318</v>
      </c>
      <c r="B5338" s="5" t="str">
        <f>"23085041827"</f>
        <v>23085041827</v>
      </c>
      <c r="C5338" s="6">
        <v>0</v>
      </c>
      <c r="D5338" s="6">
        <v>0</v>
      </c>
      <c r="E5338" s="6">
        <v>0</v>
      </c>
      <c r="F5338" s="11" t="s">
        <v>7</v>
      </c>
    </row>
    <row r="5339" spans="1:6">
      <c r="A5339" s="5" t="str">
        <f t="shared" si="92"/>
        <v>202318</v>
      </c>
      <c r="B5339" s="5" t="str">
        <f>"23085042508"</f>
        <v>23085042508</v>
      </c>
      <c r="C5339" s="6">
        <v>0</v>
      </c>
      <c r="D5339" s="6">
        <v>0</v>
      </c>
      <c r="E5339" s="6">
        <v>0</v>
      </c>
      <c r="F5339" s="11" t="s">
        <v>7</v>
      </c>
    </row>
    <row r="5340" spans="1:6">
      <c r="A5340" s="5" t="str">
        <f t="shared" si="92"/>
        <v>202318</v>
      </c>
      <c r="B5340" s="5" t="str">
        <f>"23085042412"</f>
        <v>23085042412</v>
      </c>
      <c r="C5340" s="6">
        <v>0</v>
      </c>
      <c r="D5340" s="6">
        <v>0</v>
      </c>
      <c r="E5340" s="6">
        <v>0</v>
      </c>
      <c r="F5340" s="11" t="s">
        <v>7</v>
      </c>
    </row>
    <row r="5341" spans="1:6">
      <c r="A5341" s="5" t="str">
        <f t="shared" si="92"/>
        <v>202318</v>
      </c>
      <c r="B5341" s="5" t="str">
        <f>"23085041230"</f>
        <v>23085041230</v>
      </c>
      <c r="C5341" s="6">
        <v>0</v>
      </c>
      <c r="D5341" s="6">
        <v>0</v>
      </c>
      <c r="E5341" s="6">
        <v>0</v>
      </c>
      <c r="F5341" s="11" t="s">
        <v>7</v>
      </c>
    </row>
    <row r="5342" spans="1:6">
      <c r="A5342" s="5" t="str">
        <f t="shared" si="92"/>
        <v>202318</v>
      </c>
      <c r="B5342" s="5" t="str">
        <f>"23085041127"</f>
        <v>23085041127</v>
      </c>
      <c r="C5342" s="6">
        <v>0</v>
      </c>
      <c r="D5342" s="6">
        <v>0</v>
      </c>
      <c r="E5342" s="6">
        <v>0</v>
      </c>
      <c r="F5342" s="11" t="s">
        <v>7</v>
      </c>
    </row>
    <row r="5343" spans="1:6">
      <c r="A5343" s="5" t="str">
        <f t="shared" si="92"/>
        <v>202318</v>
      </c>
      <c r="B5343" s="5" t="str">
        <f>"23085040716"</f>
        <v>23085040716</v>
      </c>
      <c r="C5343" s="6">
        <v>0</v>
      </c>
      <c r="D5343" s="6">
        <v>0</v>
      </c>
      <c r="E5343" s="6">
        <v>0</v>
      </c>
      <c r="F5343" s="11" t="s">
        <v>7</v>
      </c>
    </row>
    <row r="5344" spans="1:6">
      <c r="A5344" s="5" t="str">
        <f t="shared" si="92"/>
        <v>202318</v>
      </c>
      <c r="B5344" s="5" t="str">
        <f>"23085041510"</f>
        <v>23085041510</v>
      </c>
      <c r="C5344" s="6">
        <v>0</v>
      </c>
      <c r="D5344" s="6">
        <v>0</v>
      </c>
      <c r="E5344" s="6">
        <v>0</v>
      </c>
      <c r="F5344" s="11" t="s">
        <v>7</v>
      </c>
    </row>
    <row r="5345" spans="1:6">
      <c r="A5345" s="5" t="str">
        <f t="shared" si="92"/>
        <v>202318</v>
      </c>
      <c r="B5345" s="5" t="str">
        <f>"23085041921"</f>
        <v>23085041921</v>
      </c>
      <c r="C5345" s="6">
        <v>0</v>
      </c>
      <c r="D5345" s="6">
        <v>0</v>
      </c>
      <c r="E5345" s="6">
        <v>0</v>
      </c>
      <c r="F5345" s="11" t="s">
        <v>7</v>
      </c>
    </row>
    <row r="5346" spans="1:6">
      <c r="A5346" s="5" t="str">
        <f t="shared" si="92"/>
        <v>202318</v>
      </c>
      <c r="B5346" s="5" t="str">
        <f>"23085040620"</f>
        <v>23085040620</v>
      </c>
      <c r="C5346" s="6">
        <v>0</v>
      </c>
      <c r="D5346" s="6">
        <v>0</v>
      </c>
      <c r="E5346" s="6">
        <v>0</v>
      </c>
      <c r="F5346" s="11" t="s">
        <v>7</v>
      </c>
    </row>
    <row r="5347" spans="1:6">
      <c r="A5347" s="5" t="str">
        <f t="shared" si="92"/>
        <v>202318</v>
      </c>
      <c r="B5347" s="5" t="str">
        <f>"23085042821"</f>
        <v>23085042821</v>
      </c>
      <c r="C5347" s="6">
        <v>0</v>
      </c>
      <c r="D5347" s="6">
        <v>0</v>
      </c>
      <c r="E5347" s="6">
        <v>0</v>
      </c>
      <c r="F5347" s="11" t="s">
        <v>7</v>
      </c>
    </row>
    <row r="5348" spans="1:6">
      <c r="A5348" s="5" t="str">
        <f t="shared" si="92"/>
        <v>202318</v>
      </c>
      <c r="B5348" s="5" t="str">
        <f>"23085042520"</f>
        <v>23085042520</v>
      </c>
      <c r="C5348" s="6">
        <v>0</v>
      </c>
      <c r="D5348" s="6">
        <v>0</v>
      </c>
      <c r="E5348" s="6">
        <v>0</v>
      </c>
      <c r="F5348" s="11" t="s">
        <v>7</v>
      </c>
    </row>
    <row r="5349" spans="1:6">
      <c r="A5349" s="5" t="str">
        <f t="shared" si="92"/>
        <v>202318</v>
      </c>
      <c r="B5349" s="5" t="str">
        <f>"23085041813"</f>
        <v>23085041813</v>
      </c>
      <c r="C5349" s="6">
        <v>0</v>
      </c>
      <c r="D5349" s="6">
        <v>0</v>
      </c>
      <c r="E5349" s="6">
        <v>0</v>
      </c>
      <c r="F5349" s="11" t="s">
        <v>7</v>
      </c>
    </row>
    <row r="5350" spans="1:6">
      <c r="A5350" s="5" t="str">
        <f t="shared" si="92"/>
        <v>202318</v>
      </c>
      <c r="B5350" s="5" t="str">
        <f>"23085041301"</f>
        <v>23085041301</v>
      </c>
      <c r="C5350" s="6">
        <v>0</v>
      </c>
      <c r="D5350" s="6">
        <v>0</v>
      </c>
      <c r="E5350" s="6">
        <v>0</v>
      </c>
      <c r="F5350" s="11" t="s">
        <v>7</v>
      </c>
    </row>
    <row r="5351" spans="1:6">
      <c r="A5351" s="5" t="str">
        <f t="shared" si="92"/>
        <v>202318</v>
      </c>
      <c r="B5351" s="5" t="str">
        <f>"23085041502"</f>
        <v>23085041502</v>
      </c>
      <c r="C5351" s="6">
        <v>0</v>
      </c>
      <c r="D5351" s="6">
        <v>0</v>
      </c>
      <c r="E5351" s="6">
        <v>0</v>
      </c>
      <c r="F5351" s="11" t="s">
        <v>7</v>
      </c>
    </row>
    <row r="5352" spans="1:6">
      <c r="A5352" s="5" t="str">
        <f t="shared" si="92"/>
        <v>202318</v>
      </c>
      <c r="B5352" s="5" t="str">
        <f>"23085042812"</f>
        <v>23085042812</v>
      </c>
      <c r="C5352" s="6">
        <v>0</v>
      </c>
      <c r="D5352" s="6">
        <v>0</v>
      </c>
      <c r="E5352" s="6">
        <v>0</v>
      </c>
      <c r="F5352" s="11" t="s">
        <v>7</v>
      </c>
    </row>
    <row r="5353" spans="1:6">
      <c r="A5353" s="5" t="str">
        <f t="shared" si="92"/>
        <v>202318</v>
      </c>
      <c r="B5353" s="5" t="str">
        <f>"23085042401"</f>
        <v>23085042401</v>
      </c>
      <c r="C5353" s="6">
        <v>0</v>
      </c>
      <c r="D5353" s="6">
        <v>0</v>
      </c>
      <c r="E5353" s="6">
        <v>0</v>
      </c>
      <c r="F5353" s="11" t="s">
        <v>7</v>
      </c>
    </row>
    <row r="5354" spans="1:6">
      <c r="A5354" s="5" t="str">
        <f t="shared" si="92"/>
        <v>202318</v>
      </c>
      <c r="B5354" s="5" t="str">
        <f>"23085041007"</f>
        <v>23085041007</v>
      </c>
      <c r="C5354" s="6">
        <v>0</v>
      </c>
      <c r="D5354" s="6">
        <v>0</v>
      </c>
      <c r="E5354" s="6">
        <v>0</v>
      </c>
      <c r="F5354" s="11" t="s">
        <v>7</v>
      </c>
    </row>
    <row r="5355" spans="1:6">
      <c r="A5355" s="5" t="str">
        <f t="shared" si="92"/>
        <v>202318</v>
      </c>
      <c r="B5355" s="5" t="str">
        <f>"23085041426"</f>
        <v>23085041426</v>
      </c>
      <c r="C5355" s="6">
        <v>0</v>
      </c>
      <c r="D5355" s="6">
        <v>0</v>
      </c>
      <c r="E5355" s="6">
        <v>0</v>
      </c>
      <c r="F5355" s="11" t="s">
        <v>7</v>
      </c>
    </row>
    <row r="5356" spans="1:6">
      <c r="A5356" s="5" t="str">
        <f t="shared" si="92"/>
        <v>202318</v>
      </c>
      <c r="B5356" s="5" t="str">
        <f>"23085041430"</f>
        <v>23085041430</v>
      </c>
      <c r="C5356" s="6">
        <v>0</v>
      </c>
      <c r="D5356" s="6">
        <v>0</v>
      </c>
      <c r="E5356" s="6">
        <v>0</v>
      </c>
      <c r="F5356" s="11" t="s">
        <v>7</v>
      </c>
    </row>
    <row r="5357" spans="1:6">
      <c r="A5357" s="5" t="str">
        <f t="shared" si="92"/>
        <v>202318</v>
      </c>
      <c r="B5357" s="5" t="str">
        <f>"23085041116"</f>
        <v>23085041116</v>
      </c>
      <c r="C5357" s="6">
        <v>0</v>
      </c>
      <c r="D5357" s="6">
        <v>0</v>
      </c>
      <c r="E5357" s="6">
        <v>0</v>
      </c>
      <c r="F5357" s="11" t="s">
        <v>7</v>
      </c>
    </row>
    <row r="5358" spans="1:6">
      <c r="A5358" s="5" t="str">
        <f t="shared" si="92"/>
        <v>202318</v>
      </c>
      <c r="B5358" s="5" t="str">
        <f>"23085041810"</f>
        <v>23085041810</v>
      </c>
      <c r="C5358" s="6">
        <v>0</v>
      </c>
      <c r="D5358" s="6">
        <v>0</v>
      </c>
      <c r="E5358" s="6">
        <v>0</v>
      </c>
      <c r="F5358" s="11" t="s">
        <v>7</v>
      </c>
    </row>
    <row r="5359" spans="1:6">
      <c r="A5359" s="5" t="str">
        <f t="shared" si="92"/>
        <v>202318</v>
      </c>
      <c r="B5359" s="5" t="str">
        <f>"23085042302"</f>
        <v>23085042302</v>
      </c>
      <c r="C5359" s="6">
        <v>0</v>
      </c>
      <c r="D5359" s="6">
        <v>0</v>
      </c>
      <c r="E5359" s="6">
        <v>0</v>
      </c>
      <c r="F5359" s="11" t="s">
        <v>7</v>
      </c>
    </row>
    <row r="5360" spans="1:6">
      <c r="A5360" s="5" t="str">
        <f t="shared" si="92"/>
        <v>202318</v>
      </c>
      <c r="B5360" s="5" t="str">
        <f>"23085042719"</f>
        <v>23085042719</v>
      </c>
      <c r="C5360" s="6">
        <v>0</v>
      </c>
      <c r="D5360" s="6">
        <v>0</v>
      </c>
      <c r="E5360" s="6">
        <v>0</v>
      </c>
      <c r="F5360" s="11" t="s">
        <v>7</v>
      </c>
    </row>
    <row r="5361" spans="1:6">
      <c r="A5361" s="5" t="str">
        <f t="shared" si="92"/>
        <v>202318</v>
      </c>
      <c r="B5361" s="5" t="str">
        <f>"23085041508"</f>
        <v>23085041508</v>
      </c>
      <c r="C5361" s="6">
        <v>0</v>
      </c>
      <c r="D5361" s="6">
        <v>0</v>
      </c>
      <c r="E5361" s="6">
        <v>0</v>
      </c>
      <c r="F5361" s="11" t="s">
        <v>7</v>
      </c>
    </row>
    <row r="5362" spans="1:6">
      <c r="A5362" s="5" t="str">
        <f t="shared" si="92"/>
        <v>202318</v>
      </c>
      <c r="B5362" s="5" t="str">
        <f>"23085041203"</f>
        <v>23085041203</v>
      </c>
      <c r="C5362" s="6">
        <v>0</v>
      </c>
      <c r="D5362" s="6">
        <v>0</v>
      </c>
      <c r="E5362" s="6">
        <v>0</v>
      </c>
      <c r="F5362" s="11" t="s">
        <v>7</v>
      </c>
    </row>
    <row r="5363" spans="1:6">
      <c r="A5363" s="5" t="str">
        <f t="shared" si="92"/>
        <v>202318</v>
      </c>
      <c r="B5363" s="5" t="str">
        <f>"23085042524"</f>
        <v>23085042524</v>
      </c>
      <c r="C5363" s="6">
        <v>0</v>
      </c>
      <c r="D5363" s="6">
        <v>0</v>
      </c>
      <c r="E5363" s="6">
        <v>0</v>
      </c>
      <c r="F5363" s="11" t="s">
        <v>7</v>
      </c>
    </row>
    <row r="5364" spans="1:6">
      <c r="A5364" s="5" t="str">
        <f t="shared" si="92"/>
        <v>202318</v>
      </c>
      <c r="B5364" s="5" t="str">
        <f>"23085041316"</f>
        <v>23085041316</v>
      </c>
      <c r="C5364" s="6">
        <v>0</v>
      </c>
      <c r="D5364" s="6">
        <v>0</v>
      </c>
      <c r="E5364" s="6">
        <v>0</v>
      </c>
      <c r="F5364" s="11" t="s">
        <v>7</v>
      </c>
    </row>
    <row r="5365" spans="1:6">
      <c r="A5365" s="5" t="str">
        <f t="shared" si="92"/>
        <v>202318</v>
      </c>
      <c r="B5365" s="5" t="str">
        <f>"23085042725"</f>
        <v>23085042725</v>
      </c>
      <c r="C5365" s="6">
        <v>0</v>
      </c>
      <c r="D5365" s="6">
        <v>0</v>
      </c>
      <c r="E5365" s="6">
        <v>0</v>
      </c>
      <c r="F5365" s="11" t="s">
        <v>7</v>
      </c>
    </row>
    <row r="5366" spans="1:6">
      <c r="A5366" s="5" t="str">
        <f t="shared" si="92"/>
        <v>202318</v>
      </c>
      <c r="B5366" s="5" t="str">
        <f>"23085041503"</f>
        <v>23085041503</v>
      </c>
      <c r="C5366" s="6">
        <v>0</v>
      </c>
      <c r="D5366" s="6">
        <v>0</v>
      </c>
      <c r="E5366" s="6">
        <v>0</v>
      </c>
      <c r="F5366" s="11" t="s">
        <v>7</v>
      </c>
    </row>
    <row r="5367" spans="1:6">
      <c r="A5367" s="5" t="str">
        <f t="shared" si="92"/>
        <v>202318</v>
      </c>
      <c r="B5367" s="5" t="str">
        <f>"23085041122"</f>
        <v>23085041122</v>
      </c>
      <c r="C5367" s="6">
        <v>0</v>
      </c>
      <c r="D5367" s="6">
        <v>0</v>
      </c>
      <c r="E5367" s="6">
        <v>0</v>
      </c>
      <c r="F5367" s="11" t="s">
        <v>7</v>
      </c>
    </row>
    <row r="5368" spans="1:6">
      <c r="A5368" s="5" t="str">
        <f t="shared" si="92"/>
        <v>202318</v>
      </c>
      <c r="B5368" s="5" t="str">
        <f>"23085041919"</f>
        <v>23085041919</v>
      </c>
      <c r="C5368" s="6">
        <v>0</v>
      </c>
      <c r="D5368" s="6">
        <v>0</v>
      </c>
      <c r="E5368" s="6">
        <v>0</v>
      </c>
      <c r="F5368" s="11" t="s">
        <v>7</v>
      </c>
    </row>
    <row r="5369" spans="1:6">
      <c r="A5369" s="5" t="str">
        <f t="shared" si="92"/>
        <v>202318</v>
      </c>
      <c r="B5369" s="5" t="str">
        <f>"23085040723"</f>
        <v>23085040723</v>
      </c>
      <c r="C5369" s="6">
        <v>0</v>
      </c>
      <c r="D5369" s="6">
        <v>0</v>
      </c>
      <c r="E5369" s="6">
        <v>0</v>
      </c>
      <c r="F5369" s="11" t="s">
        <v>7</v>
      </c>
    </row>
    <row r="5370" spans="1:6">
      <c r="A5370" s="5" t="str">
        <f t="shared" si="92"/>
        <v>202318</v>
      </c>
      <c r="B5370" s="5" t="str">
        <f>"23085041616"</f>
        <v>23085041616</v>
      </c>
      <c r="C5370" s="6">
        <v>0</v>
      </c>
      <c r="D5370" s="6">
        <v>0</v>
      </c>
      <c r="E5370" s="6">
        <v>0</v>
      </c>
      <c r="F5370" s="11" t="s">
        <v>7</v>
      </c>
    </row>
    <row r="5371" spans="1:6">
      <c r="A5371" s="5" t="str">
        <f t="shared" si="92"/>
        <v>202318</v>
      </c>
      <c r="B5371" s="5" t="str">
        <f>"23085040616"</f>
        <v>23085040616</v>
      </c>
      <c r="C5371" s="6">
        <v>0</v>
      </c>
      <c r="D5371" s="6">
        <v>0</v>
      </c>
      <c r="E5371" s="6">
        <v>0</v>
      </c>
      <c r="F5371" s="11" t="s">
        <v>7</v>
      </c>
    </row>
    <row r="5372" spans="1:6">
      <c r="A5372" s="5" t="str">
        <f t="shared" si="92"/>
        <v>202318</v>
      </c>
      <c r="B5372" s="5" t="str">
        <f>"23085042326"</f>
        <v>23085042326</v>
      </c>
      <c r="C5372" s="6">
        <v>0</v>
      </c>
      <c r="D5372" s="6">
        <v>0</v>
      </c>
      <c r="E5372" s="6">
        <v>0</v>
      </c>
      <c r="F5372" s="11" t="s">
        <v>7</v>
      </c>
    </row>
    <row r="5373" spans="1:6">
      <c r="A5373" s="5" t="str">
        <f t="shared" si="92"/>
        <v>202318</v>
      </c>
      <c r="B5373" s="5" t="str">
        <f>"23085043206"</f>
        <v>23085043206</v>
      </c>
      <c r="C5373" s="6">
        <v>0</v>
      </c>
      <c r="D5373" s="6">
        <v>0</v>
      </c>
      <c r="E5373" s="6">
        <v>0</v>
      </c>
      <c r="F5373" s="11" t="s">
        <v>7</v>
      </c>
    </row>
    <row r="5374" spans="1:6">
      <c r="A5374" s="5" t="str">
        <f t="shared" ref="A5374:A5383" si="93">"202318"</f>
        <v>202318</v>
      </c>
      <c r="B5374" s="5" t="str">
        <f>"23085040824"</f>
        <v>23085040824</v>
      </c>
      <c r="C5374" s="6">
        <v>0</v>
      </c>
      <c r="D5374" s="6">
        <v>0</v>
      </c>
      <c r="E5374" s="6">
        <v>0</v>
      </c>
      <c r="F5374" s="11" t="s">
        <v>7</v>
      </c>
    </row>
    <row r="5375" spans="1:6">
      <c r="A5375" s="5" t="str">
        <f t="shared" si="93"/>
        <v>202318</v>
      </c>
      <c r="B5375" s="5" t="str">
        <f>"23085041604"</f>
        <v>23085041604</v>
      </c>
      <c r="C5375" s="6">
        <v>0</v>
      </c>
      <c r="D5375" s="6">
        <v>0</v>
      </c>
      <c r="E5375" s="6">
        <v>0</v>
      </c>
      <c r="F5375" s="11" t="s">
        <v>7</v>
      </c>
    </row>
    <row r="5376" spans="1:6">
      <c r="A5376" s="5" t="str">
        <f t="shared" si="93"/>
        <v>202318</v>
      </c>
      <c r="B5376" s="5" t="str">
        <f>"23085040808"</f>
        <v>23085040808</v>
      </c>
      <c r="C5376" s="6">
        <v>0</v>
      </c>
      <c r="D5376" s="6">
        <v>0</v>
      </c>
      <c r="E5376" s="6">
        <v>0</v>
      </c>
      <c r="F5376" s="11" t="s">
        <v>7</v>
      </c>
    </row>
    <row r="5377" spans="1:6">
      <c r="A5377" s="5" t="str">
        <f t="shared" si="93"/>
        <v>202318</v>
      </c>
      <c r="B5377" s="5" t="str">
        <f>"23085040627"</f>
        <v>23085040627</v>
      </c>
      <c r="C5377" s="6">
        <v>0</v>
      </c>
      <c r="D5377" s="6">
        <v>0</v>
      </c>
      <c r="E5377" s="6">
        <v>0</v>
      </c>
      <c r="F5377" s="11" t="s">
        <v>7</v>
      </c>
    </row>
    <row r="5378" spans="1:6">
      <c r="A5378" s="5" t="str">
        <f t="shared" si="93"/>
        <v>202318</v>
      </c>
      <c r="B5378" s="5" t="str">
        <f>"23085042610"</f>
        <v>23085042610</v>
      </c>
      <c r="C5378" s="6">
        <v>0</v>
      </c>
      <c r="D5378" s="6">
        <v>0</v>
      </c>
      <c r="E5378" s="6">
        <v>0</v>
      </c>
      <c r="F5378" s="11" t="s">
        <v>7</v>
      </c>
    </row>
    <row r="5379" spans="1:6">
      <c r="A5379" s="5" t="str">
        <f t="shared" si="93"/>
        <v>202318</v>
      </c>
      <c r="B5379" s="5" t="str">
        <f>"23085041622"</f>
        <v>23085041622</v>
      </c>
      <c r="C5379" s="6">
        <v>0</v>
      </c>
      <c r="D5379" s="6">
        <v>0</v>
      </c>
      <c r="E5379" s="6">
        <v>0</v>
      </c>
      <c r="F5379" s="11" t="s">
        <v>7</v>
      </c>
    </row>
    <row r="5380" spans="1:6">
      <c r="A5380" s="5" t="str">
        <f t="shared" si="93"/>
        <v>202318</v>
      </c>
      <c r="B5380" s="5" t="str">
        <f>"23085043019"</f>
        <v>23085043019</v>
      </c>
      <c r="C5380" s="6">
        <v>0</v>
      </c>
      <c r="D5380" s="6">
        <v>0</v>
      </c>
      <c r="E5380" s="6">
        <v>0</v>
      </c>
      <c r="F5380" s="11" t="s">
        <v>7</v>
      </c>
    </row>
    <row r="5381" spans="1:6">
      <c r="A5381" s="5" t="str">
        <f t="shared" si="93"/>
        <v>202318</v>
      </c>
      <c r="B5381" s="5" t="str">
        <f>"23085041325"</f>
        <v>23085041325</v>
      </c>
      <c r="C5381" s="6">
        <v>0</v>
      </c>
      <c r="D5381" s="6">
        <v>0</v>
      </c>
      <c r="E5381" s="6">
        <v>0</v>
      </c>
      <c r="F5381" s="11" t="s">
        <v>7</v>
      </c>
    </row>
    <row r="5382" spans="1:6">
      <c r="A5382" s="5" t="str">
        <f t="shared" si="93"/>
        <v>202318</v>
      </c>
      <c r="B5382" s="5" t="str">
        <f>"23085042224"</f>
        <v>23085042224</v>
      </c>
      <c r="C5382" s="6">
        <v>0</v>
      </c>
      <c r="D5382" s="6">
        <v>0</v>
      </c>
      <c r="E5382" s="6">
        <v>0</v>
      </c>
      <c r="F5382" s="11" t="s">
        <v>7</v>
      </c>
    </row>
    <row r="5383" spans="1:6">
      <c r="A5383" s="5" t="str">
        <f t="shared" si="93"/>
        <v>202318</v>
      </c>
      <c r="B5383" s="5" t="str">
        <f>"23085041504"</f>
        <v>23085041504</v>
      </c>
      <c r="C5383" s="6">
        <v>0</v>
      </c>
      <c r="D5383" s="6">
        <v>0</v>
      </c>
      <c r="E5383" s="6">
        <v>0</v>
      </c>
      <c r="F5383" s="11" t="s">
        <v>7</v>
      </c>
    </row>
    <row r="5384" spans="1:6">
      <c r="A5384" s="5" t="str">
        <f t="shared" ref="A5384:A5447" si="94">"202319"</f>
        <v>202319</v>
      </c>
      <c r="B5384" s="5" t="str">
        <f>"23085044817"</f>
        <v>23085044817</v>
      </c>
      <c r="C5384" s="6">
        <v>123</v>
      </c>
      <c r="D5384" s="6">
        <v>119.5</v>
      </c>
      <c r="E5384" s="6">
        <v>242.5</v>
      </c>
      <c r="F5384" s="11"/>
    </row>
    <row r="5385" spans="1:6">
      <c r="A5385" s="5" t="str">
        <f t="shared" si="94"/>
        <v>202319</v>
      </c>
      <c r="B5385" s="5" t="str">
        <f>"23085044602"</f>
        <v>23085044602</v>
      </c>
      <c r="C5385" s="6">
        <v>127.5</v>
      </c>
      <c r="D5385" s="6">
        <v>111</v>
      </c>
      <c r="E5385" s="6">
        <v>238.5</v>
      </c>
      <c r="F5385" s="11"/>
    </row>
    <row r="5386" spans="1:6">
      <c r="A5386" s="5" t="str">
        <f t="shared" si="94"/>
        <v>202319</v>
      </c>
      <c r="B5386" s="5" t="str">
        <f>"23085044715"</f>
        <v>23085044715</v>
      </c>
      <c r="C5386" s="6">
        <v>123</v>
      </c>
      <c r="D5386" s="6">
        <v>114</v>
      </c>
      <c r="E5386" s="6">
        <v>237</v>
      </c>
      <c r="F5386" s="11"/>
    </row>
    <row r="5387" spans="1:6">
      <c r="A5387" s="5" t="str">
        <f t="shared" si="94"/>
        <v>202319</v>
      </c>
      <c r="B5387" s="5" t="str">
        <f>"23085050409"</f>
        <v>23085050409</v>
      </c>
      <c r="C5387" s="6">
        <v>121.5</v>
      </c>
      <c r="D5387" s="6">
        <v>114</v>
      </c>
      <c r="E5387" s="6">
        <v>235.5</v>
      </c>
      <c r="F5387" s="11"/>
    </row>
    <row r="5388" spans="1:6">
      <c r="A5388" s="5" t="str">
        <f t="shared" si="94"/>
        <v>202319</v>
      </c>
      <c r="B5388" s="5" t="str">
        <f>"23085050120"</f>
        <v>23085050120</v>
      </c>
      <c r="C5388" s="6">
        <v>111</v>
      </c>
      <c r="D5388" s="6">
        <v>124</v>
      </c>
      <c r="E5388" s="6">
        <v>235</v>
      </c>
      <c r="F5388" s="11"/>
    </row>
    <row r="5389" spans="1:6">
      <c r="A5389" s="5" t="str">
        <f t="shared" si="94"/>
        <v>202319</v>
      </c>
      <c r="B5389" s="5" t="str">
        <f>"23085044716"</f>
        <v>23085044716</v>
      </c>
      <c r="C5389" s="6">
        <v>120</v>
      </c>
      <c r="D5389" s="6">
        <v>114.5</v>
      </c>
      <c r="E5389" s="6">
        <v>234.5</v>
      </c>
      <c r="F5389" s="11"/>
    </row>
    <row r="5390" spans="1:6">
      <c r="A5390" s="5" t="str">
        <f t="shared" si="94"/>
        <v>202319</v>
      </c>
      <c r="B5390" s="5" t="str">
        <f>"23085043726"</f>
        <v>23085043726</v>
      </c>
      <c r="C5390" s="6">
        <v>117</v>
      </c>
      <c r="D5390" s="6">
        <v>117</v>
      </c>
      <c r="E5390" s="6">
        <v>234</v>
      </c>
      <c r="F5390" s="11"/>
    </row>
    <row r="5391" spans="1:6">
      <c r="A5391" s="5" t="str">
        <f t="shared" si="94"/>
        <v>202319</v>
      </c>
      <c r="B5391" s="5" t="str">
        <f>"23085050107"</f>
        <v>23085050107</v>
      </c>
      <c r="C5391" s="6">
        <v>115.5</v>
      </c>
      <c r="D5391" s="6">
        <v>118</v>
      </c>
      <c r="E5391" s="6">
        <v>233.5</v>
      </c>
      <c r="F5391" s="11"/>
    </row>
    <row r="5392" spans="1:6">
      <c r="A5392" s="5" t="str">
        <f t="shared" si="94"/>
        <v>202319</v>
      </c>
      <c r="B5392" s="5" t="str">
        <f>"23085044810"</f>
        <v>23085044810</v>
      </c>
      <c r="C5392" s="6">
        <v>118.5</v>
      </c>
      <c r="D5392" s="6">
        <v>115</v>
      </c>
      <c r="E5392" s="6">
        <v>233.5</v>
      </c>
      <c r="F5392" s="11"/>
    </row>
    <row r="5393" spans="1:6">
      <c r="A5393" s="5" t="str">
        <f t="shared" si="94"/>
        <v>202319</v>
      </c>
      <c r="B5393" s="5" t="str">
        <f>"23085043924"</f>
        <v>23085043924</v>
      </c>
      <c r="C5393" s="6">
        <v>118.5</v>
      </c>
      <c r="D5393" s="6">
        <v>114</v>
      </c>
      <c r="E5393" s="6">
        <v>232.5</v>
      </c>
      <c r="F5393" s="11"/>
    </row>
    <row r="5394" spans="1:6">
      <c r="A5394" s="5" t="str">
        <f t="shared" si="94"/>
        <v>202319</v>
      </c>
      <c r="B5394" s="5" t="str">
        <f>"23085050222"</f>
        <v>23085050222</v>
      </c>
      <c r="C5394" s="6">
        <v>114</v>
      </c>
      <c r="D5394" s="6">
        <v>118.5</v>
      </c>
      <c r="E5394" s="6">
        <v>232.5</v>
      </c>
      <c r="F5394" s="11"/>
    </row>
    <row r="5395" spans="1:6">
      <c r="A5395" s="5" t="str">
        <f t="shared" si="94"/>
        <v>202319</v>
      </c>
      <c r="B5395" s="5" t="str">
        <f>"23085043421"</f>
        <v>23085043421</v>
      </c>
      <c r="C5395" s="6">
        <v>118.5</v>
      </c>
      <c r="D5395" s="6">
        <v>114</v>
      </c>
      <c r="E5395" s="6">
        <v>232.5</v>
      </c>
      <c r="F5395" s="11"/>
    </row>
    <row r="5396" spans="1:6">
      <c r="A5396" s="5" t="str">
        <f t="shared" si="94"/>
        <v>202319</v>
      </c>
      <c r="B5396" s="5" t="str">
        <f>"23085043913"</f>
        <v>23085043913</v>
      </c>
      <c r="C5396" s="6">
        <v>117</v>
      </c>
      <c r="D5396" s="6">
        <v>115</v>
      </c>
      <c r="E5396" s="6">
        <v>232</v>
      </c>
      <c r="F5396" s="11"/>
    </row>
    <row r="5397" spans="1:6">
      <c r="A5397" s="5" t="str">
        <f t="shared" si="94"/>
        <v>202319</v>
      </c>
      <c r="B5397" s="5" t="str">
        <f>"23085044229"</f>
        <v>23085044229</v>
      </c>
      <c r="C5397" s="6">
        <v>117</v>
      </c>
      <c r="D5397" s="6">
        <v>115</v>
      </c>
      <c r="E5397" s="6">
        <v>232</v>
      </c>
      <c r="F5397" s="11"/>
    </row>
    <row r="5398" spans="1:6">
      <c r="A5398" s="5" t="str">
        <f t="shared" si="94"/>
        <v>202319</v>
      </c>
      <c r="B5398" s="5" t="str">
        <f>"23085050104"</f>
        <v>23085050104</v>
      </c>
      <c r="C5398" s="6">
        <v>117</v>
      </c>
      <c r="D5398" s="6">
        <v>115</v>
      </c>
      <c r="E5398" s="6">
        <v>232</v>
      </c>
      <c r="F5398" s="11"/>
    </row>
    <row r="5399" spans="1:6">
      <c r="A5399" s="5" t="str">
        <f t="shared" si="94"/>
        <v>202319</v>
      </c>
      <c r="B5399" s="5" t="str">
        <f>"23085050113"</f>
        <v>23085050113</v>
      </c>
      <c r="C5399" s="6">
        <v>114</v>
      </c>
      <c r="D5399" s="6">
        <v>117.5</v>
      </c>
      <c r="E5399" s="6">
        <v>231.5</v>
      </c>
      <c r="F5399" s="11"/>
    </row>
    <row r="5400" spans="1:6">
      <c r="A5400" s="5" t="str">
        <f t="shared" si="94"/>
        <v>202319</v>
      </c>
      <c r="B5400" s="5" t="str">
        <f>"23085043215"</f>
        <v>23085043215</v>
      </c>
      <c r="C5400" s="6">
        <v>111</v>
      </c>
      <c r="D5400" s="6">
        <v>120.5</v>
      </c>
      <c r="E5400" s="6">
        <v>231.5</v>
      </c>
      <c r="F5400" s="11"/>
    </row>
    <row r="5401" spans="1:6">
      <c r="A5401" s="5" t="str">
        <f t="shared" si="94"/>
        <v>202319</v>
      </c>
      <c r="B5401" s="5" t="str">
        <f>"23085050218"</f>
        <v>23085050218</v>
      </c>
      <c r="C5401" s="6">
        <v>115.5</v>
      </c>
      <c r="D5401" s="6">
        <v>115.5</v>
      </c>
      <c r="E5401" s="6">
        <v>231</v>
      </c>
      <c r="F5401" s="11"/>
    </row>
    <row r="5402" spans="1:6">
      <c r="A5402" s="5" t="str">
        <f t="shared" si="94"/>
        <v>202319</v>
      </c>
      <c r="B5402" s="5" t="str">
        <f>"23085050326"</f>
        <v>23085050326</v>
      </c>
      <c r="C5402" s="6">
        <v>123</v>
      </c>
      <c r="D5402" s="6">
        <v>108</v>
      </c>
      <c r="E5402" s="6">
        <v>231</v>
      </c>
      <c r="F5402" s="11"/>
    </row>
    <row r="5403" spans="1:6">
      <c r="A5403" s="5" t="str">
        <f t="shared" si="94"/>
        <v>202319</v>
      </c>
      <c r="B5403" s="5" t="str">
        <f>"23085050207"</f>
        <v>23085050207</v>
      </c>
      <c r="C5403" s="6">
        <v>112.5</v>
      </c>
      <c r="D5403" s="6">
        <v>118.5</v>
      </c>
      <c r="E5403" s="6">
        <v>231</v>
      </c>
      <c r="F5403" s="11"/>
    </row>
    <row r="5404" spans="1:6">
      <c r="A5404" s="5" t="str">
        <f t="shared" si="94"/>
        <v>202319</v>
      </c>
      <c r="B5404" s="5" t="str">
        <f>"23085044929"</f>
        <v>23085044929</v>
      </c>
      <c r="C5404" s="6">
        <v>112.5</v>
      </c>
      <c r="D5404" s="6">
        <v>118</v>
      </c>
      <c r="E5404" s="6">
        <v>230.5</v>
      </c>
      <c r="F5404" s="11"/>
    </row>
    <row r="5405" spans="1:6">
      <c r="A5405" s="5" t="str">
        <f t="shared" si="94"/>
        <v>202319</v>
      </c>
      <c r="B5405" s="5" t="str">
        <f>"23085044826"</f>
        <v>23085044826</v>
      </c>
      <c r="C5405" s="6">
        <v>112.5</v>
      </c>
      <c r="D5405" s="6">
        <v>118</v>
      </c>
      <c r="E5405" s="6">
        <v>230.5</v>
      </c>
      <c r="F5405" s="11"/>
    </row>
    <row r="5406" spans="1:6">
      <c r="A5406" s="5" t="str">
        <f t="shared" si="94"/>
        <v>202319</v>
      </c>
      <c r="B5406" s="5" t="str">
        <f>"23085044115"</f>
        <v>23085044115</v>
      </c>
      <c r="C5406" s="6">
        <v>112.5</v>
      </c>
      <c r="D5406" s="6">
        <v>117.5</v>
      </c>
      <c r="E5406" s="6">
        <v>230</v>
      </c>
      <c r="F5406" s="11"/>
    </row>
    <row r="5407" spans="1:6">
      <c r="A5407" s="5" t="str">
        <f t="shared" si="94"/>
        <v>202319</v>
      </c>
      <c r="B5407" s="5" t="str">
        <f>"23085044701"</f>
        <v>23085044701</v>
      </c>
      <c r="C5407" s="6">
        <v>114</v>
      </c>
      <c r="D5407" s="6">
        <v>116</v>
      </c>
      <c r="E5407" s="6">
        <v>230</v>
      </c>
      <c r="F5407" s="11"/>
    </row>
    <row r="5408" spans="1:6">
      <c r="A5408" s="5" t="str">
        <f t="shared" si="94"/>
        <v>202319</v>
      </c>
      <c r="B5408" s="5" t="str">
        <f>"23085044210"</f>
        <v>23085044210</v>
      </c>
      <c r="C5408" s="6">
        <v>111</v>
      </c>
      <c r="D5408" s="6">
        <v>119</v>
      </c>
      <c r="E5408" s="6">
        <v>230</v>
      </c>
      <c r="F5408" s="11"/>
    </row>
    <row r="5409" spans="1:6">
      <c r="A5409" s="5" t="str">
        <f t="shared" si="94"/>
        <v>202319</v>
      </c>
      <c r="B5409" s="5" t="str">
        <f>"23085044503"</f>
        <v>23085044503</v>
      </c>
      <c r="C5409" s="6">
        <v>112.5</v>
      </c>
      <c r="D5409" s="6">
        <v>117</v>
      </c>
      <c r="E5409" s="6">
        <v>229.5</v>
      </c>
      <c r="F5409" s="11"/>
    </row>
    <row r="5410" spans="1:6">
      <c r="A5410" s="5" t="str">
        <f t="shared" si="94"/>
        <v>202319</v>
      </c>
      <c r="B5410" s="5" t="str">
        <f>"23085044307"</f>
        <v>23085044307</v>
      </c>
      <c r="C5410" s="6">
        <v>117</v>
      </c>
      <c r="D5410" s="6">
        <v>112.5</v>
      </c>
      <c r="E5410" s="6">
        <v>229.5</v>
      </c>
      <c r="F5410" s="11"/>
    </row>
    <row r="5411" spans="1:6">
      <c r="A5411" s="5" t="str">
        <f t="shared" si="94"/>
        <v>202319</v>
      </c>
      <c r="B5411" s="5" t="str">
        <f>"23085050302"</f>
        <v>23085050302</v>
      </c>
      <c r="C5411" s="6">
        <v>120</v>
      </c>
      <c r="D5411" s="6">
        <v>109.5</v>
      </c>
      <c r="E5411" s="6">
        <v>229.5</v>
      </c>
      <c r="F5411" s="11"/>
    </row>
    <row r="5412" spans="1:6">
      <c r="A5412" s="5" t="str">
        <f t="shared" si="94"/>
        <v>202319</v>
      </c>
      <c r="B5412" s="5" t="str">
        <f>"23085044824"</f>
        <v>23085044824</v>
      </c>
      <c r="C5412" s="6">
        <v>108</v>
      </c>
      <c r="D5412" s="6">
        <v>121</v>
      </c>
      <c r="E5412" s="6">
        <v>229</v>
      </c>
      <c r="F5412" s="11"/>
    </row>
    <row r="5413" spans="1:6">
      <c r="A5413" s="5" t="str">
        <f t="shared" si="94"/>
        <v>202319</v>
      </c>
      <c r="B5413" s="5" t="str">
        <f>"23085044705"</f>
        <v>23085044705</v>
      </c>
      <c r="C5413" s="6">
        <v>117</v>
      </c>
      <c r="D5413" s="6">
        <v>112</v>
      </c>
      <c r="E5413" s="6">
        <v>229</v>
      </c>
      <c r="F5413" s="11"/>
    </row>
    <row r="5414" spans="1:6">
      <c r="A5414" s="5" t="str">
        <f t="shared" si="94"/>
        <v>202319</v>
      </c>
      <c r="B5414" s="5" t="str">
        <f>"23085050306"</f>
        <v>23085050306</v>
      </c>
      <c r="C5414" s="6">
        <v>109.5</v>
      </c>
      <c r="D5414" s="6">
        <v>119</v>
      </c>
      <c r="E5414" s="6">
        <v>228.5</v>
      </c>
      <c r="F5414" s="11"/>
    </row>
    <row r="5415" spans="1:6">
      <c r="A5415" s="5" t="str">
        <f t="shared" si="94"/>
        <v>202319</v>
      </c>
      <c r="B5415" s="5" t="str">
        <f>"23085043812"</f>
        <v>23085043812</v>
      </c>
      <c r="C5415" s="6">
        <v>111</v>
      </c>
      <c r="D5415" s="6">
        <v>117.5</v>
      </c>
      <c r="E5415" s="6">
        <v>228.5</v>
      </c>
      <c r="F5415" s="11"/>
    </row>
    <row r="5416" spans="1:6">
      <c r="A5416" s="5" t="str">
        <f t="shared" si="94"/>
        <v>202319</v>
      </c>
      <c r="B5416" s="5" t="str">
        <f>"23085043824"</f>
        <v>23085043824</v>
      </c>
      <c r="C5416" s="6">
        <v>114</v>
      </c>
      <c r="D5416" s="6">
        <v>114</v>
      </c>
      <c r="E5416" s="6">
        <v>228</v>
      </c>
      <c r="F5416" s="11"/>
    </row>
    <row r="5417" spans="1:6">
      <c r="A5417" s="5" t="str">
        <f t="shared" si="94"/>
        <v>202319</v>
      </c>
      <c r="B5417" s="5" t="str">
        <f>"23085044316"</f>
        <v>23085044316</v>
      </c>
      <c r="C5417" s="6">
        <v>115.5</v>
      </c>
      <c r="D5417" s="6">
        <v>112.5</v>
      </c>
      <c r="E5417" s="6">
        <v>228</v>
      </c>
      <c r="F5417" s="11"/>
    </row>
    <row r="5418" spans="1:6">
      <c r="A5418" s="5" t="str">
        <f t="shared" si="94"/>
        <v>202319</v>
      </c>
      <c r="B5418" s="5" t="str">
        <f>"23085044302"</f>
        <v>23085044302</v>
      </c>
      <c r="C5418" s="6">
        <v>109.5</v>
      </c>
      <c r="D5418" s="6">
        <v>118</v>
      </c>
      <c r="E5418" s="6">
        <v>227.5</v>
      </c>
      <c r="F5418" s="11"/>
    </row>
    <row r="5419" spans="1:6">
      <c r="A5419" s="5" t="str">
        <f t="shared" si="94"/>
        <v>202319</v>
      </c>
      <c r="B5419" s="5" t="str">
        <f>"23085043308"</f>
        <v>23085043308</v>
      </c>
      <c r="C5419" s="6">
        <v>111</v>
      </c>
      <c r="D5419" s="6">
        <v>116.5</v>
      </c>
      <c r="E5419" s="6">
        <v>227.5</v>
      </c>
      <c r="F5419" s="11"/>
    </row>
    <row r="5420" spans="1:6">
      <c r="A5420" s="5" t="str">
        <f t="shared" si="94"/>
        <v>202319</v>
      </c>
      <c r="B5420" s="5" t="str">
        <f>"23085043410"</f>
        <v>23085043410</v>
      </c>
      <c r="C5420" s="6">
        <v>115.5</v>
      </c>
      <c r="D5420" s="6">
        <v>112</v>
      </c>
      <c r="E5420" s="6">
        <v>227.5</v>
      </c>
      <c r="F5420" s="11"/>
    </row>
    <row r="5421" spans="1:6">
      <c r="A5421" s="5" t="str">
        <f t="shared" si="94"/>
        <v>202319</v>
      </c>
      <c r="B5421" s="5" t="str">
        <f>"23085044730"</f>
        <v>23085044730</v>
      </c>
      <c r="C5421" s="6">
        <v>112.5</v>
      </c>
      <c r="D5421" s="6">
        <v>115</v>
      </c>
      <c r="E5421" s="6">
        <v>227.5</v>
      </c>
      <c r="F5421" s="11"/>
    </row>
    <row r="5422" spans="1:6">
      <c r="A5422" s="5" t="str">
        <f t="shared" si="94"/>
        <v>202319</v>
      </c>
      <c r="B5422" s="5" t="str">
        <f>"23085043901"</f>
        <v>23085043901</v>
      </c>
      <c r="C5422" s="6">
        <v>112.5</v>
      </c>
      <c r="D5422" s="6">
        <v>114.5</v>
      </c>
      <c r="E5422" s="6">
        <v>227</v>
      </c>
      <c r="F5422" s="11"/>
    </row>
    <row r="5423" spans="1:6">
      <c r="A5423" s="5" t="str">
        <f t="shared" si="94"/>
        <v>202319</v>
      </c>
      <c r="B5423" s="5" t="str">
        <f>"23085050226"</f>
        <v>23085050226</v>
      </c>
      <c r="C5423" s="6">
        <v>109.5</v>
      </c>
      <c r="D5423" s="6">
        <v>117.5</v>
      </c>
      <c r="E5423" s="6">
        <v>227</v>
      </c>
      <c r="F5423" s="11"/>
    </row>
    <row r="5424" spans="1:6">
      <c r="A5424" s="5" t="str">
        <f t="shared" si="94"/>
        <v>202319</v>
      </c>
      <c r="B5424" s="5" t="str">
        <f>"23085050315"</f>
        <v>23085050315</v>
      </c>
      <c r="C5424" s="6">
        <v>112.5</v>
      </c>
      <c r="D5424" s="6">
        <v>114.5</v>
      </c>
      <c r="E5424" s="6">
        <v>227</v>
      </c>
      <c r="F5424" s="11"/>
    </row>
    <row r="5425" spans="1:6">
      <c r="A5425" s="5" t="str">
        <f t="shared" si="94"/>
        <v>202319</v>
      </c>
      <c r="B5425" s="5" t="str">
        <f>"23085050225"</f>
        <v>23085050225</v>
      </c>
      <c r="C5425" s="6">
        <v>102</v>
      </c>
      <c r="D5425" s="6">
        <v>125</v>
      </c>
      <c r="E5425" s="6">
        <v>227</v>
      </c>
      <c r="F5425" s="11"/>
    </row>
    <row r="5426" spans="1:6">
      <c r="A5426" s="5" t="str">
        <f t="shared" si="94"/>
        <v>202319</v>
      </c>
      <c r="B5426" s="5" t="str">
        <f>"23085044708"</f>
        <v>23085044708</v>
      </c>
      <c r="C5426" s="6">
        <v>106.5</v>
      </c>
      <c r="D5426" s="6">
        <v>120.5</v>
      </c>
      <c r="E5426" s="6">
        <v>227</v>
      </c>
      <c r="F5426" s="11"/>
    </row>
    <row r="5427" spans="1:6">
      <c r="A5427" s="5" t="str">
        <f t="shared" si="94"/>
        <v>202319</v>
      </c>
      <c r="B5427" s="5" t="str">
        <f>"23085043325"</f>
        <v>23085043325</v>
      </c>
      <c r="C5427" s="6">
        <v>114</v>
      </c>
      <c r="D5427" s="6">
        <v>113</v>
      </c>
      <c r="E5427" s="6">
        <v>227</v>
      </c>
      <c r="F5427" s="11"/>
    </row>
    <row r="5428" spans="1:6">
      <c r="A5428" s="5" t="str">
        <f t="shared" si="94"/>
        <v>202319</v>
      </c>
      <c r="B5428" s="5" t="str">
        <f>"23085043611"</f>
        <v>23085043611</v>
      </c>
      <c r="C5428" s="6">
        <v>106.5</v>
      </c>
      <c r="D5428" s="6">
        <v>120</v>
      </c>
      <c r="E5428" s="6">
        <v>226.5</v>
      </c>
      <c r="F5428" s="11"/>
    </row>
    <row r="5429" spans="1:6">
      <c r="A5429" s="5" t="str">
        <f t="shared" si="94"/>
        <v>202319</v>
      </c>
      <c r="B5429" s="5" t="str">
        <f>"23085044609"</f>
        <v>23085044609</v>
      </c>
      <c r="C5429" s="6">
        <v>105</v>
      </c>
      <c r="D5429" s="6">
        <v>121.5</v>
      </c>
      <c r="E5429" s="6">
        <v>226.5</v>
      </c>
      <c r="F5429" s="11"/>
    </row>
    <row r="5430" spans="1:6">
      <c r="A5430" s="5" t="str">
        <f t="shared" si="94"/>
        <v>202319</v>
      </c>
      <c r="B5430" s="5" t="str">
        <f>"23085043607"</f>
        <v>23085043607</v>
      </c>
      <c r="C5430" s="6">
        <v>109.5</v>
      </c>
      <c r="D5430" s="6">
        <v>117</v>
      </c>
      <c r="E5430" s="6">
        <v>226.5</v>
      </c>
      <c r="F5430" s="11"/>
    </row>
    <row r="5431" spans="1:6">
      <c r="A5431" s="5" t="str">
        <f t="shared" si="94"/>
        <v>202319</v>
      </c>
      <c r="B5431" s="5" t="str">
        <f>"23085044407"</f>
        <v>23085044407</v>
      </c>
      <c r="C5431" s="6">
        <v>106.5</v>
      </c>
      <c r="D5431" s="6">
        <v>119.5</v>
      </c>
      <c r="E5431" s="6">
        <v>226</v>
      </c>
      <c r="F5431" s="11"/>
    </row>
    <row r="5432" spans="1:6">
      <c r="A5432" s="5" t="str">
        <f t="shared" si="94"/>
        <v>202319</v>
      </c>
      <c r="B5432" s="5" t="str">
        <f>"23085045017"</f>
        <v>23085045017</v>
      </c>
      <c r="C5432" s="6">
        <v>111</v>
      </c>
      <c r="D5432" s="6">
        <v>114.5</v>
      </c>
      <c r="E5432" s="6">
        <v>225.5</v>
      </c>
      <c r="F5432" s="11"/>
    </row>
    <row r="5433" spans="1:6">
      <c r="A5433" s="5" t="str">
        <f t="shared" si="94"/>
        <v>202319</v>
      </c>
      <c r="B5433" s="5" t="str">
        <f>"23085043321"</f>
        <v>23085043321</v>
      </c>
      <c r="C5433" s="6">
        <v>102</v>
      </c>
      <c r="D5433" s="6">
        <v>123.5</v>
      </c>
      <c r="E5433" s="6">
        <v>225.5</v>
      </c>
      <c r="F5433" s="11"/>
    </row>
    <row r="5434" spans="1:6">
      <c r="A5434" s="5" t="str">
        <f t="shared" si="94"/>
        <v>202319</v>
      </c>
      <c r="B5434" s="5" t="str">
        <f>"23085050308"</f>
        <v>23085050308</v>
      </c>
      <c r="C5434" s="6">
        <v>103.5</v>
      </c>
      <c r="D5434" s="6">
        <v>122</v>
      </c>
      <c r="E5434" s="6">
        <v>225.5</v>
      </c>
      <c r="F5434" s="11"/>
    </row>
    <row r="5435" spans="1:6">
      <c r="A5435" s="5" t="str">
        <f t="shared" si="94"/>
        <v>202319</v>
      </c>
      <c r="B5435" s="5" t="str">
        <f>"23085043609"</f>
        <v>23085043609</v>
      </c>
      <c r="C5435" s="6">
        <v>106.5</v>
      </c>
      <c r="D5435" s="6">
        <v>119</v>
      </c>
      <c r="E5435" s="6">
        <v>225.5</v>
      </c>
      <c r="F5435" s="11"/>
    </row>
    <row r="5436" spans="1:6">
      <c r="A5436" s="5" t="str">
        <f t="shared" si="94"/>
        <v>202319</v>
      </c>
      <c r="B5436" s="5" t="str">
        <f>"23085043429"</f>
        <v>23085043429</v>
      </c>
      <c r="C5436" s="6">
        <v>126</v>
      </c>
      <c r="D5436" s="6">
        <v>99</v>
      </c>
      <c r="E5436" s="6">
        <v>225</v>
      </c>
      <c r="F5436" s="11"/>
    </row>
    <row r="5437" spans="1:6">
      <c r="A5437" s="5" t="str">
        <f t="shared" si="94"/>
        <v>202319</v>
      </c>
      <c r="B5437" s="5" t="str">
        <f>"23085044713"</f>
        <v>23085044713</v>
      </c>
      <c r="C5437" s="6">
        <v>111</v>
      </c>
      <c r="D5437" s="6">
        <v>114</v>
      </c>
      <c r="E5437" s="6">
        <v>225</v>
      </c>
      <c r="F5437" s="11"/>
    </row>
    <row r="5438" spans="1:6">
      <c r="A5438" s="5" t="str">
        <f t="shared" si="94"/>
        <v>202319</v>
      </c>
      <c r="B5438" s="5" t="str">
        <f>"23085043719"</f>
        <v>23085043719</v>
      </c>
      <c r="C5438" s="6">
        <v>108</v>
      </c>
      <c r="D5438" s="6">
        <v>117</v>
      </c>
      <c r="E5438" s="6">
        <v>225</v>
      </c>
      <c r="F5438" s="11"/>
    </row>
    <row r="5439" spans="1:6">
      <c r="A5439" s="5" t="str">
        <f t="shared" si="94"/>
        <v>202319</v>
      </c>
      <c r="B5439" s="5" t="str">
        <f>"23085050216"</f>
        <v>23085050216</v>
      </c>
      <c r="C5439" s="6">
        <v>114</v>
      </c>
      <c r="D5439" s="6">
        <v>110.5</v>
      </c>
      <c r="E5439" s="6">
        <v>224.5</v>
      </c>
      <c r="F5439" s="11"/>
    </row>
    <row r="5440" spans="1:6">
      <c r="A5440" s="5" t="str">
        <f t="shared" si="94"/>
        <v>202319</v>
      </c>
      <c r="B5440" s="5" t="str">
        <f>"23085043729"</f>
        <v>23085043729</v>
      </c>
      <c r="C5440" s="6">
        <v>103.5</v>
      </c>
      <c r="D5440" s="6">
        <v>120.5</v>
      </c>
      <c r="E5440" s="6">
        <v>224</v>
      </c>
      <c r="F5440" s="11"/>
    </row>
    <row r="5441" spans="1:6">
      <c r="A5441" s="5" t="str">
        <f t="shared" si="94"/>
        <v>202319</v>
      </c>
      <c r="B5441" s="5" t="str">
        <f>"23085044505"</f>
        <v>23085044505</v>
      </c>
      <c r="C5441" s="6">
        <v>112.5</v>
      </c>
      <c r="D5441" s="6">
        <v>111.5</v>
      </c>
      <c r="E5441" s="6">
        <v>224</v>
      </c>
      <c r="F5441" s="11"/>
    </row>
    <row r="5442" spans="1:6">
      <c r="A5442" s="5" t="str">
        <f t="shared" si="94"/>
        <v>202319</v>
      </c>
      <c r="B5442" s="5" t="str">
        <f>"23085044507"</f>
        <v>23085044507</v>
      </c>
      <c r="C5442" s="6">
        <v>108</v>
      </c>
      <c r="D5442" s="6">
        <v>116</v>
      </c>
      <c r="E5442" s="6">
        <v>224</v>
      </c>
      <c r="F5442" s="11"/>
    </row>
    <row r="5443" spans="1:6">
      <c r="A5443" s="5" t="str">
        <f t="shared" si="94"/>
        <v>202319</v>
      </c>
      <c r="B5443" s="5" t="str">
        <f>"23085044917"</f>
        <v>23085044917</v>
      </c>
      <c r="C5443" s="6">
        <v>111</v>
      </c>
      <c r="D5443" s="6">
        <v>113</v>
      </c>
      <c r="E5443" s="6">
        <v>224</v>
      </c>
      <c r="F5443" s="11"/>
    </row>
    <row r="5444" spans="1:6">
      <c r="A5444" s="5" t="str">
        <f t="shared" si="94"/>
        <v>202319</v>
      </c>
      <c r="B5444" s="5" t="str">
        <f>"23085044819"</f>
        <v>23085044819</v>
      </c>
      <c r="C5444" s="6">
        <v>112.5</v>
      </c>
      <c r="D5444" s="6">
        <v>111.5</v>
      </c>
      <c r="E5444" s="6">
        <v>224</v>
      </c>
      <c r="F5444" s="11"/>
    </row>
    <row r="5445" spans="1:6">
      <c r="A5445" s="5" t="str">
        <f t="shared" si="94"/>
        <v>202319</v>
      </c>
      <c r="B5445" s="5" t="str">
        <f>"23085044412"</f>
        <v>23085044412</v>
      </c>
      <c r="C5445" s="6">
        <v>106.5</v>
      </c>
      <c r="D5445" s="6">
        <v>117.5</v>
      </c>
      <c r="E5445" s="6">
        <v>224</v>
      </c>
      <c r="F5445" s="11"/>
    </row>
    <row r="5446" spans="1:6">
      <c r="A5446" s="5" t="str">
        <f t="shared" si="94"/>
        <v>202319</v>
      </c>
      <c r="B5446" s="5" t="str">
        <f>"23085043328"</f>
        <v>23085043328</v>
      </c>
      <c r="C5446" s="6">
        <v>102</v>
      </c>
      <c r="D5446" s="6">
        <v>121.5</v>
      </c>
      <c r="E5446" s="6">
        <v>223.5</v>
      </c>
      <c r="F5446" s="11"/>
    </row>
    <row r="5447" spans="1:6">
      <c r="A5447" s="5" t="str">
        <f t="shared" si="94"/>
        <v>202319</v>
      </c>
      <c r="B5447" s="5" t="str">
        <f>"23085044923"</f>
        <v>23085044923</v>
      </c>
      <c r="C5447" s="6">
        <v>106.5</v>
      </c>
      <c r="D5447" s="6">
        <v>117</v>
      </c>
      <c r="E5447" s="6">
        <v>223.5</v>
      </c>
      <c r="F5447" s="11"/>
    </row>
    <row r="5448" spans="1:6">
      <c r="A5448" s="5" t="str">
        <f t="shared" ref="A5448:A5511" si="95">"202319"</f>
        <v>202319</v>
      </c>
      <c r="B5448" s="5" t="str">
        <f>"23085043816"</f>
        <v>23085043816</v>
      </c>
      <c r="C5448" s="6">
        <v>103.5</v>
      </c>
      <c r="D5448" s="6">
        <v>120</v>
      </c>
      <c r="E5448" s="6">
        <v>223.5</v>
      </c>
      <c r="F5448" s="11"/>
    </row>
    <row r="5449" spans="1:6">
      <c r="A5449" s="5" t="str">
        <f t="shared" si="95"/>
        <v>202319</v>
      </c>
      <c r="B5449" s="5" t="str">
        <f>"23085044803"</f>
        <v>23085044803</v>
      </c>
      <c r="C5449" s="6">
        <v>106.5</v>
      </c>
      <c r="D5449" s="6">
        <v>116.5</v>
      </c>
      <c r="E5449" s="6">
        <v>223</v>
      </c>
      <c r="F5449" s="11"/>
    </row>
    <row r="5450" spans="1:6">
      <c r="A5450" s="5" t="str">
        <f t="shared" si="95"/>
        <v>202319</v>
      </c>
      <c r="B5450" s="5" t="str">
        <f>"23085044619"</f>
        <v>23085044619</v>
      </c>
      <c r="C5450" s="6">
        <v>112.5</v>
      </c>
      <c r="D5450" s="6">
        <v>110.5</v>
      </c>
      <c r="E5450" s="6">
        <v>223</v>
      </c>
      <c r="F5450" s="11"/>
    </row>
    <row r="5451" spans="1:6">
      <c r="A5451" s="5" t="str">
        <f t="shared" si="95"/>
        <v>202319</v>
      </c>
      <c r="B5451" s="5" t="str">
        <f>"23085044911"</f>
        <v>23085044911</v>
      </c>
      <c r="C5451" s="6">
        <v>103.5</v>
      </c>
      <c r="D5451" s="6">
        <v>119.5</v>
      </c>
      <c r="E5451" s="6">
        <v>223</v>
      </c>
      <c r="F5451" s="11"/>
    </row>
    <row r="5452" spans="1:6">
      <c r="A5452" s="5" t="str">
        <f t="shared" si="95"/>
        <v>202319</v>
      </c>
      <c r="B5452" s="5" t="str">
        <f>"23085050128"</f>
        <v>23085050128</v>
      </c>
      <c r="C5452" s="6">
        <v>111</v>
      </c>
      <c r="D5452" s="6">
        <v>112</v>
      </c>
      <c r="E5452" s="6">
        <v>223</v>
      </c>
      <c r="F5452" s="11"/>
    </row>
    <row r="5453" spans="1:6">
      <c r="A5453" s="5" t="str">
        <f t="shared" si="95"/>
        <v>202319</v>
      </c>
      <c r="B5453" s="5" t="str">
        <f>"23085043506"</f>
        <v>23085043506</v>
      </c>
      <c r="C5453" s="6">
        <v>109.5</v>
      </c>
      <c r="D5453" s="6">
        <v>113.5</v>
      </c>
      <c r="E5453" s="6">
        <v>223</v>
      </c>
      <c r="F5453" s="11"/>
    </row>
    <row r="5454" spans="1:6">
      <c r="A5454" s="5" t="str">
        <f t="shared" si="95"/>
        <v>202319</v>
      </c>
      <c r="B5454" s="5" t="str">
        <f>"23085044501"</f>
        <v>23085044501</v>
      </c>
      <c r="C5454" s="6">
        <v>114</v>
      </c>
      <c r="D5454" s="6">
        <v>109</v>
      </c>
      <c r="E5454" s="6">
        <v>223</v>
      </c>
      <c r="F5454" s="11"/>
    </row>
    <row r="5455" spans="1:6">
      <c r="A5455" s="5" t="str">
        <f t="shared" si="95"/>
        <v>202319</v>
      </c>
      <c r="B5455" s="5" t="str">
        <f>"23085044509"</f>
        <v>23085044509</v>
      </c>
      <c r="C5455" s="6">
        <v>109.5</v>
      </c>
      <c r="D5455" s="6">
        <v>113</v>
      </c>
      <c r="E5455" s="6">
        <v>222.5</v>
      </c>
      <c r="F5455" s="11"/>
    </row>
    <row r="5456" spans="1:6">
      <c r="A5456" s="5" t="str">
        <f t="shared" si="95"/>
        <v>202319</v>
      </c>
      <c r="B5456" s="5" t="str">
        <f>"23085043619"</f>
        <v>23085043619</v>
      </c>
      <c r="C5456" s="6">
        <v>117</v>
      </c>
      <c r="D5456" s="6">
        <v>105.5</v>
      </c>
      <c r="E5456" s="6">
        <v>222.5</v>
      </c>
      <c r="F5456" s="11"/>
    </row>
    <row r="5457" spans="1:6">
      <c r="A5457" s="5" t="str">
        <f t="shared" si="95"/>
        <v>202319</v>
      </c>
      <c r="B5457" s="5" t="str">
        <f>"23085043318"</f>
        <v>23085043318</v>
      </c>
      <c r="C5457" s="6">
        <v>109.5</v>
      </c>
      <c r="D5457" s="6">
        <v>112.5</v>
      </c>
      <c r="E5457" s="6">
        <v>222</v>
      </c>
      <c r="F5457" s="11"/>
    </row>
    <row r="5458" spans="1:6">
      <c r="A5458" s="5" t="str">
        <f t="shared" si="95"/>
        <v>202319</v>
      </c>
      <c r="B5458" s="5" t="str">
        <f>"23085043213"</f>
        <v>23085043213</v>
      </c>
      <c r="C5458" s="6">
        <v>108</v>
      </c>
      <c r="D5458" s="6">
        <v>114</v>
      </c>
      <c r="E5458" s="6">
        <v>222</v>
      </c>
      <c r="F5458" s="11"/>
    </row>
    <row r="5459" spans="1:6">
      <c r="A5459" s="5" t="str">
        <f t="shared" si="95"/>
        <v>202319</v>
      </c>
      <c r="B5459" s="5" t="str">
        <f>"23085050123"</f>
        <v>23085050123</v>
      </c>
      <c r="C5459" s="6">
        <v>105</v>
      </c>
      <c r="D5459" s="6">
        <v>116.5</v>
      </c>
      <c r="E5459" s="6">
        <v>221.5</v>
      </c>
      <c r="F5459" s="11"/>
    </row>
    <row r="5460" spans="1:6">
      <c r="A5460" s="5" t="str">
        <f t="shared" si="95"/>
        <v>202319</v>
      </c>
      <c r="B5460" s="5" t="str">
        <f>"23085044801"</f>
        <v>23085044801</v>
      </c>
      <c r="C5460" s="6">
        <v>103.5</v>
      </c>
      <c r="D5460" s="6">
        <v>118</v>
      </c>
      <c r="E5460" s="6">
        <v>221.5</v>
      </c>
      <c r="F5460" s="11"/>
    </row>
    <row r="5461" spans="1:6">
      <c r="A5461" s="5" t="str">
        <f t="shared" si="95"/>
        <v>202319</v>
      </c>
      <c r="B5461" s="5" t="str">
        <f>"23085045019"</f>
        <v>23085045019</v>
      </c>
      <c r="C5461" s="6">
        <v>106.5</v>
      </c>
      <c r="D5461" s="6">
        <v>115</v>
      </c>
      <c r="E5461" s="6">
        <v>221.5</v>
      </c>
      <c r="F5461" s="11"/>
    </row>
    <row r="5462" spans="1:6">
      <c r="A5462" s="5" t="str">
        <f t="shared" si="95"/>
        <v>202319</v>
      </c>
      <c r="B5462" s="5" t="str">
        <f>"23085043305"</f>
        <v>23085043305</v>
      </c>
      <c r="C5462" s="6">
        <v>105</v>
      </c>
      <c r="D5462" s="6">
        <v>116.5</v>
      </c>
      <c r="E5462" s="6">
        <v>221.5</v>
      </c>
      <c r="F5462" s="11"/>
    </row>
    <row r="5463" spans="1:6">
      <c r="A5463" s="5" t="str">
        <f t="shared" si="95"/>
        <v>202319</v>
      </c>
      <c r="B5463" s="5" t="str">
        <f>"23085044615"</f>
        <v>23085044615</v>
      </c>
      <c r="C5463" s="6">
        <v>114</v>
      </c>
      <c r="D5463" s="6">
        <v>107.5</v>
      </c>
      <c r="E5463" s="6">
        <v>221.5</v>
      </c>
      <c r="F5463" s="11"/>
    </row>
    <row r="5464" spans="1:6">
      <c r="A5464" s="5" t="str">
        <f t="shared" si="95"/>
        <v>202319</v>
      </c>
      <c r="B5464" s="5" t="str">
        <f>"23085045009"</f>
        <v>23085045009</v>
      </c>
      <c r="C5464" s="6">
        <v>109.5</v>
      </c>
      <c r="D5464" s="6">
        <v>112</v>
      </c>
      <c r="E5464" s="6">
        <v>221.5</v>
      </c>
      <c r="F5464" s="11"/>
    </row>
    <row r="5465" spans="1:6">
      <c r="A5465" s="5" t="str">
        <f t="shared" si="95"/>
        <v>202319</v>
      </c>
      <c r="B5465" s="5" t="str">
        <f>"23085043721"</f>
        <v>23085043721</v>
      </c>
      <c r="C5465" s="6">
        <v>105</v>
      </c>
      <c r="D5465" s="6">
        <v>116.5</v>
      </c>
      <c r="E5465" s="6">
        <v>221.5</v>
      </c>
      <c r="F5465" s="11"/>
    </row>
    <row r="5466" spans="1:6">
      <c r="A5466" s="5" t="str">
        <f t="shared" si="95"/>
        <v>202319</v>
      </c>
      <c r="B5466" s="5" t="str">
        <f>"23085043706"</f>
        <v>23085043706</v>
      </c>
      <c r="C5466" s="6">
        <v>106.5</v>
      </c>
      <c r="D5466" s="6">
        <v>114.5</v>
      </c>
      <c r="E5466" s="6">
        <v>221</v>
      </c>
      <c r="F5466" s="11"/>
    </row>
    <row r="5467" spans="1:6">
      <c r="A5467" s="5" t="str">
        <f t="shared" si="95"/>
        <v>202319</v>
      </c>
      <c r="B5467" s="5" t="str">
        <f>"23085043718"</f>
        <v>23085043718</v>
      </c>
      <c r="C5467" s="6">
        <v>99</v>
      </c>
      <c r="D5467" s="6">
        <v>122</v>
      </c>
      <c r="E5467" s="6">
        <v>221</v>
      </c>
      <c r="F5467" s="11"/>
    </row>
    <row r="5468" spans="1:6">
      <c r="A5468" s="5" t="str">
        <f t="shared" si="95"/>
        <v>202319</v>
      </c>
      <c r="B5468" s="5" t="str">
        <f>"23085044128"</f>
        <v>23085044128</v>
      </c>
      <c r="C5468" s="6">
        <v>105</v>
      </c>
      <c r="D5468" s="6">
        <v>116</v>
      </c>
      <c r="E5468" s="6">
        <v>221</v>
      </c>
      <c r="F5468" s="11"/>
    </row>
    <row r="5469" spans="1:6">
      <c r="A5469" s="5" t="str">
        <f t="shared" si="95"/>
        <v>202319</v>
      </c>
      <c r="B5469" s="5" t="str">
        <f>"23085044709"</f>
        <v>23085044709</v>
      </c>
      <c r="C5469" s="6">
        <v>108</v>
      </c>
      <c r="D5469" s="6">
        <v>113</v>
      </c>
      <c r="E5469" s="6">
        <v>221</v>
      </c>
      <c r="F5469" s="11"/>
    </row>
    <row r="5470" spans="1:6">
      <c r="A5470" s="5" t="str">
        <f t="shared" si="95"/>
        <v>202319</v>
      </c>
      <c r="B5470" s="5" t="str">
        <f>"23085044601"</f>
        <v>23085044601</v>
      </c>
      <c r="C5470" s="6">
        <v>115.5</v>
      </c>
      <c r="D5470" s="6">
        <v>105.5</v>
      </c>
      <c r="E5470" s="6">
        <v>221</v>
      </c>
      <c r="F5470" s="11"/>
    </row>
    <row r="5471" spans="1:6">
      <c r="A5471" s="5" t="str">
        <f t="shared" si="95"/>
        <v>202319</v>
      </c>
      <c r="B5471" s="5" t="str">
        <f>"23085044009"</f>
        <v>23085044009</v>
      </c>
      <c r="C5471" s="6">
        <v>100.5</v>
      </c>
      <c r="D5471" s="6">
        <v>120.5</v>
      </c>
      <c r="E5471" s="6">
        <v>221</v>
      </c>
      <c r="F5471" s="11"/>
    </row>
    <row r="5472" spans="1:6">
      <c r="A5472" s="5" t="str">
        <f t="shared" si="95"/>
        <v>202319</v>
      </c>
      <c r="B5472" s="5" t="str">
        <f>"23085050320"</f>
        <v>23085050320</v>
      </c>
      <c r="C5472" s="6">
        <v>100.5</v>
      </c>
      <c r="D5472" s="6">
        <v>120</v>
      </c>
      <c r="E5472" s="6">
        <v>220.5</v>
      </c>
      <c r="F5472" s="11"/>
    </row>
    <row r="5473" spans="1:6">
      <c r="A5473" s="5" t="str">
        <f t="shared" si="95"/>
        <v>202319</v>
      </c>
      <c r="B5473" s="5" t="str">
        <f>"23085043613"</f>
        <v>23085043613</v>
      </c>
      <c r="C5473" s="6">
        <v>109.5</v>
      </c>
      <c r="D5473" s="6">
        <v>111</v>
      </c>
      <c r="E5473" s="6">
        <v>220.5</v>
      </c>
      <c r="F5473" s="11"/>
    </row>
    <row r="5474" spans="1:6">
      <c r="A5474" s="5" t="str">
        <f t="shared" si="95"/>
        <v>202319</v>
      </c>
      <c r="B5474" s="5" t="str">
        <f>"23085044325"</f>
        <v>23085044325</v>
      </c>
      <c r="C5474" s="6">
        <v>109.5</v>
      </c>
      <c r="D5474" s="6">
        <v>111</v>
      </c>
      <c r="E5474" s="6">
        <v>220.5</v>
      </c>
      <c r="F5474" s="11"/>
    </row>
    <row r="5475" spans="1:6">
      <c r="A5475" s="5" t="str">
        <f t="shared" si="95"/>
        <v>202319</v>
      </c>
      <c r="B5475" s="5" t="str">
        <f>"23085044530"</f>
        <v>23085044530</v>
      </c>
      <c r="C5475" s="6">
        <v>106.5</v>
      </c>
      <c r="D5475" s="6">
        <v>114</v>
      </c>
      <c r="E5475" s="6">
        <v>220.5</v>
      </c>
      <c r="F5475" s="11"/>
    </row>
    <row r="5476" spans="1:6">
      <c r="A5476" s="5" t="str">
        <f t="shared" si="95"/>
        <v>202319</v>
      </c>
      <c r="B5476" s="5" t="str">
        <f>"23085043828"</f>
        <v>23085043828</v>
      </c>
      <c r="C5476" s="6">
        <v>106.5</v>
      </c>
      <c r="D5476" s="6">
        <v>114</v>
      </c>
      <c r="E5476" s="6">
        <v>220.5</v>
      </c>
      <c r="F5476" s="11"/>
    </row>
    <row r="5477" spans="1:6">
      <c r="A5477" s="5" t="str">
        <f t="shared" si="95"/>
        <v>202319</v>
      </c>
      <c r="B5477" s="5" t="str">
        <f>"23085044922"</f>
        <v>23085044922</v>
      </c>
      <c r="C5477" s="6">
        <v>106.5</v>
      </c>
      <c r="D5477" s="6">
        <v>114</v>
      </c>
      <c r="E5477" s="6">
        <v>220.5</v>
      </c>
      <c r="F5477" s="11"/>
    </row>
    <row r="5478" spans="1:6">
      <c r="A5478" s="5" t="str">
        <f t="shared" si="95"/>
        <v>202319</v>
      </c>
      <c r="B5478" s="5" t="str">
        <f>"23085044006"</f>
        <v>23085044006</v>
      </c>
      <c r="C5478" s="6">
        <v>106.5</v>
      </c>
      <c r="D5478" s="6">
        <v>113.5</v>
      </c>
      <c r="E5478" s="6">
        <v>220</v>
      </c>
      <c r="F5478" s="11"/>
    </row>
    <row r="5479" spans="1:6">
      <c r="A5479" s="5" t="str">
        <f t="shared" si="95"/>
        <v>202319</v>
      </c>
      <c r="B5479" s="5" t="str">
        <f>"23085043904"</f>
        <v>23085043904</v>
      </c>
      <c r="C5479" s="6">
        <v>103.5</v>
      </c>
      <c r="D5479" s="6">
        <v>116.5</v>
      </c>
      <c r="E5479" s="6">
        <v>220</v>
      </c>
      <c r="F5479" s="11"/>
    </row>
    <row r="5480" spans="1:6">
      <c r="A5480" s="5" t="str">
        <f t="shared" si="95"/>
        <v>202319</v>
      </c>
      <c r="B5480" s="5" t="str">
        <f>"23085043220"</f>
        <v>23085043220</v>
      </c>
      <c r="C5480" s="6">
        <v>106.5</v>
      </c>
      <c r="D5480" s="6">
        <v>113.5</v>
      </c>
      <c r="E5480" s="6">
        <v>220</v>
      </c>
      <c r="F5480" s="11"/>
    </row>
    <row r="5481" spans="1:6">
      <c r="A5481" s="5" t="str">
        <f t="shared" si="95"/>
        <v>202319</v>
      </c>
      <c r="B5481" s="5" t="str">
        <f>"23085044812"</f>
        <v>23085044812</v>
      </c>
      <c r="C5481" s="6">
        <v>117</v>
      </c>
      <c r="D5481" s="6">
        <v>102.5</v>
      </c>
      <c r="E5481" s="6">
        <v>219.5</v>
      </c>
      <c r="F5481" s="11"/>
    </row>
    <row r="5482" spans="1:6">
      <c r="A5482" s="5" t="str">
        <f t="shared" si="95"/>
        <v>202319</v>
      </c>
      <c r="B5482" s="5" t="str">
        <f>"23085044718"</f>
        <v>23085044718</v>
      </c>
      <c r="C5482" s="6">
        <v>100.5</v>
      </c>
      <c r="D5482" s="6">
        <v>119</v>
      </c>
      <c r="E5482" s="6">
        <v>219.5</v>
      </c>
      <c r="F5482" s="11"/>
    </row>
    <row r="5483" spans="1:6">
      <c r="A5483" s="5" t="str">
        <f t="shared" si="95"/>
        <v>202319</v>
      </c>
      <c r="B5483" s="5" t="str">
        <f>"23085044517"</f>
        <v>23085044517</v>
      </c>
      <c r="C5483" s="6">
        <v>102</v>
      </c>
      <c r="D5483" s="6">
        <v>117.5</v>
      </c>
      <c r="E5483" s="6">
        <v>219.5</v>
      </c>
      <c r="F5483" s="11"/>
    </row>
    <row r="5484" spans="1:6">
      <c r="A5484" s="5" t="str">
        <f t="shared" si="95"/>
        <v>202319</v>
      </c>
      <c r="B5484" s="5" t="str">
        <f>"23085044724"</f>
        <v>23085044724</v>
      </c>
      <c r="C5484" s="6">
        <v>117</v>
      </c>
      <c r="D5484" s="6">
        <v>102.5</v>
      </c>
      <c r="E5484" s="6">
        <v>219.5</v>
      </c>
      <c r="F5484" s="11"/>
    </row>
    <row r="5485" spans="1:6">
      <c r="A5485" s="5" t="str">
        <f t="shared" si="95"/>
        <v>202319</v>
      </c>
      <c r="B5485" s="5" t="str">
        <f>"23085043230"</f>
        <v>23085043230</v>
      </c>
      <c r="C5485" s="6">
        <v>102</v>
      </c>
      <c r="D5485" s="6">
        <v>117</v>
      </c>
      <c r="E5485" s="6">
        <v>219</v>
      </c>
      <c r="F5485" s="11"/>
    </row>
    <row r="5486" spans="1:6">
      <c r="A5486" s="5" t="str">
        <f t="shared" si="95"/>
        <v>202319</v>
      </c>
      <c r="B5486" s="5" t="str">
        <f>"23085044321"</f>
        <v>23085044321</v>
      </c>
      <c r="C5486" s="6">
        <v>118.5</v>
      </c>
      <c r="D5486" s="6">
        <v>100.5</v>
      </c>
      <c r="E5486" s="6">
        <v>219</v>
      </c>
      <c r="F5486" s="11"/>
    </row>
    <row r="5487" spans="1:6">
      <c r="A5487" s="5" t="str">
        <f t="shared" si="95"/>
        <v>202319</v>
      </c>
      <c r="B5487" s="5" t="str">
        <f>"23085044228"</f>
        <v>23085044228</v>
      </c>
      <c r="C5487" s="6">
        <v>108</v>
      </c>
      <c r="D5487" s="6">
        <v>111</v>
      </c>
      <c r="E5487" s="6">
        <v>219</v>
      </c>
      <c r="F5487" s="11"/>
    </row>
    <row r="5488" spans="1:6">
      <c r="A5488" s="5" t="str">
        <f t="shared" si="95"/>
        <v>202319</v>
      </c>
      <c r="B5488" s="5" t="str">
        <f>"23085045027"</f>
        <v>23085045027</v>
      </c>
      <c r="C5488" s="6">
        <v>102</v>
      </c>
      <c r="D5488" s="6">
        <v>117</v>
      </c>
      <c r="E5488" s="6">
        <v>219</v>
      </c>
      <c r="F5488" s="11"/>
    </row>
    <row r="5489" spans="1:6">
      <c r="A5489" s="5" t="str">
        <f t="shared" si="95"/>
        <v>202319</v>
      </c>
      <c r="B5489" s="5" t="str">
        <f>"23085043722"</f>
        <v>23085043722</v>
      </c>
      <c r="C5489" s="6">
        <v>100.5</v>
      </c>
      <c r="D5489" s="6">
        <v>118.5</v>
      </c>
      <c r="E5489" s="6">
        <v>219</v>
      </c>
      <c r="F5489" s="11"/>
    </row>
    <row r="5490" spans="1:6">
      <c r="A5490" s="5" t="str">
        <f t="shared" si="95"/>
        <v>202319</v>
      </c>
      <c r="B5490" s="5" t="str">
        <f>"23085043819"</f>
        <v>23085043819</v>
      </c>
      <c r="C5490" s="6">
        <v>100.5</v>
      </c>
      <c r="D5490" s="6">
        <v>118.5</v>
      </c>
      <c r="E5490" s="6">
        <v>219</v>
      </c>
      <c r="F5490" s="11"/>
    </row>
    <row r="5491" spans="1:6">
      <c r="A5491" s="5" t="str">
        <f t="shared" si="95"/>
        <v>202319</v>
      </c>
      <c r="B5491" s="5" t="str">
        <f>"23085050310"</f>
        <v>23085050310</v>
      </c>
      <c r="C5491" s="6">
        <v>109.5</v>
      </c>
      <c r="D5491" s="6">
        <v>109.5</v>
      </c>
      <c r="E5491" s="6">
        <v>219</v>
      </c>
      <c r="F5491" s="11"/>
    </row>
    <row r="5492" spans="1:6">
      <c r="A5492" s="5" t="str">
        <f t="shared" si="95"/>
        <v>202319</v>
      </c>
      <c r="B5492" s="5" t="str">
        <f>"23085044001"</f>
        <v>23085044001</v>
      </c>
      <c r="C5492" s="6">
        <v>102</v>
      </c>
      <c r="D5492" s="6">
        <v>116.5</v>
      </c>
      <c r="E5492" s="6">
        <v>218.5</v>
      </c>
      <c r="F5492" s="11"/>
    </row>
    <row r="5493" spans="1:6">
      <c r="A5493" s="5" t="str">
        <f t="shared" si="95"/>
        <v>202319</v>
      </c>
      <c r="B5493" s="5" t="str">
        <f>"23085043427"</f>
        <v>23085043427</v>
      </c>
      <c r="C5493" s="6">
        <v>118.5</v>
      </c>
      <c r="D5493" s="6">
        <v>100</v>
      </c>
      <c r="E5493" s="6">
        <v>218.5</v>
      </c>
      <c r="F5493" s="11"/>
    </row>
    <row r="5494" spans="1:6">
      <c r="A5494" s="5" t="str">
        <f t="shared" si="95"/>
        <v>202319</v>
      </c>
      <c r="B5494" s="5" t="str">
        <f>"23085043711"</f>
        <v>23085043711</v>
      </c>
      <c r="C5494" s="6">
        <v>103.5</v>
      </c>
      <c r="D5494" s="6">
        <v>115</v>
      </c>
      <c r="E5494" s="6">
        <v>218.5</v>
      </c>
      <c r="F5494" s="11"/>
    </row>
    <row r="5495" spans="1:6">
      <c r="A5495" s="5" t="str">
        <f t="shared" si="95"/>
        <v>202319</v>
      </c>
      <c r="B5495" s="5" t="str">
        <f>"23085050221"</f>
        <v>23085050221</v>
      </c>
      <c r="C5495" s="6">
        <v>105</v>
      </c>
      <c r="D5495" s="6">
        <v>113.5</v>
      </c>
      <c r="E5495" s="6">
        <v>218.5</v>
      </c>
      <c r="F5495" s="11"/>
    </row>
    <row r="5496" spans="1:6">
      <c r="A5496" s="5" t="str">
        <f t="shared" si="95"/>
        <v>202319</v>
      </c>
      <c r="B5496" s="5" t="str">
        <f>"23085044101"</f>
        <v>23085044101</v>
      </c>
      <c r="C5496" s="6">
        <v>108</v>
      </c>
      <c r="D5496" s="6">
        <v>110.5</v>
      </c>
      <c r="E5496" s="6">
        <v>218.5</v>
      </c>
      <c r="F5496" s="11"/>
    </row>
    <row r="5497" spans="1:6">
      <c r="A5497" s="5" t="str">
        <f t="shared" si="95"/>
        <v>202319</v>
      </c>
      <c r="B5497" s="5" t="str">
        <f>"23085044529"</f>
        <v>23085044529</v>
      </c>
      <c r="C5497" s="6">
        <v>106.5</v>
      </c>
      <c r="D5497" s="6">
        <v>111.5</v>
      </c>
      <c r="E5497" s="6">
        <v>218</v>
      </c>
      <c r="F5497" s="11"/>
    </row>
    <row r="5498" spans="1:6">
      <c r="A5498" s="5" t="str">
        <f t="shared" si="95"/>
        <v>202319</v>
      </c>
      <c r="B5498" s="5" t="str">
        <f>"23085050220"</f>
        <v>23085050220</v>
      </c>
      <c r="C5498" s="6">
        <v>97.5</v>
      </c>
      <c r="D5498" s="6">
        <v>120.5</v>
      </c>
      <c r="E5498" s="6">
        <v>218</v>
      </c>
      <c r="F5498" s="11"/>
    </row>
    <row r="5499" spans="1:6">
      <c r="A5499" s="5" t="str">
        <f t="shared" si="95"/>
        <v>202319</v>
      </c>
      <c r="B5499" s="5" t="str">
        <f>"23085044401"</f>
        <v>23085044401</v>
      </c>
      <c r="C5499" s="6">
        <v>103.5</v>
      </c>
      <c r="D5499" s="6">
        <v>114.5</v>
      </c>
      <c r="E5499" s="6">
        <v>218</v>
      </c>
      <c r="F5499" s="11"/>
    </row>
    <row r="5500" spans="1:6">
      <c r="A5500" s="5" t="str">
        <f t="shared" si="95"/>
        <v>202319</v>
      </c>
      <c r="B5500" s="5" t="str">
        <f>"23085044820"</f>
        <v>23085044820</v>
      </c>
      <c r="C5500" s="6">
        <v>106.5</v>
      </c>
      <c r="D5500" s="6">
        <v>111.5</v>
      </c>
      <c r="E5500" s="6">
        <v>218</v>
      </c>
      <c r="F5500" s="11"/>
    </row>
    <row r="5501" spans="1:6">
      <c r="A5501" s="5" t="str">
        <f t="shared" si="95"/>
        <v>202319</v>
      </c>
      <c r="B5501" s="5" t="str">
        <f>"23085043605"</f>
        <v>23085043605</v>
      </c>
      <c r="C5501" s="6">
        <v>102</v>
      </c>
      <c r="D5501" s="6">
        <v>116</v>
      </c>
      <c r="E5501" s="6">
        <v>218</v>
      </c>
      <c r="F5501" s="11"/>
    </row>
    <row r="5502" spans="1:6">
      <c r="A5502" s="5" t="str">
        <f t="shared" si="95"/>
        <v>202319</v>
      </c>
      <c r="B5502" s="5" t="str">
        <f>"23085044519"</f>
        <v>23085044519</v>
      </c>
      <c r="C5502" s="6">
        <v>102</v>
      </c>
      <c r="D5502" s="6">
        <v>115.5</v>
      </c>
      <c r="E5502" s="6">
        <v>217.5</v>
      </c>
      <c r="F5502" s="11"/>
    </row>
    <row r="5503" spans="1:6">
      <c r="A5503" s="5" t="str">
        <f t="shared" si="95"/>
        <v>202319</v>
      </c>
      <c r="B5503" s="5" t="str">
        <f>"23085043409"</f>
        <v>23085043409</v>
      </c>
      <c r="C5503" s="6">
        <v>100.5</v>
      </c>
      <c r="D5503" s="6">
        <v>117</v>
      </c>
      <c r="E5503" s="6">
        <v>217.5</v>
      </c>
      <c r="F5503" s="11"/>
    </row>
    <row r="5504" spans="1:6">
      <c r="A5504" s="5" t="str">
        <f t="shared" si="95"/>
        <v>202319</v>
      </c>
      <c r="B5504" s="5" t="str">
        <f>"23085044628"</f>
        <v>23085044628</v>
      </c>
      <c r="C5504" s="6">
        <v>109.5</v>
      </c>
      <c r="D5504" s="6">
        <v>108</v>
      </c>
      <c r="E5504" s="6">
        <v>217.5</v>
      </c>
      <c r="F5504" s="11"/>
    </row>
    <row r="5505" spans="1:6">
      <c r="A5505" s="5" t="str">
        <f t="shared" si="95"/>
        <v>202319</v>
      </c>
      <c r="B5505" s="5" t="str">
        <f>"23085050313"</f>
        <v>23085050313</v>
      </c>
      <c r="C5505" s="6">
        <v>96</v>
      </c>
      <c r="D5505" s="6">
        <v>121</v>
      </c>
      <c r="E5505" s="6">
        <v>217</v>
      </c>
      <c r="F5505" s="11"/>
    </row>
    <row r="5506" spans="1:6">
      <c r="A5506" s="5" t="str">
        <f t="shared" si="95"/>
        <v>202319</v>
      </c>
      <c r="B5506" s="5" t="str">
        <f>"23085044120"</f>
        <v>23085044120</v>
      </c>
      <c r="C5506" s="6">
        <v>114</v>
      </c>
      <c r="D5506" s="6">
        <v>103</v>
      </c>
      <c r="E5506" s="6">
        <v>217</v>
      </c>
      <c r="F5506" s="11"/>
    </row>
    <row r="5507" spans="1:6">
      <c r="A5507" s="5" t="str">
        <f t="shared" si="95"/>
        <v>202319</v>
      </c>
      <c r="B5507" s="5" t="str">
        <f>"23085044413"</f>
        <v>23085044413</v>
      </c>
      <c r="C5507" s="6">
        <v>111</v>
      </c>
      <c r="D5507" s="6">
        <v>106</v>
      </c>
      <c r="E5507" s="6">
        <v>217</v>
      </c>
      <c r="F5507" s="11"/>
    </row>
    <row r="5508" spans="1:6">
      <c r="A5508" s="5" t="str">
        <f t="shared" si="95"/>
        <v>202319</v>
      </c>
      <c r="B5508" s="5" t="str">
        <f>"23085044212"</f>
        <v>23085044212</v>
      </c>
      <c r="C5508" s="6">
        <v>105</v>
      </c>
      <c r="D5508" s="6">
        <v>111.5</v>
      </c>
      <c r="E5508" s="6">
        <v>216.5</v>
      </c>
      <c r="F5508" s="11"/>
    </row>
    <row r="5509" spans="1:6">
      <c r="A5509" s="5" t="str">
        <f t="shared" si="95"/>
        <v>202319</v>
      </c>
      <c r="B5509" s="5" t="str">
        <f>"23085050321"</f>
        <v>23085050321</v>
      </c>
      <c r="C5509" s="6">
        <v>96</v>
      </c>
      <c r="D5509" s="6">
        <v>120.5</v>
      </c>
      <c r="E5509" s="6">
        <v>216.5</v>
      </c>
      <c r="F5509" s="11"/>
    </row>
    <row r="5510" spans="1:6">
      <c r="A5510" s="5" t="str">
        <f t="shared" si="95"/>
        <v>202319</v>
      </c>
      <c r="B5510" s="5" t="str">
        <f>"23085044315"</f>
        <v>23085044315</v>
      </c>
      <c r="C5510" s="6">
        <v>100.5</v>
      </c>
      <c r="D5510" s="6">
        <v>116</v>
      </c>
      <c r="E5510" s="6">
        <v>216.5</v>
      </c>
      <c r="F5510" s="11"/>
    </row>
    <row r="5511" spans="1:6">
      <c r="A5511" s="5" t="str">
        <f t="shared" si="95"/>
        <v>202319</v>
      </c>
      <c r="B5511" s="5" t="str">
        <f>"23085044617"</f>
        <v>23085044617</v>
      </c>
      <c r="C5511" s="6">
        <v>108</v>
      </c>
      <c r="D5511" s="6">
        <v>108.5</v>
      </c>
      <c r="E5511" s="6">
        <v>216.5</v>
      </c>
      <c r="F5511" s="11"/>
    </row>
    <row r="5512" spans="1:6">
      <c r="A5512" s="5" t="str">
        <f t="shared" ref="A5512:A5575" si="96">"202319"</f>
        <v>202319</v>
      </c>
      <c r="B5512" s="5" t="str">
        <f>"23085044318"</f>
        <v>23085044318</v>
      </c>
      <c r="C5512" s="6">
        <v>103.5</v>
      </c>
      <c r="D5512" s="6">
        <v>113</v>
      </c>
      <c r="E5512" s="6">
        <v>216.5</v>
      </c>
      <c r="F5512" s="11"/>
    </row>
    <row r="5513" spans="1:6">
      <c r="A5513" s="5" t="str">
        <f t="shared" si="96"/>
        <v>202319</v>
      </c>
      <c r="B5513" s="5" t="str">
        <f>"23085045013"</f>
        <v>23085045013</v>
      </c>
      <c r="C5513" s="6">
        <v>100.5</v>
      </c>
      <c r="D5513" s="6">
        <v>116</v>
      </c>
      <c r="E5513" s="6">
        <v>216.5</v>
      </c>
      <c r="F5513" s="11"/>
    </row>
    <row r="5514" spans="1:6">
      <c r="A5514" s="5" t="str">
        <f t="shared" si="96"/>
        <v>202319</v>
      </c>
      <c r="B5514" s="5" t="str">
        <f>"23085044429"</f>
        <v>23085044429</v>
      </c>
      <c r="C5514" s="6">
        <v>102</v>
      </c>
      <c r="D5514" s="6">
        <v>114</v>
      </c>
      <c r="E5514" s="6">
        <v>216</v>
      </c>
      <c r="F5514" s="11"/>
    </row>
    <row r="5515" spans="1:6">
      <c r="A5515" s="5" t="str">
        <f t="shared" si="96"/>
        <v>202319</v>
      </c>
      <c r="B5515" s="5" t="str">
        <f>"23085043628"</f>
        <v>23085043628</v>
      </c>
      <c r="C5515" s="6">
        <v>109.5</v>
      </c>
      <c r="D5515" s="6">
        <v>106.5</v>
      </c>
      <c r="E5515" s="6">
        <v>216</v>
      </c>
      <c r="F5515" s="11"/>
    </row>
    <row r="5516" spans="1:6">
      <c r="A5516" s="5" t="str">
        <f t="shared" si="96"/>
        <v>202319</v>
      </c>
      <c r="B5516" s="5" t="str">
        <f>"23085044906"</f>
        <v>23085044906</v>
      </c>
      <c r="C5516" s="6">
        <v>100.5</v>
      </c>
      <c r="D5516" s="6">
        <v>115.5</v>
      </c>
      <c r="E5516" s="6">
        <v>216</v>
      </c>
      <c r="F5516" s="11"/>
    </row>
    <row r="5517" spans="1:6">
      <c r="A5517" s="5" t="str">
        <f t="shared" si="96"/>
        <v>202319</v>
      </c>
      <c r="B5517" s="5" t="str">
        <f>"23085044513"</f>
        <v>23085044513</v>
      </c>
      <c r="C5517" s="6">
        <v>103.5</v>
      </c>
      <c r="D5517" s="6">
        <v>112.5</v>
      </c>
      <c r="E5517" s="6">
        <v>216</v>
      </c>
      <c r="F5517" s="11"/>
    </row>
    <row r="5518" spans="1:6">
      <c r="A5518" s="5" t="str">
        <f t="shared" si="96"/>
        <v>202319</v>
      </c>
      <c r="B5518" s="5" t="str">
        <f>"23085043830"</f>
        <v>23085043830</v>
      </c>
      <c r="C5518" s="6">
        <v>103.5</v>
      </c>
      <c r="D5518" s="6">
        <v>112.5</v>
      </c>
      <c r="E5518" s="6">
        <v>216</v>
      </c>
      <c r="F5518" s="11"/>
    </row>
    <row r="5519" spans="1:6">
      <c r="A5519" s="5" t="str">
        <f t="shared" si="96"/>
        <v>202319</v>
      </c>
      <c r="B5519" s="5" t="str">
        <f>"23085044913"</f>
        <v>23085044913</v>
      </c>
      <c r="C5519" s="6">
        <v>97.5</v>
      </c>
      <c r="D5519" s="6">
        <v>118.5</v>
      </c>
      <c r="E5519" s="6">
        <v>216</v>
      </c>
      <c r="F5519" s="11"/>
    </row>
    <row r="5520" spans="1:6">
      <c r="A5520" s="5" t="str">
        <f t="shared" si="96"/>
        <v>202319</v>
      </c>
      <c r="B5520" s="5" t="str">
        <f>"23085043518"</f>
        <v>23085043518</v>
      </c>
      <c r="C5520" s="6">
        <v>100.5</v>
      </c>
      <c r="D5520" s="6">
        <v>115.5</v>
      </c>
      <c r="E5520" s="6">
        <v>216</v>
      </c>
      <c r="F5520" s="11"/>
    </row>
    <row r="5521" spans="1:6">
      <c r="A5521" s="5" t="str">
        <f t="shared" si="96"/>
        <v>202319</v>
      </c>
      <c r="B5521" s="5" t="str">
        <f>"23085043804"</f>
        <v>23085043804</v>
      </c>
      <c r="C5521" s="6">
        <v>96</v>
      </c>
      <c r="D5521" s="6">
        <v>119.5</v>
      </c>
      <c r="E5521" s="6">
        <v>215.5</v>
      </c>
      <c r="F5521" s="11"/>
    </row>
    <row r="5522" spans="1:6">
      <c r="A5522" s="5" t="str">
        <f t="shared" si="96"/>
        <v>202319</v>
      </c>
      <c r="B5522" s="5" t="str">
        <f>"23085043423"</f>
        <v>23085043423</v>
      </c>
      <c r="C5522" s="6">
        <v>103.5</v>
      </c>
      <c r="D5522" s="6">
        <v>112</v>
      </c>
      <c r="E5522" s="6">
        <v>215.5</v>
      </c>
      <c r="F5522" s="11"/>
    </row>
    <row r="5523" spans="1:6">
      <c r="A5523" s="5" t="str">
        <f t="shared" si="96"/>
        <v>202319</v>
      </c>
      <c r="B5523" s="5" t="str">
        <f>"23085043802"</f>
        <v>23085043802</v>
      </c>
      <c r="C5523" s="6">
        <v>97.5</v>
      </c>
      <c r="D5523" s="6">
        <v>118</v>
      </c>
      <c r="E5523" s="6">
        <v>215.5</v>
      </c>
      <c r="F5523" s="11"/>
    </row>
    <row r="5524" spans="1:6">
      <c r="A5524" s="5" t="str">
        <f t="shared" si="96"/>
        <v>202319</v>
      </c>
      <c r="B5524" s="5" t="str">
        <f>"23085043716"</f>
        <v>23085043716</v>
      </c>
      <c r="C5524" s="6">
        <v>102</v>
      </c>
      <c r="D5524" s="6">
        <v>113.5</v>
      </c>
      <c r="E5524" s="6">
        <v>215.5</v>
      </c>
      <c r="F5524" s="11"/>
    </row>
    <row r="5525" spans="1:6">
      <c r="A5525" s="5" t="str">
        <f t="shared" si="96"/>
        <v>202319</v>
      </c>
      <c r="B5525" s="5" t="str">
        <f>"23085043428"</f>
        <v>23085043428</v>
      </c>
      <c r="C5525" s="6">
        <v>100.5</v>
      </c>
      <c r="D5525" s="6">
        <v>115</v>
      </c>
      <c r="E5525" s="6">
        <v>215.5</v>
      </c>
      <c r="F5525" s="11"/>
    </row>
    <row r="5526" spans="1:6">
      <c r="A5526" s="5" t="str">
        <f t="shared" si="96"/>
        <v>202319</v>
      </c>
      <c r="B5526" s="5" t="str">
        <f>"23085044818"</f>
        <v>23085044818</v>
      </c>
      <c r="C5526" s="6">
        <v>111</v>
      </c>
      <c r="D5526" s="6">
        <v>104.5</v>
      </c>
      <c r="E5526" s="6">
        <v>215.5</v>
      </c>
      <c r="F5526" s="11"/>
    </row>
    <row r="5527" spans="1:6">
      <c r="A5527" s="5" t="str">
        <f t="shared" si="96"/>
        <v>202319</v>
      </c>
      <c r="B5527" s="5" t="str">
        <f>"23085044719"</f>
        <v>23085044719</v>
      </c>
      <c r="C5527" s="6">
        <v>102</v>
      </c>
      <c r="D5527" s="6">
        <v>113.5</v>
      </c>
      <c r="E5527" s="6">
        <v>215.5</v>
      </c>
      <c r="F5527" s="11"/>
    </row>
    <row r="5528" spans="1:6">
      <c r="A5528" s="5" t="str">
        <f t="shared" si="96"/>
        <v>202319</v>
      </c>
      <c r="B5528" s="5" t="str">
        <f>"23085044314"</f>
        <v>23085044314</v>
      </c>
      <c r="C5528" s="6">
        <v>97.5</v>
      </c>
      <c r="D5528" s="6">
        <v>117.5</v>
      </c>
      <c r="E5528" s="6">
        <v>215</v>
      </c>
      <c r="F5528" s="11"/>
    </row>
    <row r="5529" spans="1:6">
      <c r="A5529" s="5" t="str">
        <f t="shared" si="96"/>
        <v>202319</v>
      </c>
      <c r="B5529" s="5" t="str">
        <f>"23085043627"</f>
        <v>23085043627</v>
      </c>
      <c r="C5529" s="6">
        <v>102</v>
      </c>
      <c r="D5529" s="6">
        <v>112.5</v>
      </c>
      <c r="E5529" s="6">
        <v>214.5</v>
      </c>
      <c r="F5529" s="11"/>
    </row>
    <row r="5530" spans="1:6">
      <c r="A5530" s="5" t="str">
        <f t="shared" si="96"/>
        <v>202319</v>
      </c>
      <c r="B5530" s="5" t="str">
        <f>"23085043414"</f>
        <v>23085043414</v>
      </c>
      <c r="C5530" s="6">
        <v>102</v>
      </c>
      <c r="D5530" s="6">
        <v>112.5</v>
      </c>
      <c r="E5530" s="6">
        <v>214.5</v>
      </c>
      <c r="F5530" s="11"/>
    </row>
    <row r="5531" spans="1:6">
      <c r="A5531" s="5" t="str">
        <f t="shared" si="96"/>
        <v>202319</v>
      </c>
      <c r="B5531" s="5" t="str">
        <f>"23085050312"</f>
        <v>23085050312</v>
      </c>
      <c r="C5531" s="6">
        <v>100.5</v>
      </c>
      <c r="D5531" s="6">
        <v>114</v>
      </c>
      <c r="E5531" s="6">
        <v>214.5</v>
      </c>
      <c r="F5531" s="11"/>
    </row>
    <row r="5532" spans="1:6">
      <c r="A5532" s="5" t="str">
        <f t="shared" si="96"/>
        <v>202319</v>
      </c>
      <c r="B5532" s="5" t="str">
        <f>"23085044514"</f>
        <v>23085044514</v>
      </c>
      <c r="C5532" s="6">
        <v>91.5</v>
      </c>
      <c r="D5532" s="6">
        <v>123</v>
      </c>
      <c r="E5532" s="6">
        <v>214.5</v>
      </c>
      <c r="F5532" s="11"/>
    </row>
    <row r="5533" spans="1:6">
      <c r="A5533" s="5" t="str">
        <f t="shared" si="96"/>
        <v>202319</v>
      </c>
      <c r="B5533" s="5" t="str">
        <f>"23085043917"</f>
        <v>23085043917</v>
      </c>
      <c r="C5533" s="6">
        <v>99</v>
      </c>
      <c r="D5533" s="6">
        <v>115.5</v>
      </c>
      <c r="E5533" s="6">
        <v>214.5</v>
      </c>
      <c r="F5533" s="11"/>
    </row>
    <row r="5534" spans="1:6">
      <c r="A5534" s="5" t="str">
        <f t="shared" si="96"/>
        <v>202319</v>
      </c>
      <c r="B5534" s="5" t="str">
        <f>"23085044018"</f>
        <v>23085044018</v>
      </c>
      <c r="C5534" s="6">
        <v>97.5</v>
      </c>
      <c r="D5534" s="6">
        <v>116.5</v>
      </c>
      <c r="E5534" s="6">
        <v>214</v>
      </c>
      <c r="F5534" s="11"/>
    </row>
    <row r="5535" spans="1:6">
      <c r="A5535" s="5" t="str">
        <f t="shared" si="96"/>
        <v>202319</v>
      </c>
      <c r="B5535" s="5" t="str">
        <f>"23085044105"</f>
        <v>23085044105</v>
      </c>
      <c r="C5535" s="6">
        <v>97.5</v>
      </c>
      <c r="D5535" s="6">
        <v>116.5</v>
      </c>
      <c r="E5535" s="6">
        <v>214</v>
      </c>
      <c r="F5535" s="11"/>
    </row>
    <row r="5536" spans="1:6">
      <c r="A5536" s="5" t="str">
        <f t="shared" si="96"/>
        <v>202319</v>
      </c>
      <c r="B5536" s="5" t="str">
        <f>"23085043908"</f>
        <v>23085043908</v>
      </c>
      <c r="C5536" s="6">
        <v>97.5</v>
      </c>
      <c r="D5536" s="6">
        <v>116.5</v>
      </c>
      <c r="E5536" s="6">
        <v>214</v>
      </c>
      <c r="F5536" s="11"/>
    </row>
    <row r="5537" spans="1:6">
      <c r="A5537" s="5" t="str">
        <f t="shared" si="96"/>
        <v>202319</v>
      </c>
      <c r="B5537" s="5" t="str">
        <f>"23085045028"</f>
        <v>23085045028</v>
      </c>
      <c r="C5537" s="6">
        <v>99</v>
      </c>
      <c r="D5537" s="6">
        <v>115</v>
      </c>
      <c r="E5537" s="6">
        <v>214</v>
      </c>
      <c r="F5537" s="11"/>
    </row>
    <row r="5538" spans="1:6">
      <c r="A5538" s="5" t="str">
        <f t="shared" si="96"/>
        <v>202319</v>
      </c>
      <c r="B5538" s="5" t="str">
        <f>"23085044227"</f>
        <v>23085044227</v>
      </c>
      <c r="C5538" s="6">
        <v>96</v>
      </c>
      <c r="D5538" s="6">
        <v>118</v>
      </c>
      <c r="E5538" s="6">
        <v>214</v>
      </c>
      <c r="F5538" s="11"/>
    </row>
    <row r="5539" spans="1:6">
      <c r="A5539" s="5" t="str">
        <f t="shared" si="96"/>
        <v>202319</v>
      </c>
      <c r="B5539" s="5" t="str">
        <f>"23085043505"</f>
        <v>23085043505</v>
      </c>
      <c r="C5539" s="6">
        <v>96</v>
      </c>
      <c r="D5539" s="6">
        <v>117.5</v>
      </c>
      <c r="E5539" s="6">
        <v>213.5</v>
      </c>
      <c r="F5539" s="11"/>
    </row>
    <row r="5540" spans="1:6">
      <c r="A5540" s="5" t="str">
        <f t="shared" si="96"/>
        <v>202319</v>
      </c>
      <c r="B5540" s="5" t="str">
        <f>"23085044504"</f>
        <v>23085044504</v>
      </c>
      <c r="C5540" s="6">
        <v>99</v>
      </c>
      <c r="D5540" s="6">
        <v>114.5</v>
      </c>
      <c r="E5540" s="6">
        <v>213.5</v>
      </c>
      <c r="F5540" s="11"/>
    </row>
    <row r="5541" spans="1:6">
      <c r="A5541" s="5" t="str">
        <f t="shared" si="96"/>
        <v>202319</v>
      </c>
      <c r="B5541" s="5" t="str">
        <f>"23085044703"</f>
        <v>23085044703</v>
      </c>
      <c r="C5541" s="6">
        <v>108</v>
      </c>
      <c r="D5541" s="6">
        <v>105.5</v>
      </c>
      <c r="E5541" s="6">
        <v>213.5</v>
      </c>
      <c r="F5541" s="11"/>
    </row>
    <row r="5542" spans="1:6">
      <c r="A5542" s="5" t="str">
        <f t="shared" si="96"/>
        <v>202319</v>
      </c>
      <c r="B5542" s="5" t="str">
        <f>"23085044414"</f>
        <v>23085044414</v>
      </c>
      <c r="C5542" s="6">
        <v>99</v>
      </c>
      <c r="D5542" s="6">
        <v>114.5</v>
      </c>
      <c r="E5542" s="6">
        <v>213.5</v>
      </c>
      <c r="F5542" s="11"/>
    </row>
    <row r="5543" spans="1:6">
      <c r="A5543" s="5" t="str">
        <f t="shared" si="96"/>
        <v>202319</v>
      </c>
      <c r="B5543" s="5" t="str">
        <f>"23085043702"</f>
        <v>23085043702</v>
      </c>
      <c r="C5543" s="6">
        <v>100.5</v>
      </c>
      <c r="D5543" s="6">
        <v>113</v>
      </c>
      <c r="E5543" s="6">
        <v>213.5</v>
      </c>
      <c r="F5543" s="11"/>
    </row>
    <row r="5544" spans="1:6">
      <c r="A5544" s="5" t="str">
        <f t="shared" si="96"/>
        <v>202319</v>
      </c>
      <c r="B5544" s="5" t="str">
        <f>"23085044418"</f>
        <v>23085044418</v>
      </c>
      <c r="C5544" s="6">
        <v>108</v>
      </c>
      <c r="D5544" s="6">
        <v>105.5</v>
      </c>
      <c r="E5544" s="6">
        <v>213.5</v>
      </c>
      <c r="F5544" s="11"/>
    </row>
    <row r="5545" spans="1:6">
      <c r="A5545" s="5" t="str">
        <f t="shared" si="96"/>
        <v>202319</v>
      </c>
      <c r="B5545" s="5" t="str">
        <f>"23085044515"</f>
        <v>23085044515</v>
      </c>
      <c r="C5545" s="6">
        <v>106.5</v>
      </c>
      <c r="D5545" s="6">
        <v>107</v>
      </c>
      <c r="E5545" s="6">
        <v>213.5</v>
      </c>
      <c r="F5545" s="11"/>
    </row>
    <row r="5546" spans="1:6">
      <c r="A5546" s="5" t="str">
        <f t="shared" si="96"/>
        <v>202319</v>
      </c>
      <c r="B5546" s="5" t="str">
        <f>"23085044013"</f>
        <v>23085044013</v>
      </c>
      <c r="C5546" s="6">
        <v>100.5</v>
      </c>
      <c r="D5546" s="6">
        <v>112.5</v>
      </c>
      <c r="E5546" s="6">
        <v>213</v>
      </c>
      <c r="F5546" s="11"/>
    </row>
    <row r="5547" spans="1:6">
      <c r="A5547" s="5" t="str">
        <f t="shared" si="96"/>
        <v>202319</v>
      </c>
      <c r="B5547" s="5" t="str">
        <f>"23085043302"</f>
        <v>23085043302</v>
      </c>
      <c r="C5547" s="6">
        <v>103.5</v>
      </c>
      <c r="D5547" s="6">
        <v>109.5</v>
      </c>
      <c r="E5547" s="6">
        <v>213</v>
      </c>
      <c r="F5547" s="11"/>
    </row>
    <row r="5548" spans="1:6">
      <c r="A5548" s="5" t="str">
        <f t="shared" si="96"/>
        <v>202319</v>
      </c>
      <c r="B5548" s="5" t="str">
        <f>"23085044704"</f>
        <v>23085044704</v>
      </c>
      <c r="C5548" s="6">
        <v>97.5</v>
      </c>
      <c r="D5548" s="6">
        <v>115.5</v>
      </c>
      <c r="E5548" s="6">
        <v>213</v>
      </c>
      <c r="F5548" s="11"/>
    </row>
    <row r="5549" spans="1:6">
      <c r="A5549" s="5" t="str">
        <f t="shared" si="96"/>
        <v>202319</v>
      </c>
      <c r="B5549" s="5" t="str">
        <f>"23085043501"</f>
        <v>23085043501</v>
      </c>
      <c r="C5549" s="6">
        <v>103.5</v>
      </c>
      <c r="D5549" s="6">
        <v>109.5</v>
      </c>
      <c r="E5549" s="6">
        <v>213</v>
      </c>
      <c r="F5549" s="11"/>
    </row>
    <row r="5550" spans="1:6">
      <c r="A5550" s="5" t="str">
        <f t="shared" si="96"/>
        <v>202319</v>
      </c>
      <c r="B5550" s="5" t="str">
        <f>"23085043710"</f>
        <v>23085043710</v>
      </c>
      <c r="C5550" s="6">
        <v>100.5</v>
      </c>
      <c r="D5550" s="6">
        <v>112.5</v>
      </c>
      <c r="E5550" s="6">
        <v>213</v>
      </c>
      <c r="F5550" s="11"/>
    </row>
    <row r="5551" spans="1:6">
      <c r="A5551" s="5" t="str">
        <f t="shared" si="96"/>
        <v>202319</v>
      </c>
      <c r="B5551" s="5" t="str">
        <f>"23085050329"</f>
        <v>23085050329</v>
      </c>
      <c r="C5551" s="6">
        <v>112.5</v>
      </c>
      <c r="D5551" s="6">
        <v>100.5</v>
      </c>
      <c r="E5551" s="6">
        <v>213</v>
      </c>
      <c r="F5551" s="11"/>
    </row>
    <row r="5552" spans="1:6">
      <c r="A5552" s="5" t="str">
        <f t="shared" si="96"/>
        <v>202319</v>
      </c>
      <c r="B5552" s="5" t="str">
        <f>"23085044206"</f>
        <v>23085044206</v>
      </c>
      <c r="C5552" s="6">
        <v>103.5</v>
      </c>
      <c r="D5552" s="6">
        <v>109.5</v>
      </c>
      <c r="E5552" s="6">
        <v>213</v>
      </c>
      <c r="F5552" s="11"/>
    </row>
    <row r="5553" spans="1:6">
      <c r="A5553" s="5" t="str">
        <f t="shared" si="96"/>
        <v>202319</v>
      </c>
      <c r="B5553" s="5" t="str">
        <f>"23085044326"</f>
        <v>23085044326</v>
      </c>
      <c r="C5553" s="6">
        <v>93</v>
      </c>
      <c r="D5553" s="6">
        <v>120</v>
      </c>
      <c r="E5553" s="6">
        <v>213</v>
      </c>
      <c r="F5553" s="11"/>
    </row>
    <row r="5554" spans="1:6">
      <c r="A5554" s="5" t="str">
        <f t="shared" si="96"/>
        <v>202319</v>
      </c>
      <c r="B5554" s="5" t="str">
        <f>"23085043225"</f>
        <v>23085043225</v>
      </c>
      <c r="C5554" s="6">
        <v>102</v>
      </c>
      <c r="D5554" s="6">
        <v>111</v>
      </c>
      <c r="E5554" s="6">
        <v>213</v>
      </c>
      <c r="F5554" s="11"/>
    </row>
    <row r="5555" spans="1:6">
      <c r="A5555" s="5" t="str">
        <f t="shared" si="96"/>
        <v>202319</v>
      </c>
      <c r="B5555" s="5" t="str">
        <f>"23085044214"</f>
        <v>23085044214</v>
      </c>
      <c r="C5555" s="6">
        <v>102</v>
      </c>
      <c r="D5555" s="6">
        <v>111</v>
      </c>
      <c r="E5555" s="6">
        <v>213</v>
      </c>
      <c r="F5555" s="11"/>
    </row>
    <row r="5556" spans="1:6">
      <c r="A5556" s="5" t="str">
        <f t="shared" si="96"/>
        <v>202319</v>
      </c>
      <c r="B5556" s="5" t="str">
        <f>"23085044430"</f>
        <v>23085044430</v>
      </c>
      <c r="C5556" s="6">
        <v>105</v>
      </c>
      <c r="D5556" s="6">
        <v>108</v>
      </c>
      <c r="E5556" s="6">
        <v>213</v>
      </c>
      <c r="F5556" s="11"/>
    </row>
    <row r="5557" spans="1:6">
      <c r="A5557" s="5" t="str">
        <f t="shared" si="96"/>
        <v>202319</v>
      </c>
      <c r="B5557" s="5" t="str">
        <f>"23085044608"</f>
        <v>23085044608</v>
      </c>
      <c r="C5557" s="6">
        <v>99</v>
      </c>
      <c r="D5557" s="6">
        <v>113.5</v>
      </c>
      <c r="E5557" s="6">
        <v>212.5</v>
      </c>
      <c r="F5557" s="11"/>
    </row>
    <row r="5558" spans="1:6">
      <c r="A5558" s="5" t="str">
        <f t="shared" si="96"/>
        <v>202319</v>
      </c>
      <c r="B5558" s="5" t="str">
        <f>"23085050324"</f>
        <v>23085050324</v>
      </c>
      <c r="C5558" s="6">
        <v>100.5</v>
      </c>
      <c r="D5558" s="6">
        <v>112</v>
      </c>
      <c r="E5558" s="6">
        <v>212.5</v>
      </c>
      <c r="F5558" s="11"/>
    </row>
    <row r="5559" spans="1:6">
      <c r="A5559" s="5" t="str">
        <f t="shared" si="96"/>
        <v>202319</v>
      </c>
      <c r="B5559" s="5" t="str">
        <f>"23085044121"</f>
        <v>23085044121</v>
      </c>
      <c r="C5559" s="6">
        <v>100.5</v>
      </c>
      <c r="D5559" s="6">
        <v>112</v>
      </c>
      <c r="E5559" s="6">
        <v>212.5</v>
      </c>
      <c r="F5559" s="11"/>
    </row>
    <row r="5560" spans="1:6">
      <c r="A5560" s="5" t="str">
        <f t="shared" si="96"/>
        <v>202319</v>
      </c>
      <c r="B5560" s="5" t="str">
        <f>"23085044805"</f>
        <v>23085044805</v>
      </c>
      <c r="C5560" s="6">
        <v>100.5</v>
      </c>
      <c r="D5560" s="6">
        <v>112</v>
      </c>
      <c r="E5560" s="6">
        <v>212.5</v>
      </c>
      <c r="F5560" s="11"/>
    </row>
    <row r="5561" spans="1:6">
      <c r="A5561" s="5" t="str">
        <f t="shared" si="96"/>
        <v>202319</v>
      </c>
      <c r="B5561" s="5" t="str">
        <f>"23085050118"</f>
        <v>23085050118</v>
      </c>
      <c r="C5561" s="6">
        <v>100.5</v>
      </c>
      <c r="D5561" s="6">
        <v>112</v>
      </c>
      <c r="E5561" s="6">
        <v>212.5</v>
      </c>
      <c r="F5561" s="11"/>
    </row>
    <row r="5562" spans="1:6">
      <c r="A5562" s="5" t="str">
        <f t="shared" si="96"/>
        <v>202319</v>
      </c>
      <c r="B5562" s="5" t="str">
        <f>"23085044625"</f>
        <v>23085044625</v>
      </c>
      <c r="C5562" s="6">
        <v>99</v>
      </c>
      <c r="D5562" s="6">
        <v>113.5</v>
      </c>
      <c r="E5562" s="6">
        <v>212.5</v>
      </c>
      <c r="F5562" s="11"/>
    </row>
    <row r="5563" spans="1:6">
      <c r="A5563" s="5" t="str">
        <f t="shared" si="96"/>
        <v>202319</v>
      </c>
      <c r="B5563" s="5" t="str">
        <f>"23085044921"</f>
        <v>23085044921</v>
      </c>
      <c r="C5563" s="6">
        <v>103.5</v>
      </c>
      <c r="D5563" s="6">
        <v>109</v>
      </c>
      <c r="E5563" s="6">
        <v>212.5</v>
      </c>
      <c r="F5563" s="11"/>
    </row>
    <row r="5564" spans="1:6">
      <c r="A5564" s="5" t="str">
        <f t="shared" si="96"/>
        <v>202319</v>
      </c>
      <c r="B5564" s="5" t="str">
        <f>"23085044024"</f>
        <v>23085044024</v>
      </c>
      <c r="C5564" s="6">
        <v>97.5</v>
      </c>
      <c r="D5564" s="6">
        <v>114.5</v>
      </c>
      <c r="E5564" s="6">
        <v>212</v>
      </c>
      <c r="F5564" s="11"/>
    </row>
    <row r="5565" spans="1:6">
      <c r="A5565" s="5" t="str">
        <f t="shared" si="96"/>
        <v>202319</v>
      </c>
      <c r="B5565" s="5" t="str">
        <f>"23085044309"</f>
        <v>23085044309</v>
      </c>
      <c r="C5565" s="6">
        <v>102</v>
      </c>
      <c r="D5565" s="6">
        <v>110</v>
      </c>
      <c r="E5565" s="6">
        <v>212</v>
      </c>
      <c r="F5565" s="11"/>
    </row>
    <row r="5566" spans="1:6">
      <c r="A5566" s="5" t="str">
        <f t="shared" si="96"/>
        <v>202319</v>
      </c>
      <c r="B5566" s="5" t="str">
        <f>"23085044330"</f>
        <v>23085044330</v>
      </c>
      <c r="C5566" s="6">
        <v>99</v>
      </c>
      <c r="D5566" s="6">
        <v>113</v>
      </c>
      <c r="E5566" s="6">
        <v>212</v>
      </c>
      <c r="F5566" s="11"/>
    </row>
    <row r="5567" spans="1:6">
      <c r="A5567" s="5" t="str">
        <f t="shared" si="96"/>
        <v>202319</v>
      </c>
      <c r="B5567" s="5" t="str">
        <f>"23085043218"</f>
        <v>23085043218</v>
      </c>
      <c r="C5567" s="6">
        <v>97.5</v>
      </c>
      <c r="D5567" s="6">
        <v>114.5</v>
      </c>
      <c r="E5567" s="6">
        <v>212</v>
      </c>
      <c r="F5567" s="11"/>
    </row>
    <row r="5568" spans="1:6">
      <c r="A5568" s="5" t="str">
        <f t="shared" si="96"/>
        <v>202319</v>
      </c>
      <c r="B5568" s="5" t="str">
        <f>"23085044014"</f>
        <v>23085044014</v>
      </c>
      <c r="C5568" s="6">
        <v>99</v>
      </c>
      <c r="D5568" s="6">
        <v>113</v>
      </c>
      <c r="E5568" s="6">
        <v>212</v>
      </c>
      <c r="F5568" s="11"/>
    </row>
    <row r="5569" spans="1:6">
      <c r="A5569" s="5" t="str">
        <f t="shared" si="96"/>
        <v>202319</v>
      </c>
      <c r="B5569" s="5" t="str">
        <f>"23085044621"</f>
        <v>23085044621</v>
      </c>
      <c r="C5569" s="6">
        <v>103.5</v>
      </c>
      <c r="D5569" s="6">
        <v>108.5</v>
      </c>
      <c r="E5569" s="6">
        <v>212</v>
      </c>
      <c r="F5569" s="11"/>
    </row>
    <row r="5570" spans="1:6">
      <c r="A5570" s="5" t="str">
        <f t="shared" si="96"/>
        <v>202319</v>
      </c>
      <c r="B5570" s="5" t="str">
        <f>"23085044512"</f>
        <v>23085044512</v>
      </c>
      <c r="C5570" s="6">
        <v>94.5</v>
      </c>
      <c r="D5570" s="6">
        <v>117.5</v>
      </c>
      <c r="E5570" s="6">
        <v>212</v>
      </c>
      <c r="F5570" s="11"/>
    </row>
    <row r="5571" spans="1:6">
      <c r="A5571" s="5" t="str">
        <f t="shared" si="96"/>
        <v>202319</v>
      </c>
      <c r="B5571" s="5" t="str">
        <f>"23085050412"</f>
        <v>23085050412</v>
      </c>
      <c r="C5571" s="6">
        <v>94.5</v>
      </c>
      <c r="D5571" s="6">
        <v>117.5</v>
      </c>
      <c r="E5571" s="6">
        <v>212</v>
      </c>
      <c r="F5571" s="11"/>
    </row>
    <row r="5572" spans="1:6">
      <c r="A5572" s="5" t="str">
        <f t="shared" si="96"/>
        <v>202319</v>
      </c>
      <c r="B5572" s="5" t="str">
        <f>"23085044822"</f>
        <v>23085044822</v>
      </c>
      <c r="C5572" s="6">
        <v>94.5</v>
      </c>
      <c r="D5572" s="6">
        <v>117.5</v>
      </c>
      <c r="E5572" s="6">
        <v>212</v>
      </c>
      <c r="F5572" s="11"/>
    </row>
    <row r="5573" spans="1:6">
      <c r="A5573" s="5" t="str">
        <f t="shared" si="96"/>
        <v>202319</v>
      </c>
      <c r="B5573" s="5" t="str">
        <f>"23085043708"</f>
        <v>23085043708</v>
      </c>
      <c r="C5573" s="6">
        <v>96</v>
      </c>
      <c r="D5573" s="6">
        <v>116</v>
      </c>
      <c r="E5573" s="6">
        <v>212</v>
      </c>
      <c r="F5573" s="11"/>
    </row>
    <row r="5574" spans="1:6">
      <c r="A5574" s="5" t="str">
        <f t="shared" si="96"/>
        <v>202319</v>
      </c>
      <c r="B5574" s="5" t="str">
        <f>"23085044714"</f>
        <v>23085044714</v>
      </c>
      <c r="C5574" s="6">
        <v>94.5</v>
      </c>
      <c r="D5574" s="6">
        <v>117.5</v>
      </c>
      <c r="E5574" s="6">
        <v>212</v>
      </c>
      <c r="F5574" s="11"/>
    </row>
    <row r="5575" spans="1:6">
      <c r="A5575" s="5" t="str">
        <f t="shared" si="96"/>
        <v>202319</v>
      </c>
      <c r="B5575" s="5" t="str">
        <f>"23085050109"</f>
        <v>23085050109</v>
      </c>
      <c r="C5575" s="6">
        <v>103.5</v>
      </c>
      <c r="D5575" s="6">
        <v>108.5</v>
      </c>
      <c r="E5575" s="6">
        <v>212</v>
      </c>
      <c r="F5575" s="11"/>
    </row>
    <row r="5576" spans="1:6">
      <c r="A5576" s="5" t="str">
        <f t="shared" ref="A5576:A5639" si="97">"202319"</f>
        <v>202319</v>
      </c>
      <c r="B5576" s="5" t="str">
        <f>"23085043825"</f>
        <v>23085043825</v>
      </c>
      <c r="C5576" s="6">
        <v>103.5</v>
      </c>
      <c r="D5576" s="6">
        <v>108.5</v>
      </c>
      <c r="E5576" s="6">
        <v>212</v>
      </c>
      <c r="F5576" s="11"/>
    </row>
    <row r="5577" spans="1:6">
      <c r="A5577" s="5" t="str">
        <f t="shared" si="97"/>
        <v>202319</v>
      </c>
      <c r="B5577" s="5" t="str">
        <f>"23085043316"</f>
        <v>23085043316</v>
      </c>
      <c r="C5577" s="6">
        <v>94.5</v>
      </c>
      <c r="D5577" s="6">
        <v>117</v>
      </c>
      <c r="E5577" s="6">
        <v>211.5</v>
      </c>
      <c r="F5577" s="11"/>
    </row>
    <row r="5578" spans="1:6">
      <c r="A5578" s="5" t="str">
        <f t="shared" si="97"/>
        <v>202319</v>
      </c>
      <c r="B5578" s="5" t="str">
        <f>"23085044728"</f>
        <v>23085044728</v>
      </c>
      <c r="C5578" s="6">
        <v>97.5</v>
      </c>
      <c r="D5578" s="6">
        <v>114</v>
      </c>
      <c r="E5578" s="6">
        <v>211.5</v>
      </c>
      <c r="F5578" s="11"/>
    </row>
    <row r="5579" spans="1:6">
      <c r="A5579" s="5" t="str">
        <f t="shared" si="97"/>
        <v>202319</v>
      </c>
      <c r="B5579" s="5" t="str">
        <f>"23085050410"</f>
        <v>23085050410</v>
      </c>
      <c r="C5579" s="6">
        <v>96</v>
      </c>
      <c r="D5579" s="6">
        <v>115.5</v>
      </c>
      <c r="E5579" s="6">
        <v>211.5</v>
      </c>
      <c r="F5579" s="11"/>
    </row>
    <row r="5580" spans="1:6">
      <c r="A5580" s="5" t="str">
        <f t="shared" si="97"/>
        <v>202319</v>
      </c>
      <c r="B5580" s="5" t="str">
        <f>"23085044404"</f>
        <v>23085044404</v>
      </c>
      <c r="C5580" s="6">
        <v>96</v>
      </c>
      <c r="D5580" s="6">
        <v>115.5</v>
      </c>
      <c r="E5580" s="6">
        <v>211.5</v>
      </c>
      <c r="F5580" s="11"/>
    </row>
    <row r="5581" spans="1:6">
      <c r="A5581" s="5" t="str">
        <f t="shared" si="97"/>
        <v>202319</v>
      </c>
      <c r="B5581" s="5" t="str">
        <f>"23085044710"</f>
        <v>23085044710</v>
      </c>
      <c r="C5581" s="6">
        <v>105</v>
      </c>
      <c r="D5581" s="6">
        <v>106.5</v>
      </c>
      <c r="E5581" s="6">
        <v>211.5</v>
      </c>
      <c r="F5581" s="11"/>
    </row>
    <row r="5582" spans="1:6">
      <c r="A5582" s="5" t="str">
        <f t="shared" si="97"/>
        <v>202319</v>
      </c>
      <c r="B5582" s="5" t="str">
        <f>"23085045018"</f>
        <v>23085045018</v>
      </c>
      <c r="C5582" s="6">
        <v>99</v>
      </c>
      <c r="D5582" s="6">
        <v>112.5</v>
      </c>
      <c r="E5582" s="6">
        <v>211.5</v>
      </c>
      <c r="F5582" s="11"/>
    </row>
    <row r="5583" spans="1:6">
      <c r="A5583" s="5" t="str">
        <f t="shared" si="97"/>
        <v>202319</v>
      </c>
      <c r="B5583" s="5" t="str">
        <f>"23085044626"</f>
        <v>23085044626</v>
      </c>
      <c r="C5583" s="6">
        <v>100.5</v>
      </c>
      <c r="D5583" s="6">
        <v>111</v>
      </c>
      <c r="E5583" s="6">
        <v>211.5</v>
      </c>
      <c r="F5583" s="11"/>
    </row>
    <row r="5584" spans="1:6">
      <c r="A5584" s="5" t="str">
        <f t="shared" si="97"/>
        <v>202319</v>
      </c>
      <c r="B5584" s="5" t="str">
        <f>"23085044802"</f>
        <v>23085044802</v>
      </c>
      <c r="C5584" s="6">
        <v>100.5</v>
      </c>
      <c r="D5584" s="6">
        <v>110.5</v>
      </c>
      <c r="E5584" s="6">
        <v>211</v>
      </c>
      <c r="F5584" s="11"/>
    </row>
    <row r="5585" spans="1:6">
      <c r="A5585" s="5" t="str">
        <f t="shared" si="97"/>
        <v>202319</v>
      </c>
      <c r="B5585" s="5" t="str">
        <f>"23085043515"</f>
        <v>23085043515</v>
      </c>
      <c r="C5585" s="6">
        <v>103.5</v>
      </c>
      <c r="D5585" s="6">
        <v>107.5</v>
      </c>
      <c r="E5585" s="6">
        <v>211</v>
      </c>
      <c r="F5585" s="11"/>
    </row>
    <row r="5586" spans="1:6">
      <c r="A5586" s="5" t="str">
        <f t="shared" si="97"/>
        <v>202319</v>
      </c>
      <c r="B5586" s="5" t="str">
        <f>"23085044808"</f>
        <v>23085044808</v>
      </c>
      <c r="C5586" s="6">
        <v>97.5</v>
      </c>
      <c r="D5586" s="6">
        <v>113.5</v>
      </c>
      <c r="E5586" s="6">
        <v>211</v>
      </c>
      <c r="F5586" s="11"/>
    </row>
    <row r="5587" spans="1:6">
      <c r="A5587" s="5" t="str">
        <f t="shared" si="97"/>
        <v>202319</v>
      </c>
      <c r="B5587" s="5" t="str">
        <f>"23085043712"</f>
        <v>23085043712</v>
      </c>
      <c r="C5587" s="6">
        <v>93</v>
      </c>
      <c r="D5587" s="6">
        <v>118</v>
      </c>
      <c r="E5587" s="6">
        <v>211</v>
      </c>
      <c r="F5587" s="11"/>
    </row>
    <row r="5588" spans="1:6">
      <c r="A5588" s="5" t="str">
        <f t="shared" si="97"/>
        <v>202319</v>
      </c>
      <c r="B5588" s="5" t="str">
        <f>"23085044111"</f>
        <v>23085044111</v>
      </c>
      <c r="C5588" s="6">
        <v>94.5</v>
      </c>
      <c r="D5588" s="6">
        <v>116.5</v>
      </c>
      <c r="E5588" s="6">
        <v>211</v>
      </c>
      <c r="F5588" s="11"/>
    </row>
    <row r="5589" spans="1:6">
      <c r="A5589" s="5" t="str">
        <f t="shared" si="97"/>
        <v>202319</v>
      </c>
      <c r="B5589" s="5" t="str">
        <f>"23085050307"</f>
        <v>23085050307</v>
      </c>
      <c r="C5589" s="6">
        <v>91.5</v>
      </c>
      <c r="D5589" s="6">
        <v>119</v>
      </c>
      <c r="E5589" s="6">
        <v>210.5</v>
      </c>
      <c r="F5589" s="11"/>
    </row>
    <row r="5590" spans="1:6">
      <c r="A5590" s="5" t="str">
        <f t="shared" si="97"/>
        <v>202319</v>
      </c>
      <c r="B5590" s="5" t="str">
        <f>"23085043314"</f>
        <v>23085043314</v>
      </c>
      <c r="C5590" s="6">
        <v>94.5</v>
      </c>
      <c r="D5590" s="6">
        <v>116</v>
      </c>
      <c r="E5590" s="6">
        <v>210.5</v>
      </c>
      <c r="F5590" s="11"/>
    </row>
    <row r="5591" spans="1:6">
      <c r="A5591" s="5" t="str">
        <f t="shared" si="97"/>
        <v>202319</v>
      </c>
      <c r="B5591" s="5" t="str">
        <f>"23085050130"</f>
        <v>23085050130</v>
      </c>
      <c r="C5591" s="6">
        <v>96</v>
      </c>
      <c r="D5591" s="6">
        <v>114.5</v>
      </c>
      <c r="E5591" s="6">
        <v>210.5</v>
      </c>
      <c r="F5591" s="11"/>
    </row>
    <row r="5592" spans="1:6">
      <c r="A5592" s="5" t="str">
        <f t="shared" si="97"/>
        <v>202319</v>
      </c>
      <c r="B5592" s="5" t="str">
        <f>"23085044312"</f>
        <v>23085044312</v>
      </c>
      <c r="C5592" s="6">
        <v>88.5</v>
      </c>
      <c r="D5592" s="6">
        <v>122</v>
      </c>
      <c r="E5592" s="6">
        <v>210.5</v>
      </c>
      <c r="F5592" s="11"/>
    </row>
    <row r="5593" spans="1:6">
      <c r="A5593" s="5" t="str">
        <f t="shared" si="97"/>
        <v>202319</v>
      </c>
      <c r="B5593" s="5" t="str">
        <f>"23085044008"</f>
        <v>23085044008</v>
      </c>
      <c r="C5593" s="6">
        <v>94.5</v>
      </c>
      <c r="D5593" s="6">
        <v>115.5</v>
      </c>
      <c r="E5593" s="6">
        <v>210</v>
      </c>
      <c r="F5593" s="11"/>
    </row>
    <row r="5594" spans="1:6">
      <c r="A5594" s="5" t="str">
        <f t="shared" si="97"/>
        <v>202319</v>
      </c>
      <c r="B5594" s="5" t="str">
        <f>"23085050114"</f>
        <v>23085050114</v>
      </c>
      <c r="C5594" s="6">
        <v>96</v>
      </c>
      <c r="D5594" s="6">
        <v>114</v>
      </c>
      <c r="E5594" s="6">
        <v>210</v>
      </c>
      <c r="F5594" s="11"/>
    </row>
    <row r="5595" spans="1:6">
      <c r="A5595" s="5" t="str">
        <f t="shared" si="97"/>
        <v>202319</v>
      </c>
      <c r="B5595" s="5" t="str">
        <f>"23085043923"</f>
        <v>23085043923</v>
      </c>
      <c r="C5595" s="6">
        <v>97.5</v>
      </c>
      <c r="D5595" s="6">
        <v>112.5</v>
      </c>
      <c r="E5595" s="6">
        <v>210</v>
      </c>
      <c r="F5595" s="11"/>
    </row>
    <row r="5596" spans="1:6">
      <c r="A5596" s="5" t="str">
        <f t="shared" si="97"/>
        <v>202319</v>
      </c>
      <c r="B5596" s="5" t="str">
        <f>"23085043224"</f>
        <v>23085043224</v>
      </c>
      <c r="C5596" s="6">
        <v>91.5</v>
      </c>
      <c r="D5596" s="6">
        <v>118.5</v>
      </c>
      <c r="E5596" s="6">
        <v>210</v>
      </c>
      <c r="F5596" s="11"/>
    </row>
    <row r="5597" spans="1:6">
      <c r="A5597" s="5" t="str">
        <f t="shared" si="97"/>
        <v>202319</v>
      </c>
      <c r="B5597" s="5" t="str">
        <f>"23085044223"</f>
        <v>23085044223</v>
      </c>
      <c r="C5597" s="6">
        <v>96</v>
      </c>
      <c r="D5597" s="6">
        <v>113.5</v>
      </c>
      <c r="E5597" s="6">
        <v>209.5</v>
      </c>
      <c r="F5597" s="11"/>
    </row>
    <row r="5598" spans="1:6">
      <c r="A5598" s="5" t="str">
        <f t="shared" si="97"/>
        <v>202319</v>
      </c>
      <c r="B5598" s="5" t="str">
        <f>"23085050115"</f>
        <v>23085050115</v>
      </c>
      <c r="C5598" s="6">
        <v>111</v>
      </c>
      <c r="D5598" s="6">
        <v>98</v>
      </c>
      <c r="E5598" s="6">
        <v>209</v>
      </c>
      <c r="F5598" s="11"/>
    </row>
    <row r="5599" spans="1:6">
      <c r="A5599" s="5" t="str">
        <f t="shared" si="97"/>
        <v>202319</v>
      </c>
      <c r="B5599" s="5" t="str">
        <f>"23085045014"</f>
        <v>23085045014</v>
      </c>
      <c r="C5599" s="6">
        <v>100.5</v>
      </c>
      <c r="D5599" s="6">
        <v>108.5</v>
      </c>
      <c r="E5599" s="6">
        <v>209</v>
      </c>
      <c r="F5599" s="11"/>
    </row>
    <row r="5600" spans="1:6">
      <c r="A5600" s="5" t="str">
        <f t="shared" si="97"/>
        <v>202319</v>
      </c>
      <c r="B5600" s="5" t="str">
        <f>"23085043808"</f>
        <v>23085043808</v>
      </c>
      <c r="C5600" s="6">
        <v>97.5</v>
      </c>
      <c r="D5600" s="6">
        <v>111.5</v>
      </c>
      <c r="E5600" s="6">
        <v>209</v>
      </c>
      <c r="F5600" s="11"/>
    </row>
    <row r="5601" spans="1:6">
      <c r="A5601" s="5" t="str">
        <f t="shared" si="97"/>
        <v>202319</v>
      </c>
      <c r="B5601" s="5" t="str">
        <f>"23085044823"</f>
        <v>23085044823</v>
      </c>
      <c r="C5601" s="6">
        <v>96</v>
      </c>
      <c r="D5601" s="6">
        <v>113</v>
      </c>
      <c r="E5601" s="6">
        <v>209</v>
      </c>
      <c r="F5601" s="11"/>
    </row>
    <row r="5602" spans="1:6">
      <c r="A5602" s="5" t="str">
        <f t="shared" si="97"/>
        <v>202319</v>
      </c>
      <c r="B5602" s="5" t="str">
        <f>"23085044516"</f>
        <v>23085044516</v>
      </c>
      <c r="C5602" s="6">
        <v>91.5</v>
      </c>
      <c r="D5602" s="6">
        <v>117.5</v>
      </c>
      <c r="E5602" s="6">
        <v>209</v>
      </c>
      <c r="F5602" s="11"/>
    </row>
    <row r="5603" spans="1:6">
      <c r="A5603" s="5" t="str">
        <f t="shared" si="97"/>
        <v>202319</v>
      </c>
      <c r="B5603" s="5" t="str">
        <f>"23085044217"</f>
        <v>23085044217</v>
      </c>
      <c r="C5603" s="6">
        <v>91.5</v>
      </c>
      <c r="D5603" s="6">
        <v>117.5</v>
      </c>
      <c r="E5603" s="6">
        <v>209</v>
      </c>
      <c r="F5603" s="11"/>
    </row>
    <row r="5604" spans="1:6">
      <c r="A5604" s="5" t="str">
        <f t="shared" si="97"/>
        <v>202319</v>
      </c>
      <c r="B5604" s="5" t="str">
        <f>"23085043701"</f>
        <v>23085043701</v>
      </c>
      <c r="C5604" s="6">
        <v>93</v>
      </c>
      <c r="D5604" s="6">
        <v>116</v>
      </c>
      <c r="E5604" s="6">
        <v>209</v>
      </c>
      <c r="F5604" s="11"/>
    </row>
    <row r="5605" spans="1:6">
      <c r="A5605" s="5" t="str">
        <f t="shared" si="97"/>
        <v>202319</v>
      </c>
      <c r="B5605" s="5" t="str">
        <f>"23085044116"</f>
        <v>23085044116</v>
      </c>
      <c r="C5605" s="6">
        <v>91.5</v>
      </c>
      <c r="D5605" s="6">
        <v>117.5</v>
      </c>
      <c r="E5605" s="6">
        <v>209</v>
      </c>
      <c r="F5605" s="11"/>
    </row>
    <row r="5606" spans="1:6">
      <c r="A5606" s="5" t="str">
        <f t="shared" si="97"/>
        <v>202319</v>
      </c>
      <c r="B5606" s="5" t="str">
        <f>"23085044015"</f>
        <v>23085044015</v>
      </c>
      <c r="C5606" s="6">
        <v>99</v>
      </c>
      <c r="D5606" s="6">
        <v>109.5</v>
      </c>
      <c r="E5606" s="6">
        <v>208.5</v>
      </c>
      <c r="F5606" s="11"/>
    </row>
    <row r="5607" spans="1:6">
      <c r="A5607" s="5" t="str">
        <f t="shared" si="97"/>
        <v>202319</v>
      </c>
      <c r="B5607" s="5" t="str">
        <f>"23085044518"</f>
        <v>23085044518</v>
      </c>
      <c r="C5607" s="6">
        <v>88.5</v>
      </c>
      <c r="D5607" s="6">
        <v>120</v>
      </c>
      <c r="E5607" s="6">
        <v>208.5</v>
      </c>
      <c r="F5607" s="11"/>
    </row>
    <row r="5608" spans="1:6">
      <c r="A5608" s="5" t="str">
        <f t="shared" si="97"/>
        <v>202319</v>
      </c>
      <c r="B5608" s="5" t="str">
        <f>"23085044510"</f>
        <v>23085044510</v>
      </c>
      <c r="C5608" s="6">
        <v>93</v>
      </c>
      <c r="D5608" s="6">
        <v>115.5</v>
      </c>
      <c r="E5608" s="6">
        <v>208.5</v>
      </c>
      <c r="F5608" s="11"/>
    </row>
    <row r="5609" spans="1:6">
      <c r="A5609" s="5" t="str">
        <f t="shared" si="97"/>
        <v>202319</v>
      </c>
      <c r="B5609" s="5" t="str">
        <f>"23085043827"</f>
        <v>23085043827</v>
      </c>
      <c r="C5609" s="6">
        <v>100.5</v>
      </c>
      <c r="D5609" s="6">
        <v>108</v>
      </c>
      <c r="E5609" s="6">
        <v>208.5</v>
      </c>
      <c r="F5609" s="11"/>
    </row>
    <row r="5610" spans="1:6">
      <c r="A5610" s="5" t="str">
        <f t="shared" si="97"/>
        <v>202319</v>
      </c>
      <c r="B5610" s="5" t="str">
        <f>"23085050322"</f>
        <v>23085050322</v>
      </c>
      <c r="C5610" s="6">
        <v>94.5</v>
      </c>
      <c r="D5610" s="6">
        <v>114</v>
      </c>
      <c r="E5610" s="6">
        <v>208.5</v>
      </c>
      <c r="F5610" s="11"/>
    </row>
    <row r="5611" spans="1:6">
      <c r="A5611" s="5" t="str">
        <f t="shared" si="97"/>
        <v>202319</v>
      </c>
      <c r="B5611" s="5" t="str">
        <f>"23085044606"</f>
        <v>23085044606</v>
      </c>
      <c r="C5611" s="6">
        <v>97.5</v>
      </c>
      <c r="D5611" s="6">
        <v>111</v>
      </c>
      <c r="E5611" s="6">
        <v>208.5</v>
      </c>
      <c r="F5611" s="11"/>
    </row>
    <row r="5612" spans="1:6">
      <c r="A5612" s="5" t="str">
        <f t="shared" si="97"/>
        <v>202319</v>
      </c>
      <c r="B5612" s="5" t="str">
        <f>"23085044614"</f>
        <v>23085044614</v>
      </c>
      <c r="C5612" s="6">
        <v>99</v>
      </c>
      <c r="D5612" s="6">
        <v>109.5</v>
      </c>
      <c r="E5612" s="6">
        <v>208.5</v>
      </c>
      <c r="F5612" s="11"/>
    </row>
    <row r="5613" spans="1:6">
      <c r="A5613" s="5" t="str">
        <f t="shared" si="97"/>
        <v>202319</v>
      </c>
      <c r="B5613" s="5" t="str">
        <f>"23085043922"</f>
        <v>23085043922</v>
      </c>
      <c r="C5613" s="6">
        <v>91.5</v>
      </c>
      <c r="D5613" s="6">
        <v>117</v>
      </c>
      <c r="E5613" s="6">
        <v>208.5</v>
      </c>
      <c r="F5613" s="11"/>
    </row>
    <row r="5614" spans="1:6">
      <c r="A5614" s="5" t="str">
        <f t="shared" si="97"/>
        <v>202319</v>
      </c>
      <c r="B5614" s="5" t="str">
        <f>"23085043324"</f>
        <v>23085043324</v>
      </c>
      <c r="C5614" s="6">
        <v>97.5</v>
      </c>
      <c r="D5614" s="6">
        <v>110.5</v>
      </c>
      <c r="E5614" s="6">
        <v>208</v>
      </c>
      <c r="F5614" s="11"/>
    </row>
    <row r="5615" spans="1:6">
      <c r="A5615" s="5" t="str">
        <f t="shared" si="97"/>
        <v>202319</v>
      </c>
      <c r="B5615" s="5" t="str">
        <f>"23085044007"</f>
        <v>23085044007</v>
      </c>
      <c r="C5615" s="6">
        <v>91.5</v>
      </c>
      <c r="D5615" s="6">
        <v>116.5</v>
      </c>
      <c r="E5615" s="6">
        <v>208</v>
      </c>
      <c r="F5615" s="11"/>
    </row>
    <row r="5616" spans="1:6">
      <c r="A5616" s="5" t="str">
        <f t="shared" si="97"/>
        <v>202319</v>
      </c>
      <c r="B5616" s="5" t="str">
        <f>"23085043903"</f>
        <v>23085043903</v>
      </c>
      <c r="C5616" s="6">
        <v>99</v>
      </c>
      <c r="D5616" s="6">
        <v>109</v>
      </c>
      <c r="E5616" s="6">
        <v>208</v>
      </c>
      <c r="F5616" s="11"/>
    </row>
    <row r="5617" spans="1:6">
      <c r="A5617" s="5" t="str">
        <f t="shared" si="97"/>
        <v>202319</v>
      </c>
      <c r="B5617" s="5" t="str">
        <f>"23085043526"</f>
        <v>23085043526</v>
      </c>
      <c r="C5617" s="6">
        <v>97.5</v>
      </c>
      <c r="D5617" s="6">
        <v>110.5</v>
      </c>
      <c r="E5617" s="6">
        <v>208</v>
      </c>
      <c r="F5617" s="11"/>
    </row>
    <row r="5618" spans="1:6">
      <c r="A5618" s="5" t="str">
        <f t="shared" si="97"/>
        <v>202319</v>
      </c>
      <c r="B5618" s="5" t="str">
        <f>"23085044702"</f>
        <v>23085044702</v>
      </c>
      <c r="C5618" s="6">
        <v>93</v>
      </c>
      <c r="D5618" s="6">
        <v>114.5</v>
      </c>
      <c r="E5618" s="6">
        <v>207.5</v>
      </c>
      <c r="F5618" s="11"/>
    </row>
    <row r="5619" spans="1:6">
      <c r="A5619" s="5" t="str">
        <f t="shared" si="97"/>
        <v>202319</v>
      </c>
      <c r="B5619" s="5" t="str">
        <f>"23085043430"</f>
        <v>23085043430</v>
      </c>
      <c r="C5619" s="6">
        <v>88.5</v>
      </c>
      <c r="D5619" s="6">
        <v>119</v>
      </c>
      <c r="E5619" s="6">
        <v>207.5</v>
      </c>
      <c r="F5619" s="11"/>
    </row>
    <row r="5620" spans="1:6">
      <c r="A5620" s="5" t="str">
        <f t="shared" si="97"/>
        <v>202319</v>
      </c>
      <c r="B5620" s="5" t="str">
        <f>"23085050327"</f>
        <v>23085050327</v>
      </c>
      <c r="C5620" s="6">
        <v>88.5</v>
      </c>
      <c r="D5620" s="6">
        <v>119</v>
      </c>
      <c r="E5620" s="6">
        <v>207.5</v>
      </c>
      <c r="F5620" s="11"/>
    </row>
    <row r="5621" spans="1:6">
      <c r="A5621" s="5" t="str">
        <f t="shared" si="97"/>
        <v>202319</v>
      </c>
      <c r="B5621" s="5" t="str">
        <f>"23085045021"</f>
        <v>23085045021</v>
      </c>
      <c r="C5621" s="6">
        <v>97.5</v>
      </c>
      <c r="D5621" s="6">
        <v>110</v>
      </c>
      <c r="E5621" s="6">
        <v>207.5</v>
      </c>
      <c r="F5621" s="11"/>
    </row>
    <row r="5622" spans="1:6">
      <c r="A5622" s="5" t="str">
        <f t="shared" si="97"/>
        <v>202319</v>
      </c>
      <c r="B5622" s="5" t="str">
        <f>"23085043219"</f>
        <v>23085043219</v>
      </c>
      <c r="C5622" s="6">
        <v>94.5</v>
      </c>
      <c r="D5622" s="6">
        <v>113</v>
      </c>
      <c r="E5622" s="6">
        <v>207.5</v>
      </c>
      <c r="F5622" s="11"/>
    </row>
    <row r="5623" spans="1:6">
      <c r="A5623" s="5" t="str">
        <f t="shared" si="97"/>
        <v>202319</v>
      </c>
      <c r="B5623" s="5" t="str">
        <f>"23085043405"</f>
        <v>23085043405</v>
      </c>
      <c r="C5623" s="6">
        <v>94.5</v>
      </c>
      <c r="D5623" s="6">
        <v>113</v>
      </c>
      <c r="E5623" s="6">
        <v>207.5</v>
      </c>
      <c r="F5623" s="11"/>
    </row>
    <row r="5624" spans="1:6">
      <c r="A5624" s="5" t="str">
        <f t="shared" si="97"/>
        <v>202319</v>
      </c>
      <c r="B5624" s="5" t="str">
        <f>"23085043313"</f>
        <v>23085043313</v>
      </c>
      <c r="C5624" s="6">
        <v>90</v>
      </c>
      <c r="D5624" s="6">
        <v>117</v>
      </c>
      <c r="E5624" s="6">
        <v>207</v>
      </c>
      <c r="F5624" s="11"/>
    </row>
    <row r="5625" spans="1:6">
      <c r="A5625" s="5" t="str">
        <f t="shared" si="97"/>
        <v>202319</v>
      </c>
      <c r="B5625" s="5" t="str">
        <f>"23085044727"</f>
        <v>23085044727</v>
      </c>
      <c r="C5625" s="6">
        <v>90</v>
      </c>
      <c r="D5625" s="6">
        <v>117</v>
      </c>
      <c r="E5625" s="6">
        <v>207</v>
      </c>
      <c r="F5625" s="11"/>
    </row>
    <row r="5626" spans="1:6">
      <c r="A5626" s="5" t="str">
        <f t="shared" si="97"/>
        <v>202319</v>
      </c>
      <c r="B5626" s="5" t="str">
        <f>"23085044809"</f>
        <v>23085044809</v>
      </c>
      <c r="C5626" s="6">
        <v>91.5</v>
      </c>
      <c r="D5626" s="6">
        <v>115.5</v>
      </c>
      <c r="E5626" s="6">
        <v>207</v>
      </c>
      <c r="F5626" s="11"/>
    </row>
    <row r="5627" spans="1:6">
      <c r="A5627" s="5" t="str">
        <f t="shared" si="97"/>
        <v>202319</v>
      </c>
      <c r="B5627" s="5" t="str">
        <f>"23085044527"</f>
        <v>23085044527</v>
      </c>
      <c r="C5627" s="6">
        <v>106.5</v>
      </c>
      <c r="D5627" s="6">
        <v>100.5</v>
      </c>
      <c r="E5627" s="6">
        <v>207</v>
      </c>
      <c r="F5627" s="11"/>
    </row>
    <row r="5628" spans="1:6">
      <c r="A5628" s="5" t="str">
        <f t="shared" si="97"/>
        <v>202319</v>
      </c>
      <c r="B5628" s="5" t="str">
        <f>"23085044828"</f>
        <v>23085044828</v>
      </c>
      <c r="C5628" s="6">
        <v>96</v>
      </c>
      <c r="D5628" s="6">
        <v>111</v>
      </c>
      <c r="E5628" s="6">
        <v>207</v>
      </c>
      <c r="F5628" s="11"/>
    </row>
    <row r="5629" spans="1:6">
      <c r="A5629" s="5" t="str">
        <f t="shared" si="97"/>
        <v>202319</v>
      </c>
      <c r="B5629" s="5" t="str">
        <f>"23085044506"</f>
        <v>23085044506</v>
      </c>
      <c r="C5629" s="6">
        <v>94.5</v>
      </c>
      <c r="D5629" s="6">
        <v>112.5</v>
      </c>
      <c r="E5629" s="6">
        <v>207</v>
      </c>
      <c r="F5629" s="11"/>
    </row>
    <row r="5630" spans="1:6">
      <c r="A5630" s="5" t="str">
        <f t="shared" si="97"/>
        <v>202319</v>
      </c>
      <c r="B5630" s="5" t="str">
        <f>"23085043407"</f>
        <v>23085043407</v>
      </c>
      <c r="C5630" s="6">
        <v>99</v>
      </c>
      <c r="D5630" s="6">
        <v>107.5</v>
      </c>
      <c r="E5630" s="6">
        <v>206.5</v>
      </c>
      <c r="F5630" s="11"/>
    </row>
    <row r="5631" spans="1:6">
      <c r="A5631" s="5" t="str">
        <f t="shared" si="97"/>
        <v>202319</v>
      </c>
      <c r="B5631" s="5" t="str">
        <f>"23085044004"</f>
        <v>23085044004</v>
      </c>
      <c r="C5631" s="6">
        <v>87</v>
      </c>
      <c r="D5631" s="6">
        <v>119.5</v>
      </c>
      <c r="E5631" s="6">
        <v>206.5</v>
      </c>
      <c r="F5631" s="11"/>
    </row>
    <row r="5632" spans="1:6">
      <c r="A5632" s="5" t="str">
        <f t="shared" si="97"/>
        <v>202319</v>
      </c>
      <c r="B5632" s="5" t="str">
        <f>"23085043907"</f>
        <v>23085043907</v>
      </c>
      <c r="C5632" s="6">
        <v>100.5</v>
      </c>
      <c r="D5632" s="6">
        <v>106</v>
      </c>
      <c r="E5632" s="6">
        <v>206.5</v>
      </c>
      <c r="F5632" s="11"/>
    </row>
    <row r="5633" spans="1:6">
      <c r="A5633" s="5" t="str">
        <f t="shared" si="97"/>
        <v>202319</v>
      </c>
      <c r="B5633" s="5" t="str">
        <f>"23085043927"</f>
        <v>23085043927</v>
      </c>
      <c r="C5633" s="6">
        <v>99</v>
      </c>
      <c r="D5633" s="6">
        <v>107.5</v>
      </c>
      <c r="E5633" s="6">
        <v>206.5</v>
      </c>
      <c r="F5633" s="11"/>
    </row>
    <row r="5634" spans="1:6">
      <c r="A5634" s="5" t="str">
        <f t="shared" si="97"/>
        <v>202319</v>
      </c>
      <c r="B5634" s="5" t="str">
        <f>"23085050328"</f>
        <v>23085050328</v>
      </c>
      <c r="C5634" s="6">
        <v>84</v>
      </c>
      <c r="D5634" s="6">
        <v>122.5</v>
      </c>
      <c r="E5634" s="6">
        <v>206.5</v>
      </c>
      <c r="F5634" s="11"/>
    </row>
    <row r="5635" spans="1:6">
      <c r="A5635" s="5" t="str">
        <f t="shared" si="97"/>
        <v>202319</v>
      </c>
      <c r="B5635" s="5" t="str">
        <f>"23085050125"</f>
        <v>23085050125</v>
      </c>
      <c r="C5635" s="6">
        <v>87</v>
      </c>
      <c r="D5635" s="6">
        <v>119.5</v>
      </c>
      <c r="E5635" s="6">
        <v>206.5</v>
      </c>
      <c r="F5635" s="11"/>
    </row>
    <row r="5636" spans="1:6">
      <c r="A5636" s="5" t="str">
        <f t="shared" si="97"/>
        <v>202319</v>
      </c>
      <c r="B5636" s="5" t="str">
        <f>"23085044502"</f>
        <v>23085044502</v>
      </c>
      <c r="C5636" s="6">
        <v>94.5</v>
      </c>
      <c r="D5636" s="6">
        <v>112</v>
      </c>
      <c r="E5636" s="6">
        <v>206.5</v>
      </c>
      <c r="F5636" s="11"/>
    </row>
    <row r="5637" spans="1:6">
      <c r="A5637" s="5" t="str">
        <f t="shared" si="97"/>
        <v>202319</v>
      </c>
      <c r="B5637" s="5" t="str">
        <f>"23085043502"</f>
        <v>23085043502</v>
      </c>
      <c r="C5637" s="6">
        <v>100.5</v>
      </c>
      <c r="D5637" s="6">
        <v>105.5</v>
      </c>
      <c r="E5637" s="6">
        <v>206</v>
      </c>
      <c r="F5637" s="11"/>
    </row>
    <row r="5638" spans="1:6">
      <c r="A5638" s="5" t="str">
        <f t="shared" si="97"/>
        <v>202319</v>
      </c>
      <c r="B5638" s="5" t="str">
        <f>"23085043311"</f>
        <v>23085043311</v>
      </c>
      <c r="C5638" s="6">
        <v>94.5</v>
      </c>
      <c r="D5638" s="6">
        <v>111</v>
      </c>
      <c r="E5638" s="6">
        <v>205.5</v>
      </c>
      <c r="F5638" s="11"/>
    </row>
    <row r="5639" spans="1:6">
      <c r="A5639" s="5" t="str">
        <f t="shared" si="97"/>
        <v>202319</v>
      </c>
      <c r="B5639" s="5" t="str">
        <f>"23085050127"</f>
        <v>23085050127</v>
      </c>
      <c r="C5639" s="6">
        <v>97.5</v>
      </c>
      <c r="D5639" s="6">
        <v>108</v>
      </c>
      <c r="E5639" s="6">
        <v>205.5</v>
      </c>
      <c r="F5639" s="11"/>
    </row>
    <row r="5640" spans="1:6">
      <c r="A5640" s="5" t="str">
        <f t="shared" ref="A5640:A5703" si="98">"202319"</f>
        <v>202319</v>
      </c>
      <c r="B5640" s="5" t="str">
        <f>"23085043727"</f>
        <v>23085043727</v>
      </c>
      <c r="C5640" s="6">
        <v>96</v>
      </c>
      <c r="D5640" s="6">
        <v>109.5</v>
      </c>
      <c r="E5640" s="6">
        <v>205.5</v>
      </c>
      <c r="F5640" s="11"/>
    </row>
    <row r="5641" spans="1:6">
      <c r="A5641" s="5" t="str">
        <f t="shared" si="98"/>
        <v>202319</v>
      </c>
      <c r="B5641" s="5" t="str">
        <f>"23085044423"</f>
        <v>23085044423</v>
      </c>
      <c r="C5641" s="6">
        <v>85.5</v>
      </c>
      <c r="D5641" s="6">
        <v>119.5</v>
      </c>
      <c r="E5641" s="6">
        <v>205</v>
      </c>
      <c r="F5641" s="11"/>
    </row>
    <row r="5642" spans="1:6">
      <c r="A5642" s="5" t="str">
        <f t="shared" si="98"/>
        <v>202319</v>
      </c>
      <c r="B5642" s="5" t="str">
        <f>"23085045023"</f>
        <v>23085045023</v>
      </c>
      <c r="C5642" s="6">
        <v>96</v>
      </c>
      <c r="D5642" s="6">
        <v>109</v>
      </c>
      <c r="E5642" s="6">
        <v>205</v>
      </c>
      <c r="F5642" s="11"/>
    </row>
    <row r="5643" spans="1:6">
      <c r="A5643" s="5" t="str">
        <f t="shared" si="98"/>
        <v>202319</v>
      </c>
      <c r="B5643" s="5" t="str">
        <f>"23085050111"</f>
        <v>23085050111</v>
      </c>
      <c r="C5643" s="6">
        <v>97.5</v>
      </c>
      <c r="D5643" s="6">
        <v>107.5</v>
      </c>
      <c r="E5643" s="6">
        <v>205</v>
      </c>
      <c r="F5643" s="11"/>
    </row>
    <row r="5644" spans="1:6">
      <c r="A5644" s="5" t="str">
        <f t="shared" si="98"/>
        <v>202319</v>
      </c>
      <c r="B5644" s="5" t="str">
        <f>"23085043809"</f>
        <v>23085043809</v>
      </c>
      <c r="C5644" s="6">
        <v>94.5</v>
      </c>
      <c r="D5644" s="6">
        <v>110.5</v>
      </c>
      <c r="E5644" s="6">
        <v>205</v>
      </c>
      <c r="F5644" s="11"/>
    </row>
    <row r="5645" spans="1:6">
      <c r="A5645" s="5" t="str">
        <f t="shared" si="98"/>
        <v>202319</v>
      </c>
      <c r="B5645" s="5" t="str">
        <f>"23085044825"</f>
        <v>23085044825</v>
      </c>
      <c r="C5645" s="6">
        <v>99</v>
      </c>
      <c r="D5645" s="6">
        <v>106</v>
      </c>
      <c r="E5645" s="6">
        <v>205</v>
      </c>
      <c r="F5645" s="11"/>
    </row>
    <row r="5646" spans="1:6">
      <c r="A5646" s="5" t="str">
        <f t="shared" si="98"/>
        <v>202319</v>
      </c>
      <c r="B5646" s="5" t="str">
        <f>"23085044410"</f>
        <v>23085044410</v>
      </c>
      <c r="C5646" s="6">
        <v>85.5</v>
      </c>
      <c r="D5646" s="6">
        <v>119.5</v>
      </c>
      <c r="E5646" s="6">
        <v>205</v>
      </c>
      <c r="F5646" s="11"/>
    </row>
    <row r="5647" spans="1:6">
      <c r="A5647" s="5" t="str">
        <f t="shared" si="98"/>
        <v>202319</v>
      </c>
      <c r="B5647" s="5" t="str">
        <f>"23085043715"</f>
        <v>23085043715</v>
      </c>
      <c r="C5647" s="6">
        <v>96</v>
      </c>
      <c r="D5647" s="6">
        <v>109</v>
      </c>
      <c r="E5647" s="6">
        <v>205</v>
      </c>
      <c r="F5647" s="11"/>
    </row>
    <row r="5648" spans="1:6">
      <c r="A5648" s="5" t="str">
        <f t="shared" si="98"/>
        <v>202319</v>
      </c>
      <c r="B5648" s="5" t="str">
        <f>"23085043528"</f>
        <v>23085043528</v>
      </c>
      <c r="C5648" s="6">
        <v>97.5</v>
      </c>
      <c r="D5648" s="6">
        <v>107.5</v>
      </c>
      <c r="E5648" s="6">
        <v>205</v>
      </c>
      <c r="F5648" s="11"/>
    </row>
    <row r="5649" spans="1:6">
      <c r="A5649" s="5" t="str">
        <f t="shared" si="98"/>
        <v>202319</v>
      </c>
      <c r="B5649" s="5" t="str">
        <f>"23085044726"</f>
        <v>23085044726</v>
      </c>
      <c r="C5649" s="6">
        <v>94.5</v>
      </c>
      <c r="D5649" s="6">
        <v>110</v>
      </c>
      <c r="E5649" s="6">
        <v>204.5</v>
      </c>
      <c r="F5649" s="11"/>
    </row>
    <row r="5650" spans="1:6">
      <c r="A5650" s="5" t="str">
        <f t="shared" si="98"/>
        <v>202319</v>
      </c>
      <c r="B5650" s="5" t="str">
        <f>"23085044815"</f>
        <v>23085044815</v>
      </c>
      <c r="C5650" s="6">
        <v>102</v>
      </c>
      <c r="D5650" s="6">
        <v>102.5</v>
      </c>
      <c r="E5650" s="6">
        <v>204.5</v>
      </c>
      <c r="F5650" s="11"/>
    </row>
    <row r="5651" spans="1:6">
      <c r="A5651" s="5" t="str">
        <f t="shared" si="98"/>
        <v>202319</v>
      </c>
      <c r="B5651" s="5" t="str">
        <f>"23085044605"</f>
        <v>23085044605</v>
      </c>
      <c r="C5651" s="6">
        <v>93</v>
      </c>
      <c r="D5651" s="6">
        <v>111.5</v>
      </c>
      <c r="E5651" s="6">
        <v>204.5</v>
      </c>
      <c r="F5651" s="11"/>
    </row>
    <row r="5652" spans="1:6">
      <c r="A5652" s="5" t="str">
        <f t="shared" si="98"/>
        <v>202319</v>
      </c>
      <c r="B5652" s="5" t="str">
        <f>"23085044224"</f>
        <v>23085044224</v>
      </c>
      <c r="C5652" s="6">
        <v>87</v>
      </c>
      <c r="D5652" s="6">
        <v>117.5</v>
      </c>
      <c r="E5652" s="6">
        <v>204.5</v>
      </c>
      <c r="F5652" s="11"/>
    </row>
    <row r="5653" spans="1:6">
      <c r="A5653" s="5" t="str">
        <f t="shared" si="98"/>
        <v>202319</v>
      </c>
      <c r="B5653" s="5" t="str">
        <f>"23085043919"</f>
        <v>23085043919</v>
      </c>
      <c r="C5653" s="6">
        <v>102</v>
      </c>
      <c r="D5653" s="6">
        <v>102.5</v>
      </c>
      <c r="E5653" s="6">
        <v>204.5</v>
      </c>
      <c r="F5653" s="11"/>
    </row>
    <row r="5654" spans="1:6">
      <c r="A5654" s="5" t="str">
        <f t="shared" si="98"/>
        <v>202319</v>
      </c>
      <c r="B5654" s="5" t="str">
        <f>"23085044002"</f>
        <v>23085044002</v>
      </c>
      <c r="C5654" s="6">
        <v>88.5</v>
      </c>
      <c r="D5654" s="6">
        <v>116</v>
      </c>
      <c r="E5654" s="6">
        <v>204.5</v>
      </c>
      <c r="F5654" s="11"/>
    </row>
    <row r="5655" spans="1:6">
      <c r="A5655" s="5" t="str">
        <f t="shared" si="98"/>
        <v>202319</v>
      </c>
      <c r="B5655" s="5" t="str">
        <f>"23085044110"</f>
        <v>23085044110</v>
      </c>
      <c r="C5655" s="6">
        <v>91.5</v>
      </c>
      <c r="D5655" s="6">
        <v>113</v>
      </c>
      <c r="E5655" s="6">
        <v>204.5</v>
      </c>
      <c r="F5655" s="11"/>
    </row>
    <row r="5656" spans="1:6">
      <c r="A5656" s="5" t="str">
        <f t="shared" si="98"/>
        <v>202319</v>
      </c>
      <c r="B5656" s="5" t="str">
        <f>"23085043510"</f>
        <v>23085043510</v>
      </c>
      <c r="C5656" s="6">
        <v>93</v>
      </c>
      <c r="D5656" s="6">
        <v>111.5</v>
      </c>
      <c r="E5656" s="6">
        <v>204.5</v>
      </c>
      <c r="F5656" s="11"/>
    </row>
    <row r="5657" spans="1:6">
      <c r="A5657" s="5" t="str">
        <f t="shared" si="98"/>
        <v>202319</v>
      </c>
      <c r="B5657" s="5" t="str">
        <f>"23085043610"</f>
        <v>23085043610</v>
      </c>
      <c r="C5657" s="6">
        <v>87</v>
      </c>
      <c r="D5657" s="6">
        <v>117.5</v>
      </c>
      <c r="E5657" s="6">
        <v>204.5</v>
      </c>
      <c r="F5657" s="11"/>
    </row>
    <row r="5658" spans="1:6">
      <c r="A5658" s="5" t="str">
        <f t="shared" si="98"/>
        <v>202319</v>
      </c>
      <c r="B5658" s="5" t="str">
        <f>"23085044125"</f>
        <v>23085044125</v>
      </c>
      <c r="C5658" s="6">
        <v>90</v>
      </c>
      <c r="D5658" s="6">
        <v>114.5</v>
      </c>
      <c r="E5658" s="6">
        <v>204.5</v>
      </c>
      <c r="F5658" s="11"/>
    </row>
    <row r="5659" spans="1:6">
      <c r="A5659" s="5" t="str">
        <f t="shared" si="98"/>
        <v>202319</v>
      </c>
      <c r="B5659" s="5" t="str">
        <f>"23085044222"</f>
        <v>23085044222</v>
      </c>
      <c r="C5659" s="6">
        <v>90</v>
      </c>
      <c r="D5659" s="6">
        <v>114.5</v>
      </c>
      <c r="E5659" s="6">
        <v>204.5</v>
      </c>
      <c r="F5659" s="11"/>
    </row>
    <row r="5660" spans="1:6">
      <c r="A5660" s="5" t="str">
        <f t="shared" si="98"/>
        <v>202319</v>
      </c>
      <c r="B5660" s="5" t="str">
        <f>"23085044405"</f>
        <v>23085044405</v>
      </c>
      <c r="C5660" s="6">
        <v>94.5</v>
      </c>
      <c r="D5660" s="6">
        <v>109.5</v>
      </c>
      <c r="E5660" s="6">
        <v>204</v>
      </c>
      <c r="F5660" s="11"/>
    </row>
    <row r="5661" spans="1:6">
      <c r="A5661" s="5" t="str">
        <f t="shared" si="98"/>
        <v>202319</v>
      </c>
      <c r="B5661" s="5" t="str">
        <f>"23085043304"</f>
        <v>23085043304</v>
      </c>
      <c r="C5661" s="6">
        <v>93</v>
      </c>
      <c r="D5661" s="6">
        <v>111</v>
      </c>
      <c r="E5661" s="6">
        <v>204</v>
      </c>
      <c r="F5661" s="11"/>
    </row>
    <row r="5662" spans="1:6">
      <c r="A5662" s="5" t="str">
        <f t="shared" si="98"/>
        <v>202319</v>
      </c>
      <c r="B5662" s="5" t="str">
        <f>"23085043422"</f>
        <v>23085043422</v>
      </c>
      <c r="C5662" s="6">
        <v>91.5</v>
      </c>
      <c r="D5662" s="6">
        <v>112.5</v>
      </c>
      <c r="E5662" s="6">
        <v>204</v>
      </c>
      <c r="F5662" s="11"/>
    </row>
    <row r="5663" spans="1:6">
      <c r="A5663" s="5" t="str">
        <f t="shared" si="98"/>
        <v>202319</v>
      </c>
      <c r="B5663" s="5" t="str">
        <f>"23085050129"</f>
        <v>23085050129</v>
      </c>
      <c r="C5663" s="6">
        <v>85.5</v>
      </c>
      <c r="D5663" s="6">
        <v>118.5</v>
      </c>
      <c r="E5663" s="6">
        <v>204</v>
      </c>
      <c r="F5663" s="11"/>
    </row>
    <row r="5664" spans="1:6">
      <c r="A5664" s="5" t="str">
        <f t="shared" si="98"/>
        <v>202319</v>
      </c>
      <c r="B5664" s="5" t="str">
        <f>"23085044415"</f>
        <v>23085044415</v>
      </c>
      <c r="C5664" s="6">
        <v>81</v>
      </c>
      <c r="D5664" s="6">
        <v>122.5</v>
      </c>
      <c r="E5664" s="6">
        <v>203.5</v>
      </c>
      <c r="F5664" s="11"/>
    </row>
    <row r="5665" spans="1:6">
      <c r="A5665" s="5" t="str">
        <f t="shared" si="98"/>
        <v>202319</v>
      </c>
      <c r="B5665" s="5" t="str">
        <f>"23085043214"</f>
        <v>23085043214</v>
      </c>
      <c r="C5665" s="6">
        <v>93</v>
      </c>
      <c r="D5665" s="6">
        <v>110.5</v>
      </c>
      <c r="E5665" s="6">
        <v>203.5</v>
      </c>
      <c r="F5665" s="11"/>
    </row>
    <row r="5666" spans="1:6">
      <c r="A5666" s="5" t="str">
        <f t="shared" si="98"/>
        <v>202319</v>
      </c>
      <c r="B5666" s="5" t="str">
        <f>"23085043424"</f>
        <v>23085043424</v>
      </c>
      <c r="C5666" s="6">
        <v>88.5</v>
      </c>
      <c r="D5666" s="6">
        <v>115</v>
      </c>
      <c r="E5666" s="6">
        <v>203.5</v>
      </c>
      <c r="F5666" s="11"/>
    </row>
    <row r="5667" spans="1:6">
      <c r="A5667" s="5" t="str">
        <f t="shared" si="98"/>
        <v>202319</v>
      </c>
      <c r="B5667" s="5" t="str">
        <f>"23085043306"</f>
        <v>23085043306</v>
      </c>
      <c r="C5667" s="6">
        <v>100.5</v>
      </c>
      <c r="D5667" s="6">
        <v>102.5</v>
      </c>
      <c r="E5667" s="6">
        <v>203</v>
      </c>
      <c r="F5667" s="11"/>
    </row>
    <row r="5668" spans="1:6">
      <c r="A5668" s="5" t="str">
        <f t="shared" si="98"/>
        <v>202319</v>
      </c>
      <c r="B5668" s="5" t="str">
        <f>"23085043707"</f>
        <v>23085043707</v>
      </c>
      <c r="C5668" s="6">
        <v>100.5</v>
      </c>
      <c r="D5668" s="6">
        <v>102.5</v>
      </c>
      <c r="E5668" s="6">
        <v>203</v>
      </c>
      <c r="F5668" s="11"/>
    </row>
    <row r="5669" spans="1:6">
      <c r="A5669" s="5" t="str">
        <f t="shared" si="98"/>
        <v>202319</v>
      </c>
      <c r="B5669" s="5" t="str">
        <f>"23085044205"</f>
        <v>23085044205</v>
      </c>
      <c r="C5669" s="6">
        <v>100.5</v>
      </c>
      <c r="D5669" s="6">
        <v>102.5</v>
      </c>
      <c r="E5669" s="6">
        <v>203</v>
      </c>
      <c r="F5669" s="11"/>
    </row>
    <row r="5670" spans="1:6">
      <c r="A5670" s="5" t="str">
        <f t="shared" si="98"/>
        <v>202319</v>
      </c>
      <c r="B5670" s="5" t="str">
        <f>"23085044722"</f>
        <v>23085044722</v>
      </c>
      <c r="C5670" s="6">
        <v>91.5</v>
      </c>
      <c r="D5670" s="6">
        <v>111.5</v>
      </c>
      <c r="E5670" s="6">
        <v>203</v>
      </c>
      <c r="F5670" s="11"/>
    </row>
    <row r="5671" spans="1:6">
      <c r="A5671" s="5" t="str">
        <f t="shared" si="98"/>
        <v>202319</v>
      </c>
      <c r="B5671" s="5" t="str">
        <f>"23085044613"</f>
        <v>23085044613</v>
      </c>
      <c r="C5671" s="6">
        <v>88.5</v>
      </c>
      <c r="D5671" s="6">
        <v>114.5</v>
      </c>
      <c r="E5671" s="6">
        <v>203</v>
      </c>
      <c r="F5671" s="11"/>
    </row>
    <row r="5672" spans="1:6">
      <c r="A5672" s="5" t="str">
        <f t="shared" si="98"/>
        <v>202319</v>
      </c>
      <c r="B5672" s="5" t="str">
        <f>"23085045015"</f>
        <v>23085045015</v>
      </c>
      <c r="C5672" s="6">
        <v>87</v>
      </c>
      <c r="D5672" s="6">
        <v>116</v>
      </c>
      <c r="E5672" s="6">
        <v>203</v>
      </c>
      <c r="F5672" s="11"/>
    </row>
    <row r="5673" spans="1:6">
      <c r="A5673" s="5" t="str">
        <f t="shared" si="98"/>
        <v>202319</v>
      </c>
      <c r="B5673" s="5" t="str">
        <f>"23085043326"</f>
        <v>23085043326</v>
      </c>
      <c r="C5673" s="6">
        <v>102</v>
      </c>
      <c r="D5673" s="6">
        <v>101</v>
      </c>
      <c r="E5673" s="6">
        <v>203</v>
      </c>
      <c r="F5673" s="11"/>
    </row>
    <row r="5674" spans="1:6">
      <c r="A5674" s="5" t="str">
        <f t="shared" si="98"/>
        <v>202319</v>
      </c>
      <c r="B5674" s="5" t="str">
        <f>"23085043806"</f>
        <v>23085043806</v>
      </c>
      <c r="C5674" s="6">
        <v>85.5</v>
      </c>
      <c r="D5674" s="6">
        <v>117.5</v>
      </c>
      <c r="E5674" s="6">
        <v>203</v>
      </c>
      <c r="F5674" s="11"/>
    </row>
    <row r="5675" spans="1:6">
      <c r="A5675" s="5" t="str">
        <f t="shared" si="98"/>
        <v>202319</v>
      </c>
      <c r="B5675" s="5" t="str">
        <f>"23085044711"</f>
        <v>23085044711</v>
      </c>
      <c r="C5675" s="6">
        <v>88.5</v>
      </c>
      <c r="D5675" s="6">
        <v>114</v>
      </c>
      <c r="E5675" s="6">
        <v>202.5</v>
      </c>
      <c r="F5675" s="11"/>
    </row>
    <row r="5676" spans="1:6">
      <c r="A5676" s="5" t="str">
        <f t="shared" si="98"/>
        <v>202319</v>
      </c>
      <c r="B5676" s="5" t="str">
        <f>"23085044611"</f>
        <v>23085044611</v>
      </c>
      <c r="C5676" s="6">
        <v>90</v>
      </c>
      <c r="D5676" s="6">
        <v>112.5</v>
      </c>
      <c r="E5676" s="6">
        <v>202.5</v>
      </c>
      <c r="F5676" s="11"/>
    </row>
    <row r="5677" spans="1:6">
      <c r="A5677" s="5" t="str">
        <f t="shared" si="98"/>
        <v>202319</v>
      </c>
      <c r="B5677" s="5" t="str">
        <f>"23085050212"</f>
        <v>23085050212</v>
      </c>
      <c r="C5677" s="6">
        <v>90</v>
      </c>
      <c r="D5677" s="6">
        <v>112.5</v>
      </c>
      <c r="E5677" s="6">
        <v>202.5</v>
      </c>
      <c r="F5677" s="11"/>
    </row>
    <row r="5678" spans="1:6">
      <c r="A5678" s="5" t="str">
        <f t="shared" si="98"/>
        <v>202319</v>
      </c>
      <c r="B5678" s="5" t="str">
        <f>"23085043918"</f>
        <v>23085043918</v>
      </c>
      <c r="C5678" s="6">
        <v>93</v>
      </c>
      <c r="D5678" s="6">
        <v>109.5</v>
      </c>
      <c r="E5678" s="6">
        <v>202.5</v>
      </c>
      <c r="F5678" s="11"/>
    </row>
    <row r="5679" spans="1:6">
      <c r="A5679" s="5" t="str">
        <f t="shared" si="98"/>
        <v>202319</v>
      </c>
      <c r="B5679" s="5" t="str">
        <f>"23085043521"</f>
        <v>23085043521</v>
      </c>
      <c r="C5679" s="6">
        <v>81</v>
      </c>
      <c r="D5679" s="6">
        <v>121.5</v>
      </c>
      <c r="E5679" s="6">
        <v>202.5</v>
      </c>
      <c r="F5679" s="11"/>
    </row>
    <row r="5680" spans="1:6">
      <c r="A5680" s="5" t="str">
        <f t="shared" si="98"/>
        <v>202319</v>
      </c>
      <c r="B5680" s="5" t="str">
        <f>"23085044220"</f>
        <v>23085044220</v>
      </c>
      <c r="C5680" s="6">
        <v>91.5</v>
      </c>
      <c r="D5680" s="6">
        <v>111</v>
      </c>
      <c r="E5680" s="6">
        <v>202.5</v>
      </c>
      <c r="F5680" s="11"/>
    </row>
    <row r="5681" spans="1:6">
      <c r="A5681" s="5" t="str">
        <f t="shared" si="98"/>
        <v>202319</v>
      </c>
      <c r="B5681" s="5" t="str">
        <f>"23085050213"</f>
        <v>23085050213</v>
      </c>
      <c r="C5681" s="6">
        <v>91.5</v>
      </c>
      <c r="D5681" s="6">
        <v>111</v>
      </c>
      <c r="E5681" s="6">
        <v>202.5</v>
      </c>
      <c r="F5681" s="11"/>
    </row>
    <row r="5682" spans="1:6">
      <c r="A5682" s="5" t="str">
        <f t="shared" si="98"/>
        <v>202319</v>
      </c>
      <c r="B5682" s="5" t="str">
        <f>"23085045029"</f>
        <v>23085045029</v>
      </c>
      <c r="C5682" s="6">
        <v>105</v>
      </c>
      <c r="D5682" s="6">
        <v>97.5</v>
      </c>
      <c r="E5682" s="6">
        <v>202.5</v>
      </c>
      <c r="F5682" s="11"/>
    </row>
    <row r="5683" spans="1:6">
      <c r="A5683" s="5" t="str">
        <f t="shared" si="98"/>
        <v>202319</v>
      </c>
      <c r="B5683" s="5" t="str">
        <f>"23085050227"</f>
        <v>23085050227</v>
      </c>
      <c r="C5683" s="6">
        <v>93</v>
      </c>
      <c r="D5683" s="6">
        <v>109</v>
      </c>
      <c r="E5683" s="6">
        <v>202</v>
      </c>
      <c r="F5683" s="11"/>
    </row>
    <row r="5684" spans="1:6">
      <c r="A5684" s="5" t="str">
        <f t="shared" si="98"/>
        <v>202319</v>
      </c>
      <c r="B5684" s="5" t="str">
        <f>"23085043329"</f>
        <v>23085043329</v>
      </c>
      <c r="C5684" s="6">
        <v>94.5</v>
      </c>
      <c r="D5684" s="6">
        <v>107.5</v>
      </c>
      <c r="E5684" s="6">
        <v>202</v>
      </c>
      <c r="F5684" s="11"/>
    </row>
    <row r="5685" spans="1:6">
      <c r="A5685" s="5" t="str">
        <f t="shared" si="98"/>
        <v>202319</v>
      </c>
      <c r="B5685" s="5" t="str">
        <f>"23085044225"</f>
        <v>23085044225</v>
      </c>
      <c r="C5685" s="6">
        <v>88.5</v>
      </c>
      <c r="D5685" s="6">
        <v>113.5</v>
      </c>
      <c r="E5685" s="6">
        <v>202</v>
      </c>
      <c r="F5685" s="11"/>
    </row>
    <row r="5686" spans="1:6">
      <c r="A5686" s="5" t="str">
        <f t="shared" si="98"/>
        <v>202319</v>
      </c>
      <c r="B5686" s="5" t="str">
        <f>"23085043529"</f>
        <v>23085043529</v>
      </c>
      <c r="C5686" s="6">
        <v>87</v>
      </c>
      <c r="D5686" s="6">
        <v>115</v>
      </c>
      <c r="E5686" s="6">
        <v>202</v>
      </c>
      <c r="F5686" s="11"/>
    </row>
    <row r="5687" spans="1:6">
      <c r="A5687" s="5" t="str">
        <f t="shared" si="98"/>
        <v>202319</v>
      </c>
      <c r="B5687" s="5" t="str">
        <f>"23085043617"</f>
        <v>23085043617</v>
      </c>
      <c r="C5687" s="6">
        <v>82.5</v>
      </c>
      <c r="D5687" s="6">
        <v>119.5</v>
      </c>
      <c r="E5687" s="6">
        <v>202</v>
      </c>
      <c r="F5687" s="11"/>
    </row>
    <row r="5688" spans="1:6">
      <c r="A5688" s="5" t="str">
        <f t="shared" si="98"/>
        <v>202319</v>
      </c>
      <c r="B5688" s="5" t="str">
        <f>"23085043912"</f>
        <v>23085043912</v>
      </c>
      <c r="C5688" s="6">
        <v>93</v>
      </c>
      <c r="D5688" s="6">
        <v>109</v>
      </c>
      <c r="E5688" s="6">
        <v>202</v>
      </c>
      <c r="F5688" s="11"/>
    </row>
    <row r="5689" spans="1:6">
      <c r="A5689" s="5" t="str">
        <f t="shared" si="98"/>
        <v>202319</v>
      </c>
      <c r="B5689" s="5" t="str">
        <f>"23085050413"</f>
        <v>23085050413</v>
      </c>
      <c r="C5689" s="6">
        <v>85.5</v>
      </c>
      <c r="D5689" s="6">
        <v>116.5</v>
      </c>
      <c r="E5689" s="6">
        <v>202</v>
      </c>
      <c r="F5689" s="11"/>
    </row>
    <row r="5690" spans="1:6">
      <c r="A5690" s="5" t="str">
        <f t="shared" si="98"/>
        <v>202319</v>
      </c>
      <c r="B5690" s="5" t="str">
        <f>"23085044908"</f>
        <v>23085044908</v>
      </c>
      <c r="C5690" s="6">
        <v>90</v>
      </c>
      <c r="D5690" s="6">
        <v>111.5</v>
      </c>
      <c r="E5690" s="6">
        <v>201.5</v>
      </c>
      <c r="F5690" s="11"/>
    </row>
    <row r="5691" spans="1:6">
      <c r="A5691" s="5" t="str">
        <f t="shared" si="98"/>
        <v>202319</v>
      </c>
      <c r="B5691" s="5" t="str">
        <f>"23085044717"</f>
        <v>23085044717</v>
      </c>
      <c r="C5691" s="6">
        <v>91.5</v>
      </c>
      <c r="D5691" s="6">
        <v>110</v>
      </c>
      <c r="E5691" s="6">
        <v>201.5</v>
      </c>
      <c r="F5691" s="11"/>
    </row>
    <row r="5692" spans="1:6">
      <c r="A5692" s="5" t="str">
        <f t="shared" si="98"/>
        <v>202319</v>
      </c>
      <c r="B5692" s="5" t="str">
        <f>"23085050121"</f>
        <v>23085050121</v>
      </c>
      <c r="C5692" s="6">
        <v>91.5</v>
      </c>
      <c r="D5692" s="6">
        <v>110</v>
      </c>
      <c r="E5692" s="6">
        <v>201.5</v>
      </c>
      <c r="F5692" s="11"/>
    </row>
    <row r="5693" spans="1:6">
      <c r="A5693" s="5" t="str">
        <f t="shared" si="98"/>
        <v>202319</v>
      </c>
      <c r="B5693" s="5" t="str">
        <f>"23085043303"</f>
        <v>23085043303</v>
      </c>
      <c r="C5693" s="6">
        <v>87</v>
      </c>
      <c r="D5693" s="6">
        <v>114.5</v>
      </c>
      <c r="E5693" s="6">
        <v>201.5</v>
      </c>
      <c r="F5693" s="11"/>
    </row>
    <row r="5694" spans="1:6">
      <c r="A5694" s="5" t="str">
        <f t="shared" si="98"/>
        <v>202319</v>
      </c>
      <c r="B5694" s="5" t="str">
        <f>"23085045030"</f>
        <v>23085045030</v>
      </c>
      <c r="C5694" s="6">
        <v>82.5</v>
      </c>
      <c r="D5694" s="6">
        <v>119</v>
      </c>
      <c r="E5694" s="6">
        <v>201.5</v>
      </c>
      <c r="F5694" s="11"/>
    </row>
    <row r="5695" spans="1:6">
      <c r="A5695" s="5" t="str">
        <f t="shared" si="98"/>
        <v>202319</v>
      </c>
      <c r="B5695" s="5" t="str">
        <f>"23085050301"</f>
        <v>23085050301</v>
      </c>
      <c r="C5695" s="6">
        <v>90</v>
      </c>
      <c r="D5695" s="6">
        <v>111.5</v>
      </c>
      <c r="E5695" s="6">
        <v>201.5</v>
      </c>
      <c r="F5695" s="11"/>
    </row>
    <row r="5696" spans="1:6">
      <c r="A5696" s="5" t="str">
        <f t="shared" si="98"/>
        <v>202319</v>
      </c>
      <c r="B5696" s="5" t="str">
        <f>"23085043920"</f>
        <v>23085043920</v>
      </c>
      <c r="C5696" s="6">
        <v>84</v>
      </c>
      <c r="D5696" s="6">
        <v>117.5</v>
      </c>
      <c r="E5696" s="6">
        <v>201.5</v>
      </c>
      <c r="F5696" s="11"/>
    </row>
    <row r="5697" spans="1:6">
      <c r="A5697" s="5" t="str">
        <f t="shared" si="98"/>
        <v>202319</v>
      </c>
      <c r="B5697" s="5" t="str">
        <f>"23085044005"</f>
        <v>23085044005</v>
      </c>
      <c r="C5697" s="6">
        <v>91.5</v>
      </c>
      <c r="D5697" s="6">
        <v>110</v>
      </c>
      <c r="E5697" s="6">
        <v>201.5</v>
      </c>
      <c r="F5697" s="11"/>
    </row>
    <row r="5698" spans="1:6">
      <c r="A5698" s="5" t="str">
        <f t="shared" si="98"/>
        <v>202319</v>
      </c>
      <c r="B5698" s="5" t="str">
        <f>"23085043514"</f>
        <v>23085043514</v>
      </c>
      <c r="C5698" s="6">
        <v>90</v>
      </c>
      <c r="D5698" s="6">
        <v>111</v>
      </c>
      <c r="E5698" s="6">
        <v>201</v>
      </c>
      <c r="F5698" s="11"/>
    </row>
    <row r="5699" spans="1:6">
      <c r="A5699" s="5" t="str">
        <f t="shared" si="98"/>
        <v>202319</v>
      </c>
      <c r="B5699" s="5" t="str">
        <f>"23085043703"</f>
        <v>23085043703</v>
      </c>
      <c r="C5699" s="6">
        <v>93</v>
      </c>
      <c r="D5699" s="6">
        <v>108</v>
      </c>
      <c r="E5699" s="6">
        <v>201</v>
      </c>
      <c r="F5699" s="11"/>
    </row>
    <row r="5700" spans="1:6">
      <c r="A5700" s="5" t="str">
        <f t="shared" si="98"/>
        <v>202319</v>
      </c>
      <c r="B5700" s="5" t="str">
        <f>"23085044215"</f>
        <v>23085044215</v>
      </c>
      <c r="C5700" s="6">
        <v>94.5</v>
      </c>
      <c r="D5700" s="6">
        <v>106.5</v>
      </c>
      <c r="E5700" s="6">
        <v>201</v>
      </c>
      <c r="F5700" s="11"/>
    </row>
    <row r="5701" spans="1:6">
      <c r="A5701" s="5" t="str">
        <f t="shared" si="98"/>
        <v>202319</v>
      </c>
      <c r="B5701" s="5" t="str">
        <f>"23085043417"</f>
        <v>23085043417</v>
      </c>
      <c r="C5701" s="6">
        <v>85.5</v>
      </c>
      <c r="D5701" s="6">
        <v>115</v>
      </c>
      <c r="E5701" s="6">
        <v>200.5</v>
      </c>
      <c r="F5701" s="11"/>
    </row>
    <row r="5702" spans="1:6">
      <c r="A5702" s="5" t="str">
        <f t="shared" si="98"/>
        <v>202319</v>
      </c>
      <c r="B5702" s="5" t="str">
        <f>"23085044914"</f>
        <v>23085044914</v>
      </c>
      <c r="C5702" s="6">
        <v>88.5</v>
      </c>
      <c r="D5702" s="6">
        <v>112</v>
      </c>
      <c r="E5702" s="6">
        <v>200.5</v>
      </c>
      <c r="F5702" s="11"/>
    </row>
    <row r="5703" spans="1:6">
      <c r="A5703" s="5" t="str">
        <f t="shared" si="98"/>
        <v>202319</v>
      </c>
      <c r="B5703" s="5" t="str">
        <f>"23085045010"</f>
        <v>23085045010</v>
      </c>
      <c r="C5703" s="6">
        <v>84</v>
      </c>
      <c r="D5703" s="6">
        <v>116.5</v>
      </c>
      <c r="E5703" s="6">
        <v>200.5</v>
      </c>
      <c r="F5703" s="11"/>
    </row>
    <row r="5704" spans="1:6">
      <c r="A5704" s="5" t="str">
        <f t="shared" ref="A5704:A5767" si="99">"202319"</f>
        <v>202319</v>
      </c>
      <c r="B5704" s="5" t="str">
        <f>"23085043307"</f>
        <v>23085043307</v>
      </c>
      <c r="C5704" s="6">
        <v>81</v>
      </c>
      <c r="D5704" s="6">
        <v>119.5</v>
      </c>
      <c r="E5704" s="6">
        <v>200.5</v>
      </c>
      <c r="F5704" s="11"/>
    </row>
    <row r="5705" spans="1:6">
      <c r="A5705" s="5" t="str">
        <f t="shared" si="99"/>
        <v>202319</v>
      </c>
      <c r="B5705" s="5" t="str">
        <f>"23085043512"</f>
        <v>23085043512</v>
      </c>
      <c r="C5705" s="6">
        <v>85.5</v>
      </c>
      <c r="D5705" s="6">
        <v>114.5</v>
      </c>
      <c r="E5705" s="6">
        <v>200</v>
      </c>
      <c r="F5705" s="11"/>
    </row>
    <row r="5706" spans="1:6">
      <c r="A5706" s="5" t="str">
        <f t="shared" si="99"/>
        <v>202319</v>
      </c>
      <c r="B5706" s="5" t="str">
        <f>"23085043426"</f>
        <v>23085043426</v>
      </c>
      <c r="C5706" s="6">
        <v>93</v>
      </c>
      <c r="D5706" s="6">
        <v>107</v>
      </c>
      <c r="E5706" s="6">
        <v>200</v>
      </c>
      <c r="F5706" s="11"/>
    </row>
    <row r="5707" spans="1:6">
      <c r="A5707" s="5" t="str">
        <f t="shared" si="99"/>
        <v>202319</v>
      </c>
      <c r="B5707" s="5" t="str">
        <f>"23085044112"</f>
        <v>23085044112</v>
      </c>
      <c r="C5707" s="6">
        <v>100.5</v>
      </c>
      <c r="D5707" s="6">
        <v>99.5</v>
      </c>
      <c r="E5707" s="6">
        <v>200</v>
      </c>
      <c r="F5707" s="11"/>
    </row>
    <row r="5708" spans="1:6">
      <c r="A5708" s="5" t="str">
        <f t="shared" si="99"/>
        <v>202319</v>
      </c>
      <c r="B5708" s="5" t="str">
        <f>"23085050116"</f>
        <v>23085050116</v>
      </c>
      <c r="C5708" s="6">
        <v>87</v>
      </c>
      <c r="D5708" s="6">
        <v>113</v>
      </c>
      <c r="E5708" s="6">
        <v>200</v>
      </c>
      <c r="F5708" s="11"/>
    </row>
    <row r="5709" spans="1:6">
      <c r="A5709" s="5" t="str">
        <f t="shared" si="99"/>
        <v>202319</v>
      </c>
      <c r="B5709" s="5" t="str">
        <f>"23085043404"</f>
        <v>23085043404</v>
      </c>
      <c r="C5709" s="6">
        <v>94.5</v>
      </c>
      <c r="D5709" s="6">
        <v>105.5</v>
      </c>
      <c r="E5709" s="6">
        <v>200</v>
      </c>
      <c r="F5709" s="11"/>
    </row>
    <row r="5710" spans="1:6">
      <c r="A5710" s="5" t="str">
        <f t="shared" si="99"/>
        <v>202319</v>
      </c>
      <c r="B5710" s="5" t="str">
        <f>"23085050214"</f>
        <v>23085050214</v>
      </c>
      <c r="C5710" s="6">
        <v>87</v>
      </c>
      <c r="D5710" s="6">
        <v>113</v>
      </c>
      <c r="E5710" s="6">
        <v>200</v>
      </c>
      <c r="F5710" s="11"/>
    </row>
    <row r="5711" spans="1:6">
      <c r="A5711" s="5" t="str">
        <f t="shared" si="99"/>
        <v>202319</v>
      </c>
      <c r="B5711" s="5" t="str">
        <f>"23085050201"</f>
        <v>23085050201</v>
      </c>
      <c r="C5711" s="6">
        <v>87</v>
      </c>
      <c r="D5711" s="6">
        <v>112.5</v>
      </c>
      <c r="E5711" s="6">
        <v>199.5</v>
      </c>
      <c r="F5711" s="11"/>
    </row>
    <row r="5712" spans="1:6">
      <c r="A5712" s="5" t="str">
        <f t="shared" si="99"/>
        <v>202319</v>
      </c>
      <c r="B5712" s="5" t="str">
        <f>"23085044927"</f>
        <v>23085044927</v>
      </c>
      <c r="C5712" s="6">
        <v>79.5</v>
      </c>
      <c r="D5712" s="6">
        <v>120</v>
      </c>
      <c r="E5712" s="6">
        <v>199.5</v>
      </c>
      <c r="F5712" s="11"/>
    </row>
    <row r="5713" spans="1:6">
      <c r="A5713" s="5" t="str">
        <f t="shared" si="99"/>
        <v>202319</v>
      </c>
      <c r="B5713" s="5" t="str">
        <f>"23085044811"</f>
        <v>23085044811</v>
      </c>
      <c r="C5713" s="6">
        <v>85.5</v>
      </c>
      <c r="D5713" s="6">
        <v>114</v>
      </c>
      <c r="E5713" s="6">
        <v>199.5</v>
      </c>
      <c r="F5713" s="11"/>
    </row>
    <row r="5714" spans="1:6">
      <c r="A5714" s="5" t="str">
        <f t="shared" si="99"/>
        <v>202319</v>
      </c>
      <c r="B5714" s="5" t="str">
        <f>"23085043720"</f>
        <v>23085043720</v>
      </c>
      <c r="C5714" s="6">
        <v>85.5</v>
      </c>
      <c r="D5714" s="6">
        <v>114</v>
      </c>
      <c r="E5714" s="6">
        <v>199.5</v>
      </c>
      <c r="F5714" s="11"/>
    </row>
    <row r="5715" spans="1:6">
      <c r="A5715" s="5" t="str">
        <f t="shared" si="99"/>
        <v>202319</v>
      </c>
      <c r="B5715" s="5" t="str">
        <f>"23085044707"</f>
        <v>23085044707</v>
      </c>
      <c r="C5715" s="6">
        <v>88.5</v>
      </c>
      <c r="D5715" s="6">
        <v>111</v>
      </c>
      <c r="E5715" s="6">
        <v>199.5</v>
      </c>
      <c r="F5715" s="11"/>
    </row>
    <row r="5716" spans="1:6">
      <c r="A5716" s="5" t="str">
        <f t="shared" si="99"/>
        <v>202319</v>
      </c>
      <c r="B5716" s="5" t="str">
        <f>"23085050407"</f>
        <v>23085050407</v>
      </c>
      <c r="C5716" s="6">
        <v>87</v>
      </c>
      <c r="D5716" s="6">
        <v>112.5</v>
      </c>
      <c r="E5716" s="6">
        <v>199.5</v>
      </c>
      <c r="F5716" s="11"/>
    </row>
    <row r="5717" spans="1:6">
      <c r="A5717" s="5" t="str">
        <f t="shared" si="99"/>
        <v>202319</v>
      </c>
      <c r="B5717" s="5" t="str">
        <f>"23085043511"</f>
        <v>23085043511</v>
      </c>
      <c r="C5717" s="6">
        <v>87</v>
      </c>
      <c r="D5717" s="6">
        <v>112</v>
      </c>
      <c r="E5717" s="6">
        <v>199</v>
      </c>
      <c r="F5717" s="11"/>
    </row>
    <row r="5718" spans="1:6">
      <c r="A5718" s="5" t="str">
        <f t="shared" si="99"/>
        <v>202319</v>
      </c>
      <c r="B5718" s="5" t="str">
        <f>"23085045026"</f>
        <v>23085045026</v>
      </c>
      <c r="C5718" s="6">
        <v>79.5</v>
      </c>
      <c r="D5718" s="6">
        <v>119.5</v>
      </c>
      <c r="E5718" s="6">
        <v>199</v>
      </c>
      <c r="F5718" s="11"/>
    </row>
    <row r="5719" spans="1:6">
      <c r="A5719" s="5" t="str">
        <f t="shared" si="99"/>
        <v>202319</v>
      </c>
      <c r="B5719" s="5" t="str">
        <f>"23085043914"</f>
        <v>23085043914</v>
      </c>
      <c r="C5719" s="6">
        <v>87</v>
      </c>
      <c r="D5719" s="6">
        <v>112</v>
      </c>
      <c r="E5719" s="6">
        <v>199</v>
      </c>
      <c r="F5719" s="11"/>
    </row>
    <row r="5720" spans="1:6">
      <c r="A5720" s="5" t="str">
        <f t="shared" si="99"/>
        <v>202319</v>
      </c>
      <c r="B5720" s="5" t="str">
        <f>"23085043815"</f>
        <v>23085043815</v>
      </c>
      <c r="C5720" s="6">
        <v>94.5</v>
      </c>
      <c r="D5720" s="6">
        <v>104.5</v>
      </c>
      <c r="E5720" s="6">
        <v>199</v>
      </c>
      <c r="F5720" s="11"/>
    </row>
    <row r="5721" spans="1:6">
      <c r="A5721" s="5" t="str">
        <f t="shared" si="99"/>
        <v>202319</v>
      </c>
      <c r="B5721" s="5" t="str">
        <f>"23085043829"</f>
        <v>23085043829</v>
      </c>
      <c r="C5721" s="6">
        <v>90</v>
      </c>
      <c r="D5721" s="6">
        <v>109</v>
      </c>
      <c r="E5721" s="6">
        <v>199</v>
      </c>
      <c r="F5721" s="11"/>
    </row>
    <row r="5722" spans="1:6">
      <c r="A5722" s="5" t="str">
        <f t="shared" si="99"/>
        <v>202319</v>
      </c>
      <c r="B5722" s="5" t="str">
        <f>"23085044127"</f>
        <v>23085044127</v>
      </c>
      <c r="C5722" s="6">
        <v>97.5</v>
      </c>
      <c r="D5722" s="6">
        <v>101.5</v>
      </c>
      <c r="E5722" s="6">
        <v>199</v>
      </c>
      <c r="F5722" s="11"/>
    </row>
    <row r="5723" spans="1:6">
      <c r="A5723" s="5" t="str">
        <f t="shared" si="99"/>
        <v>202319</v>
      </c>
      <c r="B5723" s="5" t="str">
        <f>"23085043921"</f>
        <v>23085043921</v>
      </c>
      <c r="C5723" s="6">
        <v>81</v>
      </c>
      <c r="D5723" s="6">
        <v>117.5</v>
      </c>
      <c r="E5723" s="6">
        <v>198.5</v>
      </c>
      <c r="F5723" s="11"/>
    </row>
    <row r="5724" spans="1:6">
      <c r="A5724" s="5" t="str">
        <f t="shared" si="99"/>
        <v>202319</v>
      </c>
      <c r="B5724" s="5" t="str">
        <f>"23085044723"</f>
        <v>23085044723</v>
      </c>
      <c r="C5724" s="6">
        <v>85.5</v>
      </c>
      <c r="D5724" s="6">
        <v>113</v>
      </c>
      <c r="E5724" s="6">
        <v>198.5</v>
      </c>
      <c r="F5724" s="11"/>
    </row>
    <row r="5725" spans="1:6">
      <c r="A5725" s="5" t="str">
        <f t="shared" si="99"/>
        <v>202319</v>
      </c>
      <c r="B5725" s="5" t="str">
        <f>"23085043925"</f>
        <v>23085043925</v>
      </c>
      <c r="C5725" s="6">
        <v>96</v>
      </c>
      <c r="D5725" s="6">
        <v>102.5</v>
      </c>
      <c r="E5725" s="6">
        <v>198.5</v>
      </c>
      <c r="F5725" s="11"/>
    </row>
    <row r="5726" spans="1:6">
      <c r="A5726" s="5" t="str">
        <f t="shared" si="99"/>
        <v>202319</v>
      </c>
      <c r="B5726" s="5" t="str">
        <f>"23085044523"</f>
        <v>23085044523</v>
      </c>
      <c r="C5726" s="6">
        <v>82.5</v>
      </c>
      <c r="D5726" s="6">
        <v>116</v>
      </c>
      <c r="E5726" s="6">
        <v>198.5</v>
      </c>
      <c r="F5726" s="11"/>
    </row>
    <row r="5727" spans="1:6">
      <c r="A5727" s="5" t="str">
        <f t="shared" si="99"/>
        <v>202319</v>
      </c>
      <c r="B5727" s="5" t="str">
        <f>"23085045001"</f>
        <v>23085045001</v>
      </c>
      <c r="C5727" s="6">
        <v>85.5</v>
      </c>
      <c r="D5727" s="6">
        <v>112.5</v>
      </c>
      <c r="E5727" s="6">
        <v>198</v>
      </c>
      <c r="F5727" s="11"/>
    </row>
    <row r="5728" spans="1:6">
      <c r="A5728" s="5" t="str">
        <f t="shared" si="99"/>
        <v>202319</v>
      </c>
      <c r="B5728" s="5" t="str">
        <f>"23085044118"</f>
        <v>23085044118</v>
      </c>
      <c r="C5728" s="6">
        <v>84</v>
      </c>
      <c r="D5728" s="6">
        <v>114</v>
      </c>
      <c r="E5728" s="6">
        <v>198</v>
      </c>
      <c r="F5728" s="11"/>
    </row>
    <row r="5729" spans="1:6">
      <c r="A5729" s="5" t="str">
        <f t="shared" si="99"/>
        <v>202319</v>
      </c>
      <c r="B5729" s="5" t="str">
        <f>"23085044421"</f>
        <v>23085044421</v>
      </c>
      <c r="C5729" s="6">
        <v>91.5</v>
      </c>
      <c r="D5729" s="6">
        <v>106.5</v>
      </c>
      <c r="E5729" s="6">
        <v>198</v>
      </c>
      <c r="F5729" s="11"/>
    </row>
    <row r="5730" spans="1:6">
      <c r="A5730" s="5" t="str">
        <f t="shared" si="99"/>
        <v>202319</v>
      </c>
      <c r="B5730" s="5" t="str">
        <f>"23085043310"</f>
        <v>23085043310</v>
      </c>
      <c r="C5730" s="6">
        <v>85.5</v>
      </c>
      <c r="D5730" s="6">
        <v>112</v>
      </c>
      <c r="E5730" s="6">
        <v>197.5</v>
      </c>
      <c r="F5730" s="11"/>
    </row>
    <row r="5731" spans="1:6">
      <c r="A5731" s="5" t="str">
        <f t="shared" si="99"/>
        <v>202319</v>
      </c>
      <c r="B5731" s="5" t="str">
        <f>"23085043523"</f>
        <v>23085043523</v>
      </c>
      <c r="C5731" s="6">
        <v>90</v>
      </c>
      <c r="D5731" s="6">
        <v>107.5</v>
      </c>
      <c r="E5731" s="6">
        <v>197.5</v>
      </c>
      <c r="F5731" s="11"/>
    </row>
    <row r="5732" spans="1:6">
      <c r="A5732" s="5" t="str">
        <f t="shared" si="99"/>
        <v>202319</v>
      </c>
      <c r="B5732" s="5" t="str">
        <f>"23085044311"</f>
        <v>23085044311</v>
      </c>
      <c r="C5732" s="6">
        <v>81</v>
      </c>
      <c r="D5732" s="6">
        <v>116.5</v>
      </c>
      <c r="E5732" s="6">
        <v>197.5</v>
      </c>
      <c r="F5732" s="11"/>
    </row>
    <row r="5733" spans="1:6">
      <c r="A5733" s="5" t="str">
        <f t="shared" si="99"/>
        <v>202319</v>
      </c>
      <c r="B5733" s="5" t="str">
        <f>"23085043822"</f>
        <v>23085043822</v>
      </c>
      <c r="C5733" s="6">
        <v>93</v>
      </c>
      <c r="D5733" s="6">
        <v>104.5</v>
      </c>
      <c r="E5733" s="6">
        <v>197.5</v>
      </c>
      <c r="F5733" s="11"/>
    </row>
    <row r="5734" spans="1:6">
      <c r="A5734" s="5" t="str">
        <f t="shared" si="99"/>
        <v>202319</v>
      </c>
      <c r="B5734" s="5" t="str">
        <f>"23085043503"</f>
        <v>23085043503</v>
      </c>
      <c r="C5734" s="6">
        <v>84</v>
      </c>
      <c r="D5734" s="6">
        <v>113.5</v>
      </c>
      <c r="E5734" s="6">
        <v>197.5</v>
      </c>
      <c r="F5734" s="11"/>
    </row>
    <row r="5735" spans="1:6">
      <c r="A5735" s="5" t="str">
        <f t="shared" si="99"/>
        <v>202319</v>
      </c>
      <c r="B5735" s="5" t="str">
        <f>"23085044720"</f>
        <v>23085044720</v>
      </c>
      <c r="C5735" s="6">
        <v>90</v>
      </c>
      <c r="D5735" s="6">
        <v>107.5</v>
      </c>
      <c r="E5735" s="6">
        <v>197.5</v>
      </c>
      <c r="F5735" s="11"/>
    </row>
    <row r="5736" spans="1:6">
      <c r="A5736" s="5" t="str">
        <f t="shared" si="99"/>
        <v>202319</v>
      </c>
      <c r="B5736" s="5" t="str">
        <f>"23085050203"</f>
        <v>23085050203</v>
      </c>
      <c r="C5736" s="6">
        <v>84</v>
      </c>
      <c r="D5736" s="6">
        <v>113.5</v>
      </c>
      <c r="E5736" s="6">
        <v>197.5</v>
      </c>
      <c r="F5736" s="11"/>
    </row>
    <row r="5737" spans="1:6">
      <c r="A5737" s="5" t="str">
        <f t="shared" si="99"/>
        <v>202319</v>
      </c>
      <c r="B5737" s="5" t="str">
        <f>"23085050215"</f>
        <v>23085050215</v>
      </c>
      <c r="C5737" s="6">
        <v>84</v>
      </c>
      <c r="D5737" s="6">
        <v>113.5</v>
      </c>
      <c r="E5737" s="6">
        <v>197.5</v>
      </c>
      <c r="F5737" s="11"/>
    </row>
    <row r="5738" spans="1:6">
      <c r="A5738" s="5" t="str">
        <f t="shared" si="99"/>
        <v>202319</v>
      </c>
      <c r="B5738" s="5" t="str">
        <f>"23085043814"</f>
        <v>23085043814</v>
      </c>
      <c r="C5738" s="6">
        <v>78</v>
      </c>
      <c r="D5738" s="6">
        <v>119.5</v>
      </c>
      <c r="E5738" s="6">
        <v>197.5</v>
      </c>
      <c r="F5738" s="11"/>
    </row>
    <row r="5739" spans="1:6">
      <c r="A5739" s="5" t="str">
        <f t="shared" si="99"/>
        <v>202319</v>
      </c>
      <c r="B5739" s="5" t="str">
        <f>"23085044108"</f>
        <v>23085044108</v>
      </c>
      <c r="C5739" s="6">
        <v>85.5</v>
      </c>
      <c r="D5739" s="6">
        <v>112</v>
      </c>
      <c r="E5739" s="6">
        <v>197.5</v>
      </c>
      <c r="F5739" s="11"/>
    </row>
    <row r="5740" spans="1:6">
      <c r="A5740" s="5" t="str">
        <f t="shared" si="99"/>
        <v>202319</v>
      </c>
      <c r="B5740" s="5" t="str">
        <f>"23085043507"</f>
        <v>23085043507</v>
      </c>
      <c r="C5740" s="6">
        <v>84</v>
      </c>
      <c r="D5740" s="6">
        <v>113</v>
      </c>
      <c r="E5740" s="6">
        <v>197</v>
      </c>
      <c r="F5740" s="11"/>
    </row>
    <row r="5741" spans="1:6">
      <c r="A5741" s="5" t="str">
        <f t="shared" si="99"/>
        <v>202319</v>
      </c>
      <c r="B5741" s="5" t="str">
        <f>"23085050317"</f>
        <v>23085050317</v>
      </c>
      <c r="C5741" s="6">
        <v>81</v>
      </c>
      <c r="D5741" s="6">
        <v>116</v>
      </c>
      <c r="E5741" s="6">
        <v>197</v>
      </c>
      <c r="F5741" s="11"/>
    </row>
    <row r="5742" spans="1:6">
      <c r="A5742" s="5" t="str">
        <f t="shared" si="99"/>
        <v>202319</v>
      </c>
      <c r="B5742" s="5" t="str">
        <f>"23085045016"</f>
        <v>23085045016</v>
      </c>
      <c r="C5742" s="6">
        <v>90</v>
      </c>
      <c r="D5742" s="6">
        <v>107</v>
      </c>
      <c r="E5742" s="6">
        <v>197</v>
      </c>
      <c r="F5742" s="11"/>
    </row>
    <row r="5743" spans="1:6">
      <c r="A5743" s="5" t="str">
        <f t="shared" si="99"/>
        <v>202319</v>
      </c>
      <c r="B5743" s="5" t="str">
        <f>"23085043411"</f>
        <v>23085043411</v>
      </c>
      <c r="C5743" s="6">
        <v>87</v>
      </c>
      <c r="D5743" s="6">
        <v>110</v>
      </c>
      <c r="E5743" s="6">
        <v>197</v>
      </c>
      <c r="F5743" s="11"/>
    </row>
    <row r="5744" spans="1:6">
      <c r="A5744" s="5" t="str">
        <f t="shared" si="99"/>
        <v>202319</v>
      </c>
      <c r="B5744" s="5" t="str">
        <f>"23085050311"</f>
        <v>23085050311</v>
      </c>
      <c r="C5744" s="6">
        <v>81</v>
      </c>
      <c r="D5744" s="6">
        <v>116</v>
      </c>
      <c r="E5744" s="6">
        <v>197</v>
      </c>
      <c r="F5744" s="11"/>
    </row>
    <row r="5745" spans="1:6">
      <c r="A5745" s="5" t="str">
        <f t="shared" si="99"/>
        <v>202319</v>
      </c>
      <c r="B5745" s="5" t="str">
        <f>"23085044901"</f>
        <v>23085044901</v>
      </c>
      <c r="C5745" s="6">
        <v>96</v>
      </c>
      <c r="D5745" s="6">
        <v>101</v>
      </c>
      <c r="E5745" s="6">
        <v>197</v>
      </c>
      <c r="F5745" s="11"/>
    </row>
    <row r="5746" spans="1:6">
      <c r="A5746" s="5" t="str">
        <f t="shared" si="99"/>
        <v>202319</v>
      </c>
      <c r="B5746" s="5" t="str">
        <f>"23085044317"</f>
        <v>23085044317</v>
      </c>
      <c r="C5746" s="6">
        <v>81</v>
      </c>
      <c r="D5746" s="6">
        <v>116</v>
      </c>
      <c r="E5746" s="6">
        <v>197</v>
      </c>
      <c r="F5746" s="11"/>
    </row>
    <row r="5747" spans="1:6">
      <c r="A5747" s="5" t="str">
        <f t="shared" si="99"/>
        <v>202319</v>
      </c>
      <c r="B5747" s="5" t="str">
        <f>"23085045022"</f>
        <v>23085045022</v>
      </c>
      <c r="C5747" s="6">
        <v>81</v>
      </c>
      <c r="D5747" s="6">
        <v>115.5</v>
      </c>
      <c r="E5747" s="6">
        <v>196.5</v>
      </c>
      <c r="F5747" s="11"/>
    </row>
    <row r="5748" spans="1:6">
      <c r="A5748" s="5" t="str">
        <f t="shared" si="99"/>
        <v>202319</v>
      </c>
      <c r="B5748" s="5" t="str">
        <f>"23085050319"</f>
        <v>23085050319</v>
      </c>
      <c r="C5748" s="6">
        <v>87</v>
      </c>
      <c r="D5748" s="6">
        <v>109.5</v>
      </c>
      <c r="E5748" s="6">
        <v>196.5</v>
      </c>
      <c r="F5748" s="11"/>
    </row>
    <row r="5749" spans="1:6">
      <c r="A5749" s="5" t="str">
        <f t="shared" si="99"/>
        <v>202319</v>
      </c>
      <c r="B5749" s="5" t="str">
        <f>"23085043626"</f>
        <v>23085043626</v>
      </c>
      <c r="C5749" s="6">
        <v>91.5</v>
      </c>
      <c r="D5749" s="6">
        <v>104.5</v>
      </c>
      <c r="E5749" s="6">
        <v>196</v>
      </c>
      <c r="F5749" s="11"/>
    </row>
    <row r="5750" spans="1:6">
      <c r="A5750" s="5" t="str">
        <f t="shared" si="99"/>
        <v>202319</v>
      </c>
      <c r="B5750" s="5" t="str">
        <f>"23085044304"</f>
        <v>23085044304</v>
      </c>
      <c r="C5750" s="6">
        <v>90</v>
      </c>
      <c r="D5750" s="6">
        <v>106</v>
      </c>
      <c r="E5750" s="6">
        <v>196</v>
      </c>
      <c r="F5750" s="11"/>
    </row>
    <row r="5751" spans="1:6">
      <c r="A5751" s="5" t="str">
        <f t="shared" si="99"/>
        <v>202319</v>
      </c>
      <c r="B5751" s="5" t="str">
        <f>"23085043327"</f>
        <v>23085043327</v>
      </c>
      <c r="C5751" s="6">
        <v>88.5</v>
      </c>
      <c r="D5751" s="6">
        <v>107.5</v>
      </c>
      <c r="E5751" s="6">
        <v>196</v>
      </c>
      <c r="F5751" s="11"/>
    </row>
    <row r="5752" spans="1:6">
      <c r="A5752" s="5" t="str">
        <f t="shared" si="99"/>
        <v>202319</v>
      </c>
      <c r="B5752" s="5" t="str">
        <f>"23085043525"</f>
        <v>23085043525</v>
      </c>
      <c r="C5752" s="6">
        <v>84</v>
      </c>
      <c r="D5752" s="6">
        <v>112</v>
      </c>
      <c r="E5752" s="6">
        <v>196</v>
      </c>
      <c r="F5752" s="11"/>
    </row>
    <row r="5753" spans="1:6">
      <c r="A5753" s="5" t="str">
        <f t="shared" si="99"/>
        <v>202319</v>
      </c>
      <c r="B5753" s="5" t="str">
        <f>"23085045003"</f>
        <v>23085045003</v>
      </c>
      <c r="C5753" s="6">
        <v>81</v>
      </c>
      <c r="D5753" s="6">
        <v>115</v>
      </c>
      <c r="E5753" s="6">
        <v>196</v>
      </c>
      <c r="F5753" s="11"/>
    </row>
    <row r="5754" spans="1:6">
      <c r="A5754" s="5" t="str">
        <f t="shared" si="99"/>
        <v>202319</v>
      </c>
      <c r="B5754" s="5" t="str">
        <f>"23085044306"</f>
        <v>23085044306</v>
      </c>
      <c r="C5754" s="6">
        <v>81</v>
      </c>
      <c r="D5754" s="6">
        <v>114.5</v>
      </c>
      <c r="E5754" s="6">
        <v>195.5</v>
      </c>
      <c r="F5754" s="11"/>
    </row>
    <row r="5755" spans="1:6">
      <c r="A5755" s="5" t="str">
        <f t="shared" si="99"/>
        <v>202319</v>
      </c>
      <c r="B5755" s="5" t="str">
        <f>"23085044203"</f>
        <v>23085044203</v>
      </c>
      <c r="C5755" s="6">
        <v>82.5</v>
      </c>
      <c r="D5755" s="6">
        <v>113</v>
      </c>
      <c r="E5755" s="6">
        <v>195.5</v>
      </c>
      <c r="F5755" s="11"/>
    </row>
    <row r="5756" spans="1:6">
      <c r="A5756" s="5" t="str">
        <f t="shared" si="99"/>
        <v>202319</v>
      </c>
      <c r="B5756" s="5" t="str">
        <f>"23085043704"</f>
        <v>23085043704</v>
      </c>
      <c r="C5756" s="6">
        <v>81</v>
      </c>
      <c r="D5756" s="6">
        <v>114</v>
      </c>
      <c r="E5756" s="6">
        <v>195</v>
      </c>
      <c r="F5756" s="11"/>
    </row>
    <row r="5757" spans="1:6">
      <c r="A5757" s="5" t="str">
        <f t="shared" si="99"/>
        <v>202319</v>
      </c>
      <c r="B5757" s="5" t="str">
        <f>"23085044903"</f>
        <v>23085044903</v>
      </c>
      <c r="C5757" s="6">
        <v>87</v>
      </c>
      <c r="D5757" s="6">
        <v>108</v>
      </c>
      <c r="E5757" s="6">
        <v>195</v>
      </c>
      <c r="F5757" s="11"/>
    </row>
    <row r="5758" spans="1:6">
      <c r="A5758" s="5" t="str">
        <f t="shared" si="99"/>
        <v>202319</v>
      </c>
      <c r="B5758" s="5" t="str">
        <f>"23085044528"</f>
        <v>23085044528</v>
      </c>
      <c r="C5758" s="6">
        <v>87</v>
      </c>
      <c r="D5758" s="6">
        <v>108</v>
      </c>
      <c r="E5758" s="6">
        <v>195</v>
      </c>
      <c r="F5758" s="11"/>
    </row>
    <row r="5759" spans="1:6">
      <c r="A5759" s="5" t="str">
        <f t="shared" si="99"/>
        <v>202319</v>
      </c>
      <c r="B5759" s="5" t="str">
        <f>"23085043416"</f>
        <v>23085043416</v>
      </c>
      <c r="C5759" s="6">
        <v>90</v>
      </c>
      <c r="D5759" s="6">
        <v>105</v>
      </c>
      <c r="E5759" s="6">
        <v>195</v>
      </c>
      <c r="F5759" s="11"/>
    </row>
    <row r="5760" spans="1:6">
      <c r="A5760" s="5" t="str">
        <f t="shared" si="99"/>
        <v>202319</v>
      </c>
      <c r="B5760" s="5" t="str">
        <f>"23085043803"</f>
        <v>23085043803</v>
      </c>
      <c r="C5760" s="6">
        <v>84</v>
      </c>
      <c r="D5760" s="6">
        <v>110.5</v>
      </c>
      <c r="E5760" s="6">
        <v>194.5</v>
      </c>
      <c r="F5760" s="11"/>
    </row>
    <row r="5761" spans="1:6">
      <c r="A5761" s="5" t="str">
        <f t="shared" si="99"/>
        <v>202319</v>
      </c>
      <c r="B5761" s="5" t="str">
        <f>"23085044213"</f>
        <v>23085044213</v>
      </c>
      <c r="C5761" s="6">
        <v>84</v>
      </c>
      <c r="D5761" s="6">
        <v>110.5</v>
      </c>
      <c r="E5761" s="6">
        <v>194.5</v>
      </c>
      <c r="F5761" s="11"/>
    </row>
    <row r="5762" spans="1:6">
      <c r="A5762" s="5" t="str">
        <f t="shared" si="99"/>
        <v>202319</v>
      </c>
      <c r="B5762" s="5" t="str">
        <f>"23085044416"</f>
        <v>23085044416</v>
      </c>
      <c r="C5762" s="6">
        <v>82.5</v>
      </c>
      <c r="D5762" s="6">
        <v>112</v>
      </c>
      <c r="E5762" s="6">
        <v>194.5</v>
      </c>
      <c r="F5762" s="11"/>
    </row>
    <row r="5763" spans="1:6">
      <c r="A5763" s="5" t="str">
        <f t="shared" si="99"/>
        <v>202319</v>
      </c>
      <c r="B5763" s="5" t="str">
        <f>"23085043519"</f>
        <v>23085043519</v>
      </c>
      <c r="C5763" s="6">
        <v>90</v>
      </c>
      <c r="D5763" s="6">
        <v>104</v>
      </c>
      <c r="E5763" s="6">
        <v>194</v>
      </c>
      <c r="F5763" s="11"/>
    </row>
    <row r="5764" spans="1:6">
      <c r="A5764" s="5" t="str">
        <f t="shared" si="99"/>
        <v>202319</v>
      </c>
      <c r="B5764" s="5" t="str">
        <f>"23085043624"</f>
        <v>23085043624</v>
      </c>
      <c r="C5764" s="6">
        <v>76.5</v>
      </c>
      <c r="D5764" s="6">
        <v>117.5</v>
      </c>
      <c r="E5764" s="6">
        <v>194</v>
      </c>
      <c r="F5764" s="11"/>
    </row>
    <row r="5765" spans="1:6">
      <c r="A5765" s="5" t="str">
        <f t="shared" si="99"/>
        <v>202319</v>
      </c>
      <c r="B5765" s="5" t="str">
        <f>"23085044328"</f>
        <v>23085044328</v>
      </c>
      <c r="C5765" s="6">
        <v>76.5</v>
      </c>
      <c r="D5765" s="6">
        <v>117.5</v>
      </c>
      <c r="E5765" s="6">
        <v>194</v>
      </c>
      <c r="F5765" s="11"/>
    </row>
    <row r="5766" spans="1:6">
      <c r="A5766" s="5" t="str">
        <f t="shared" si="99"/>
        <v>202319</v>
      </c>
      <c r="B5766" s="5" t="str">
        <f>"23085044026"</f>
        <v>23085044026</v>
      </c>
      <c r="C5766" s="6">
        <v>82.5</v>
      </c>
      <c r="D5766" s="6">
        <v>111.5</v>
      </c>
      <c r="E5766" s="6">
        <v>194</v>
      </c>
      <c r="F5766" s="11"/>
    </row>
    <row r="5767" spans="1:6">
      <c r="A5767" s="5" t="str">
        <f t="shared" si="99"/>
        <v>202319</v>
      </c>
      <c r="B5767" s="5" t="str">
        <f>"23085044106"</f>
        <v>23085044106</v>
      </c>
      <c r="C5767" s="6">
        <v>81</v>
      </c>
      <c r="D5767" s="6">
        <v>112.5</v>
      </c>
      <c r="E5767" s="6">
        <v>193.5</v>
      </c>
      <c r="F5767" s="11"/>
    </row>
    <row r="5768" spans="1:6">
      <c r="A5768" s="5" t="str">
        <f t="shared" ref="A5768:A5831" si="100">"202319"</f>
        <v>202319</v>
      </c>
      <c r="B5768" s="5" t="str">
        <f>"23085045025"</f>
        <v>23085045025</v>
      </c>
      <c r="C5768" s="6">
        <v>81</v>
      </c>
      <c r="D5768" s="6">
        <v>112.5</v>
      </c>
      <c r="E5768" s="6">
        <v>193.5</v>
      </c>
      <c r="F5768" s="11"/>
    </row>
    <row r="5769" spans="1:6">
      <c r="A5769" s="5" t="str">
        <f t="shared" si="100"/>
        <v>202319</v>
      </c>
      <c r="B5769" s="5" t="str">
        <f>"23085045005"</f>
        <v>23085045005</v>
      </c>
      <c r="C5769" s="6">
        <v>79.5</v>
      </c>
      <c r="D5769" s="6">
        <v>113.5</v>
      </c>
      <c r="E5769" s="6">
        <v>193</v>
      </c>
      <c r="F5769" s="11"/>
    </row>
    <row r="5770" spans="1:6">
      <c r="A5770" s="5" t="str">
        <f t="shared" si="100"/>
        <v>202319</v>
      </c>
      <c r="B5770" s="5" t="str">
        <f>"23085043622"</f>
        <v>23085043622</v>
      </c>
      <c r="C5770" s="6">
        <v>85.5</v>
      </c>
      <c r="D5770" s="6">
        <v>107.5</v>
      </c>
      <c r="E5770" s="6">
        <v>193</v>
      </c>
      <c r="F5770" s="11"/>
    </row>
    <row r="5771" spans="1:6">
      <c r="A5771" s="5" t="str">
        <f t="shared" si="100"/>
        <v>202319</v>
      </c>
      <c r="B5771" s="5" t="str">
        <f>"23085043319"</f>
        <v>23085043319</v>
      </c>
      <c r="C5771" s="6">
        <v>84</v>
      </c>
      <c r="D5771" s="6">
        <v>108.5</v>
      </c>
      <c r="E5771" s="6">
        <v>192.5</v>
      </c>
      <c r="F5771" s="11"/>
    </row>
    <row r="5772" spans="1:6">
      <c r="A5772" s="5" t="str">
        <f t="shared" si="100"/>
        <v>202319</v>
      </c>
      <c r="B5772" s="5" t="str">
        <f>"23085043419"</f>
        <v>23085043419</v>
      </c>
      <c r="C5772" s="6">
        <v>81</v>
      </c>
      <c r="D5772" s="6">
        <v>111.5</v>
      </c>
      <c r="E5772" s="6">
        <v>192.5</v>
      </c>
      <c r="F5772" s="11"/>
    </row>
    <row r="5773" spans="1:6">
      <c r="A5773" s="5" t="str">
        <f t="shared" si="100"/>
        <v>202319</v>
      </c>
      <c r="B5773" s="5" t="str">
        <f>"23085043216"</f>
        <v>23085043216</v>
      </c>
      <c r="C5773" s="6">
        <v>85.5</v>
      </c>
      <c r="D5773" s="6">
        <v>107</v>
      </c>
      <c r="E5773" s="6">
        <v>192.5</v>
      </c>
      <c r="F5773" s="11"/>
    </row>
    <row r="5774" spans="1:6">
      <c r="A5774" s="5" t="str">
        <f t="shared" si="100"/>
        <v>202319</v>
      </c>
      <c r="B5774" s="5" t="str">
        <f>"23085044821"</f>
        <v>23085044821</v>
      </c>
      <c r="C5774" s="6">
        <v>79.5</v>
      </c>
      <c r="D5774" s="6">
        <v>113</v>
      </c>
      <c r="E5774" s="6">
        <v>192.5</v>
      </c>
      <c r="F5774" s="11"/>
    </row>
    <row r="5775" spans="1:6">
      <c r="A5775" s="5" t="str">
        <f t="shared" si="100"/>
        <v>202319</v>
      </c>
      <c r="B5775" s="5" t="str">
        <f>"23085043820"</f>
        <v>23085043820</v>
      </c>
      <c r="C5775" s="6">
        <v>82.5</v>
      </c>
      <c r="D5775" s="6">
        <v>110</v>
      </c>
      <c r="E5775" s="6">
        <v>192.5</v>
      </c>
      <c r="F5775" s="11"/>
    </row>
    <row r="5776" spans="1:6">
      <c r="A5776" s="5" t="str">
        <f t="shared" si="100"/>
        <v>202319</v>
      </c>
      <c r="B5776" s="5" t="str">
        <f>"23085044209"</f>
        <v>23085044209</v>
      </c>
      <c r="C5776" s="6">
        <v>93</v>
      </c>
      <c r="D5776" s="6">
        <v>99</v>
      </c>
      <c r="E5776" s="6">
        <v>192</v>
      </c>
      <c r="F5776" s="11"/>
    </row>
    <row r="5777" spans="1:6">
      <c r="A5777" s="5" t="str">
        <f t="shared" si="100"/>
        <v>202319</v>
      </c>
      <c r="B5777" s="5" t="str">
        <f>"23085043420"</f>
        <v>23085043420</v>
      </c>
      <c r="C5777" s="6">
        <v>81</v>
      </c>
      <c r="D5777" s="6">
        <v>111</v>
      </c>
      <c r="E5777" s="6">
        <v>192</v>
      </c>
      <c r="F5777" s="11"/>
    </row>
    <row r="5778" spans="1:6">
      <c r="A5778" s="5" t="str">
        <f t="shared" si="100"/>
        <v>202319</v>
      </c>
      <c r="B5778" s="5" t="str">
        <f>"23085043902"</f>
        <v>23085043902</v>
      </c>
      <c r="C5778" s="6">
        <v>79.5</v>
      </c>
      <c r="D5778" s="6">
        <v>112.5</v>
      </c>
      <c r="E5778" s="6">
        <v>192</v>
      </c>
      <c r="F5778" s="11"/>
    </row>
    <row r="5779" spans="1:6">
      <c r="A5779" s="5" t="str">
        <f t="shared" si="100"/>
        <v>202319</v>
      </c>
      <c r="B5779" s="5" t="str">
        <f>"23085043724"</f>
        <v>23085043724</v>
      </c>
      <c r="C5779" s="6">
        <v>99</v>
      </c>
      <c r="D5779" s="6">
        <v>92.5</v>
      </c>
      <c r="E5779" s="6">
        <v>191.5</v>
      </c>
      <c r="F5779" s="11"/>
    </row>
    <row r="5780" spans="1:6">
      <c r="A5780" s="5" t="str">
        <f t="shared" si="100"/>
        <v>202319</v>
      </c>
      <c r="B5780" s="5" t="str">
        <f>"23085044303"</f>
        <v>23085044303</v>
      </c>
      <c r="C5780" s="6">
        <v>79.5</v>
      </c>
      <c r="D5780" s="6">
        <v>112</v>
      </c>
      <c r="E5780" s="6">
        <v>191.5</v>
      </c>
      <c r="F5780" s="11"/>
    </row>
    <row r="5781" spans="1:6">
      <c r="A5781" s="5" t="str">
        <f t="shared" si="100"/>
        <v>202319</v>
      </c>
      <c r="B5781" s="5" t="str">
        <f>"23085044313"</f>
        <v>23085044313</v>
      </c>
      <c r="C5781" s="6">
        <v>90</v>
      </c>
      <c r="D5781" s="6">
        <v>101.5</v>
      </c>
      <c r="E5781" s="6">
        <v>191.5</v>
      </c>
      <c r="F5781" s="11"/>
    </row>
    <row r="5782" spans="1:6">
      <c r="A5782" s="5" t="str">
        <f t="shared" si="100"/>
        <v>202319</v>
      </c>
      <c r="B5782" s="5" t="str">
        <f>"23085045008"</f>
        <v>23085045008</v>
      </c>
      <c r="C5782" s="6">
        <v>91.5</v>
      </c>
      <c r="D5782" s="6">
        <v>100</v>
      </c>
      <c r="E5782" s="6">
        <v>191.5</v>
      </c>
      <c r="F5782" s="11"/>
    </row>
    <row r="5783" spans="1:6">
      <c r="A5783" s="5" t="str">
        <f t="shared" si="100"/>
        <v>202319</v>
      </c>
      <c r="B5783" s="5" t="str">
        <f>"23085044402"</f>
        <v>23085044402</v>
      </c>
      <c r="C5783" s="6">
        <v>84</v>
      </c>
      <c r="D5783" s="6">
        <v>107</v>
      </c>
      <c r="E5783" s="6">
        <v>191</v>
      </c>
      <c r="F5783" s="11"/>
    </row>
    <row r="5784" spans="1:6">
      <c r="A5784" s="5" t="str">
        <f t="shared" si="100"/>
        <v>202319</v>
      </c>
      <c r="B5784" s="5" t="str">
        <f>"23085043522"</f>
        <v>23085043522</v>
      </c>
      <c r="C5784" s="6">
        <v>85.5</v>
      </c>
      <c r="D5784" s="6">
        <v>105.5</v>
      </c>
      <c r="E5784" s="6">
        <v>191</v>
      </c>
      <c r="F5784" s="11"/>
    </row>
    <row r="5785" spans="1:6">
      <c r="A5785" s="5" t="str">
        <f t="shared" si="100"/>
        <v>202319</v>
      </c>
      <c r="B5785" s="5" t="str">
        <f>"23085050101"</f>
        <v>23085050101</v>
      </c>
      <c r="C5785" s="6">
        <v>88.5</v>
      </c>
      <c r="D5785" s="6">
        <v>102.5</v>
      </c>
      <c r="E5785" s="6">
        <v>191</v>
      </c>
      <c r="F5785" s="11"/>
    </row>
    <row r="5786" spans="1:6">
      <c r="A5786" s="5" t="str">
        <f t="shared" si="100"/>
        <v>202319</v>
      </c>
      <c r="B5786" s="5" t="str">
        <f>"23085043516"</f>
        <v>23085043516</v>
      </c>
      <c r="C5786" s="6">
        <v>100.5</v>
      </c>
      <c r="D5786" s="6">
        <v>90.5</v>
      </c>
      <c r="E5786" s="6">
        <v>191</v>
      </c>
      <c r="F5786" s="11"/>
    </row>
    <row r="5787" spans="1:6">
      <c r="A5787" s="5" t="str">
        <f t="shared" si="100"/>
        <v>202319</v>
      </c>
      <c r="B5787" s="5" t="str">
        <f>"23085050309"</f>
        <v>23085050309</v>
      </c>
      <c r="C5787" s="6">
        <v>81</v>
      </c>
      <c r="D5787" s="6">
        <v>109.5</v>
      </c>
      <c r="E5787" s="6">
        <v>190.5</v>
      </c>
      <c r="F5787" s="11"/>
    </row>
    <row r="5788" spans="1:6">
      <c r="A5788" s="5" t="str">
        <f t="shared" si="100"/>
        <v>202319</v>
      </c>
      <c r="B5788" s="5" t="str">
        <f>"23085043413"</f>
        <v>23085043413</v>
      </c>
      <c r="C5788" s="6">
        <v>87</v>
      </c>
      <c r="D5788" s="6">
        <v>103.5</v>
      </c>
      <c r="E5788" s="6">
        <v>190.5</v>
      </c>
      <c r="F5788" s="11"/>
    </row>
    <row r="5789" spans="1:6">
      <c r="A5789" s="5" t="str">
        <f t="shared" si="100"/>
        <v>202319</v>
      </c>
      <c r="B5789" s="5" t="str">
        <f>"23085050105"</f>
        <v>23085050105</v>
      </c>
      <c r="C5789" s="6">
        <v>81</v>
      </c>
      <c r="D5789" s="6">
        <v>109.5</v>
      </c>
      <c r="E5789" s="6">
        <v>190.5</v>
      </c>
      <c r="F5789" s="11"/>
    </row>
    <row r="5790" spans="1:6">
      <c r="A5790" s="5" t="str">
        <f t="shared" si="100"/>
        <v>202319</v>
      </c>
      <c r="B5790" s="5" t="str">
        <f>"23085044406"</f>
        <v>23085044406</v>
      </c>
      <c r="C5790" s="6">
        <v>78</v>
      </c>
      <c r="D5790" s="6">
        <v>112.5</v>
      </c>
      <c r="E5790" s="6">
        <v>190.5</v>
      </c>
      <c r="F5790" s="11"/>
    </row>
    <row r="5791" spans="1:6">
      <c r="A5791" s="5" t="str">
        <f t="shared" si="100"/>
        <v>202319</v>
      </c>
      <c r="B5791" s="5" t="str">
        <f>"23085044618"</f>
        <v>23085044618</v>
      </c>
      <c r="C5791" s="6">
        <v>105</v>
      </c>
      <c r="D5791" s="6">
        <v>85.5</v>
      </c>
      <c r="E5791" s="6">
        <v>190.5</v>
      </c>
      <c r="F5791" s="11"/>
    </row>
    <row r="5792" spans="1:6">
      <c r="A5792" s="5" t="str">
        <f t="shared" si="100"/>
        <v>202319</v>
      </c>
      <c r="B5792" s="5" t="str">
        <f>"23085050204"</f>
        <v>23085050204</v>
      </c>
      <c r="C5792" s="6">
        <v>72</v>
      </c>
      <c r="D5792" s="6">
        <v>118</v>
      </c>
      <c r="E5792" s="6">
        <v>190</v>
      </c>
      <c r="F5792" s="11"/>
    </row>
    <row r="5793" spans="1:6">
      <c r="A5793" s="5" t="str">
        <f t="shared" si="100"/>
        <v>202319</v>
      </c>
      <c r="B5793" s="5" t="str">
        <f>"23085044216"</f>
        <v>23085044216</v>
      </c>
      <c r="C5793" s="6">
        <v>76.5</v>
      </c>
      <c r="D5793" s="6">
        <v>113.5</v>
      </c>
      <c r="E5793" s="6">
        <v>190</v>
      </c>
      <c r="F5793" s="11"/>
    </row>
    <row r="5794" spans="1:6">
      <c r="A5794" s="5" t="str">
        <f t="shared" si="100"/>
        <v>202319</v>
      </c>
      <c r="B5794" s="5" t="str">
        <f>"23085045024"</f>
        <v>23085045024</v>
      </c>
      <c r="C5794" s="6">
        <v>76.5</v>
      </c>
      <c r="D5794" s="6">
        <v>113</v>
      </c>
      <c r="E5794" s="6">
        <v>189.5</v>
      </c>
      <c r="F5794" s="11"/>
    </row>
    <row r="5795" spans="1:6">
      <c r="A5795" s="5" t="str">
        <f t="shared" si="100"/>
        <v>202319</v>
      </c>
      <c r="B5795" s="5" t="str">
        <f>"23085043401"</f>
        <v>23085043401</v>
      </c>
      <c r="C5795" s="6">
        <v>87</v>
      </c>
      <c r="D5795" s="6">
        <v>102.5</v>
      </c>
      <c r="E5795" s="6">
        <v>189.5</v>
      </c>
      <c r="F5795" s="11"/>
    </row>
    <row r="5796" spans="1:6">
      <c r="A5796" s="5" t="str">
        <f t="shared" si="100"/>
        <v>202319</v>
      </c>
      <c r="B5796" s="5" t="str">
        <f>"23085044915"</f>
        <v>23085044915</v>
      </c>
      <c r="C5796" s="6">
        <v>76.5</v>
      </c>
      <c r="D5796" s="6">
        <v>113</v>
      </c>
      <c r="E5796" s="6">
        <v>189.5</v>
      </c>
      <c r="F5796" s="11"/>
    </row>
    <row r="5797" spans="1:6">
      <c r="A5797" s="5" t="str">
        <f t="shared" si="100"/>
        <v>202319</v>
      </c>
      <c r="B5797" s="5" t="str">
        <f>"23085044104"</f>
        <v>23085044104</v>
      </c>
      <c r="C5797" s="6">
        <v>79.5</v>
      </c>
      <c r="D5797" s="6">
        <v>110</v>
      </c>
      <c r="E5797" s="6">
        <v>189.5</v>
      </c>
      <c r="F5797" s="11"/>
    </row>
    <row r="5798" spans="1:6">
      <c r="A5798" s="5" t="str">
        <f t="shared" si="100"/>
        <v>202319</v>
      </c>
      <c r="B5798" s="5" t="str">
        <f>"23085050126"</f>
        <v>23085050126</v>
      </c>
      <c r="C5798" s="6">
        <v>72</v>
      </c>
      <c r="D5798" s="6">
        <v>117</v>
      </c>
      <c r="E5798" s="6">
        <v>189</v>
      </c>
      <c r="F5798" s="11"/>
    </row>
    <row r="5799" spans="1:6">
      <c r="A5799" s="5" t="str">
        <f t="shared" si="100"/>
        <v>202319</v>
      </c>
      <c r="B5799" s="5" t="str">
        <f>"23085043509"</f>
        <v>23085043509</v>
      </c>
      <c r="C5799" s="6">
        <v>78</v>
      </c>
      <c r="D5799" s="6">
        <v>111</v>
      </c>
      <c r="E5799" s="6">
        <v>189</v>
      </c>
      <c r="F5799" s="11"/>
    </row>
    <row r="5800" spans="1:6">
      <c r="A5800" s="5" t="str">
        <f t="shared" si="100"/>
        <v>202319</v>
      </c>
      <c r="B5800" s="5" t="str">
        <f>"23085044219"</f>
        <v>23085044219</v>
      </c>
      <c r="C5800" s="6">
        <v>81</v>
      </c>
      <c r="D5800" s="6">
        <v>107.5</v>
      </c>
      <c r="E5800" s="6">
        <v>188.5</v>
      </c>
      <c r="F5800" s="11"/>
    </row>
    <row r="5801" spans="1:6">
      <c r="A5801" s="5" t="str">
        <f t="shared" si="100"/>
        <v>202319</v>
      </c>
      <c r="B5801" s="5" t="str">
        <f>"23085044310"</f>
        <v>23085044310</v>
      </c>
      <c r="C5801" s="6">
        <v>99</v>
      </c>
      <c r="D5801" s="6">
        <v>89</v>
      </c>
      <c r="E5801" s="6">
        <v>188</v>
      </c>
      <c r="F5801" s="11"/>
    </row>
    <row r="5802" spans="1:6">
      <c r="A5802" s="5" t="str">
        <f t="shared" si="100"/>
        <v>202319</v>
      </c>
      <c r="B5802" s="5" t="str">
        <f>"23085044902"</f>
        <v>23085044902</v>
      </c>
      <c r="C5802" s="6">
        <v>82.5</v>
      </c>
      <c r="D5802" s="6">
        <v>105.5</v>
      </c>
      <c r="E5802" s="6">
        <v>188</v>
      </c>
      <c r="F5802" s="11"/>
    </row>
    <row r="5803" spans="1:6">
      <c r="A5803" s="5" t="str">
        <f t="shared" si="100"/>
        <v>202319</v>
      </c>
      <c r="B5803" s="5" t="str">
        <f>"23085050124"</f>
        <v>23085050124</v>
      </c>
      <c r="C5803" s="6">
        <v>72</v>
      </c>
      <c r="D5803" s="6">
        <v>115.5</v>
      </c>
      <c r="E5803" s="6">
        <v>187.5</v>
      </c>
      <c r="F5803" s="11"/>
    </row>
    <row r="5804" spans="1:6">
      <c r="A5804" s="5" t="str">
        <f t="shared" si="100"/>
        <v>202319</v>
      </c>
      <c r="B5804" s="5" t="str">
        <f>"23085050228"</f>
        <v>23085050228</v>
      </c>
      <c r="C5804" s="6">
        <v>90</v>
      </c>
      <c r="D5804" s="6">
        <v>97.5</v>
      </c>
      <c r="E5804" s="6">
        <v>187.5</v>
      </c>
      <c r="F5804" s="11"/>
    </row>
    <row r="5805" spans="1:6">
      <c r="A5805" s="5" t="str">
        <f t="shared" si="100"/>
        <v>202319</v>
      </c>
      <c r="B5805" s="5" t="str">
        <f>"23085044905"</f>
        <v>23085044905</v>
      </c>
      <c r="C5805" s="6">
        <v>93</v>
      </c>
      <c r="D5805" s="6">
        <v>94</v>
      </c>
      <c r="E5805" s="6">
        <v>187</v>
      </c>
      <c r="F5805" s="11"/>
    </row>
    <row r="5806" spans="1:6">
      <c r="A5806" s="5" t="str">
        <f t="shared" si="100"/>
        <v>202319</v>
      </c>
      <c r="B5806" s="5" t="str">
        <f>"23085044630"</f>
        <v>23085044630</v>
      </c>
      <c r="C5806" s="6">
        <v>75</v>
      </c>
      <c r="D5806" s="6">
        <v>112</v>
      </c>
      <c r="E5806" s="6">
        <v>187</v>
      </c>
      <c r="F5806" s="11"/>
    </row>
    <row r="5807" spans="1:6">
      <c r="A5807" s="5" t="str">
        <f t="shared" si="100"/>
        <v>202319</v>
      </c>
      <c r="B5807" s="5" t="str">
        <f>"23085050402"</f>
        <v>23085050402</v>
      </c>
      <c r="C5807" s="6">
        <v>76.5</v>
      </c>
      <c r="D5807" s="6">
        <v>110</v>
      </c>
      <c r="E5807" s="6">
        <v>186.5</v>
      </c>
      <c r="F5807" s="11"/>
    </row>
    <row r="5808" spans="1:6">
      <c r="A5808" s="5" t="str">
        <f t="shared" si="100"/>
        <v>202319</v>
      </c>
      <c r="B5808" s="5" t="str">
        <f>"23085043527"</f>
        <v>23085043527</v>
      </c>
      <c r="C5808" s="6">
        <v>82.5</v>
      </c>
      <c r="D5808" s="6">
        <v>104</v>
      </c>
      <c r="E5808" s="6">
        <v>186.5</v>
      </c>
      <c r="F5808" s="11"/>
    </row>
    <row r="5809" spans="1:6">
      <c r="A5809" s="5" t="str">
        <f t="shared" si="100"/>
        <v>202319</v>
      </c>
      <c r="B5809" s="5" t="str">
        <f>"23085043717"</f>
        <v>23085043717</v>
      </c>
      <c r="C5809" s="6">
        <v>78</v>
      </c>
      <c r="D5809" s="6">
        <v>108.5</v>
      </c>
      <c r="E5809" s="6">
        <v>186.5</v>
      </c>
      <c r="F5809" s="11"/>
    </row>
    <row r="5810" spans="1:6">
      <c r="A5810" s="5" t="str">
        <f t="shared" si="100"/>
        <v>202319</v>
      </c>
      <c r="B5810" s="5" t="str">
        <f>"23085045007"</f>
        <v>23085045007</v>
      </c>
      <c r="C5810" s="6">
        <v>76.5</v>
      </c>
      <c r="D5810" s="6">
        <v>109.5</v>
      </c>
      <c r="E5810" s="6">
        <v>186</v>
      </c>
      <c r="F5810" s="11"/>
    </row>
    <row r="5811" spans="1:6">
      <c r="A5811" s="5" t="str">
        <f t="shared" si="100"/>
        <v>202319</v>
      </c>
      <c r="B5811" s="5" t="str">
        <f>"23085044912"</f>
        <v>23085044912</v>
      </c>
      <c r="C5811" s="6">
        <v>85.5</v>
      </c>
      <c r="D5811" s="6">
        <v>100.5</v>
      </c>
      <c r="E5811" s="6">
        <v>186</v>
      </c>
      <c r="F5811" s="11"/>
    </row>
    <row r="5812" spans="1:6">
      <c r="A5812" s="5" t="str">
        <f t="shared" si="100"/>
        <v>202319</v>
      </c>
      <c r="B5812" s="5" t="str">
        <f>"23085043709"</f>
        <v>23085043709</v>
      </c>
      <c r="C5812" s="6">
        <v>75</v>
      </c>
      <c r="D5812" s="6">
        <v>111</v>
      </c>
      <c r="E5812" s="6">
        <v>186</v>
      </c>
      <c r="F5812" s="11"/>
    </row>
    <row r="5813" spans="1:6">
      <c r="A5813" s="5" t="str">
        <f t="shared" si="100"/>
        <v>202319</v>
      </c>
      <c r="B5813" s="5" t="str">
        <f>"23085044627"</f>
        <v>23085044627</v>
      </c>
      <c r="C5813" s="6">
        <v>79.5</v>
      </c>
      <c r="D5813" s="6">
        <v>106.5</v>
      </c>
      <c r="E5813" s="6">
        <v>186</v>
      </c>
      <c r="F5813" s="11"/>
    </row>
    <row r="5814" spans="1:6">
      <c r="A5814" s="5" t="str">
        <f t="shared" si="100"/>
        <v>202319</v>
      </c>
      <c r="B5814" s="5" t="str">
        <f>"23085043406"</f>
        <v>23085043406</v>
      </c>
      <c r="C5814" s="6">
        <v>85.5</v>
      </c>
      <c r="D5814" s="6">
        <v>100</v>
      </c>
      <c r="E5814" s="6">
        <v>185.5</v>
      </c>
      <c r="F5814" s="11"/>
    </row>
    <row r="5815" spans="1:6">
      <c r="A5815" s="5" t="str">
        <f t="shared" si="100"/>
        <v>202319</v>
      </c>
      <c r="B5815" s="5" t="str">
        <f>"23085050112"</f>
        <v>23085050112</v>
      </c>
      <c r="C5815" s="6">
        <v>73.5</v>
      </c>
      <c r="D5815" s="6">
        <v>112</v>
      </c>
      <c r="E5815" s="6">
        <v>185.5</v>
      </c>
      <c r="F5815" s="11"/>
    </row>
    <row r="5816" spans="1:6">
      <c r="A5816" s="5" t="str">
        <f t="shared" si="100"/>
        <v>202319</v>
      </c>
      <c r="B5816" s="5" t="str">
        <f>"23085043614"</f>
        <v>23085043614</v>
      </c>
      <c r="C5816" s="6">
        <v>72</v>
      </c>
      <c r="D5816" s="6">
        <v>113.5</v>
      </c>
      <c r="E5816" s="6">
        <v>185.5</v>
      </c>
      <c r="F5816" s="11"/>
    </row>
    <row r="5817" spans="1:6">
      <c r="A5817" s="5" t="str">
        <f t="shared" si="100"/>
        <v>202319</v>
      </c>
      <c r="B5817" s="5" t="str">
        <f>"23085044122"</f>
        <v>23085044122</v>
      </c>
      <c r="C5817" s="6">
        <v>72</v>
      </c>
      <c r="D5817" s="6">
        <v>113</v>
      </c>
      <c r="E5817" s="6">
        <v>185</v>
      </c>
      <c r="F5817" s="11"/>
    </row>
    <row r="5818" spans="1:6">
      <c r="A5818" s="5" t="str">
        <f t="shared" si="100"/>
        <v>202319</v>
      </c>
      <c r="B5818" s="5" t="str">
        <f>"23085050206"</f>
        <v>23085050206</v>
      </c>
      <c r="C5818" s="6">
        <v>87</v>
      </c>
      <c r="D5818" s="6">
        <v>97.5</v>
      </c>
      <c r="E5818" s="6">
        <v>184.5</v>
      </c>
      <c r="F5818" s="11"/>
    </row>
    <row r="5819" spans="1:6">
      <c r="A5819" s="5" t="str">
        <f t="shared" si="100"/>
        <v>202319</v>
      </c>
      <c r="B5819" s="5" t="str">
        <f>"23085050219"</f>
        <v>23085050219</v>
      </c>
      <c r="C5819" s="6">
        <v>70.5</v>
      </c>
      <c r="D5819" s="6">
        <v>114</v>
      </c>
      <c r="E5819" s="6">
        <v>184.5</v>
      </c>
      <c r="F5819" s="11"/>
    </row>
    <row r="5820" spans="1:6">
      <c r="A5820" s="5" t="str">
        <f t="shared" si="100"/>
        <v>202319</v>
      </c>
      <c r="B5820" s="5" t="str">
        <f>"23085044129"</f>
        <v>23085044129</v>
      </c>
      <c r="C5820" s="6">
        <v>72</v>
      </c>
      <c r="D5820" s="6">
        <v>112.5</v>
      </c>
      <c r="E5820" s="6">
        <v>184.5</v>
      </c>
      <c r="F5820" s="11"/>
    </row>
    <row r="5821" spans="1:6">
      <c r="A5821" s="5" t="str">
        <f t="shared" si="100"/>
        <v>202319</v>
      </c>
      <c r="B5821" s="5" t="str">
        <f>"23085050304"</f>
        <v>23085050304</v>
      </c>
      <c r="C5821" s="6">
        <v>82.5</v>
      </c>
      <c r="D5821" s="6">
        <v>102</v>
      </c>
      <c r="E5821" s="6">
        <v>184.5</v>
      </c>
      <c r="F5821" s="11"/>
    </row>
    <row r="5822" spans="1:6">
      <c r="A5822" s="5" t="str">
        <f t="shared" si="100"/>
        <v>202319</v>
      </c>
      <c r="B5822" s="5" t="str">
        <f>"23085044030"</f>
        <v>23085044030</v>
      </c>
      <c r="C5822" s="6">
        <v>81</v>
      </c>
      <c r="D5822" s="6">
        <v>103.5</v>
      </c>
      <c r="E5822" s="6">
        <v>184.5</v>
      </c>
      <c r="F5822" s="11"/>
    </row>
    <row r="5823" spans="1:6">
      <c r="A5823" s="5" t="str">
        <f t="shared" si="100"/>
        <v>202319</v>
      </c>
      <c r="B5823" s="5" t="str">
        <f>"23085050210"</f>
        <v>23085050210</v>
      </c>
      <c r="C5823" s="6">
        <v>70.5</v>
      </c>
      <c r="D5823" s="6">
        <v>114</v>
      </c>
      <c r="E5823" s="6">
        <v>184.5</v>
      </c>
      <c r="F5823" s="11"/>
    </row>
    <row r="5824" spans="1:6">
      <c r="A5824" s="5" t="str">
        <f t="shared" si="100"/>
        <v>202319</v>
      </c>
      <c r="B5824" s="5" t="str">
        <f>"23085044011"</f>
        <v>23085044011</v>
      </c>
      <c r="C5824" s="6">
        <v>78</v>
      </c>
      <c r="D5824" s="6">
        <v>106.5</v>
      </c>
      <c r="E5824" s="6">
        <v>184.5</v>
      </c>
      <c r="F5824" s="11"/>
    </row>
    <row r="5825" spans="1:6">
      <c r="A5825" s="5" t="str">
        <f t="shared" si="100"/>
        <v>202319</v>
      </c>
      <c r="B5825" s="5" t="str">
        <f>"23085043530"</f>
        <v>23085043530</v>
      </c>
      <c r="C5825" s="6">
        <v>79.5</v>
      </c>
      <c r="D5825" s="6">
        <v>104.5</v>
      </c>
      <c r="E5825" s="6">
        <v>184</v>
      </c>
      <c r="F5825" s="11"/>
    </row>
    <row r="5826" spans="1:6">
      <c r="A5826" s="5" t="str">
        <f t="shared" si="100"/>
        <v>202319</v>
      </c>
      <c r="B5826" s="5" t="str">
        <f>"23085050102"</f>
        <v>23085050102</v>
      </c>
      <c r="C5826" s="6">
        <v>69</v>
      </c>
      <c r="D5826" s="6">
        <v>114.5</v>
      </c>
      <c r="E5826" s="6">
        <v>183.5</v>
      </c>
      <c r="F5826" s="11"/>
    </row>
    <row r="5827" spans="1:6">
      <c r="A5827" s="5" t="str">
        <f t="shared" si="100"/>
        <v>202319</v>
      </c>
      <c r="B5827" s="5" t="str">
        <f>"23085043229"</f>
        <v>23085043229</v>
      </c>
      <c r="C5827" s="6">
        <v>76.5</v>
      </c>
      <c r="D5827" s="6">
        <v>107</v>
      </c>
      <c r="E5827" s="6">
        <v>183.5</v>
      </c>
      <c r="F5827" s="11"/>
    </row>
    <row r="5828" spans="1:6">
      <c r="A5828" s="5" t="str">
        <f t="shared" si="100"/>
        <v>202319</v>
      </c>
      <c r="B5828" s="5" t="str">
        <f>"23085043222"</f>
        <v>23085043222</v>
      </c>
      <c r="C5828" s="6">
        <v>63</v>
      </c>
      <c r="D5828" s="6">
        <v>120.5</v>
      </c>
      <c r="E5828" s="6">
        <v>183.5</v>
      </c>
      <c r="F5828" s="11"/>
    </row>
    <row r="5829" spans="1:6">
      <c r="A5829" s="5" t="str">
        <f t="shared" si="100"/>
        <v>202319</v>
      </c>
      <c r="B5829" s="5" t="str">
        <f>"23085043217"</f>
        <v>23085043217</v>
      </c>
      <c r="C5829" s="6">
        <v>67.5</v>
      </c>
      <c r="D5829" s="6">
        <v>116</v>
      </c>
      <c r="E5829" s="6">
        <v>183.5</v>
      </c>
      <c r="F5829" s="11"/>
    </row>
    <row r="5830" spans="1:6">
      <c r="A5830" s="5" t="str">
        <f t="shared" si="100"/>
        <v>202319</v>
      </c>
      <c r="B5830" s="5" t="str">
        <f>"23085043623"</f>
        <v>23085043623</v>
      </c>
      <c r="C5830" s="6">
        <v>79.5</v>
      </c>
      <c r="D5830" s="6">
        <v>104</v>
      </c>
      <c r="E5830" s="6">
        <v>183.5</v>
      </c>
      <c r="F5830" s="11"/>
    </row>
    <row r="5831" spans="1:6">
      <c r="A5831" s="5" t="str">
        <f t="shared" si="100"/>
        <v>202319</v>
      </c>
      <c r="B5831" s="5" t="str">
        <f>"23085044409"</f>
        <v>23085044409</v>
      </c>
      <c r="C5831" s="6">
        <v>70.5</v>
      </c>
      <c r="D5831" s="6">
        <v>113</v>
      </c>
      <c r="E5831" s="6">
        <v>183.5</v>
      </c>
      <c r="F5831" s="11"/>
    </row>
    <row r="5832" spans="1:6">
      <c r="A5832" s="5" t="str">
        <f t="shared" ref="A5832:A5895" si="101">"202319"</f>
        <v>202319</v>
      </c>
      <c r="B5832" s="5" t="str">
        <f>"23085044323"</f>
        <v>23085044323</v>
      </c>
      <c r="C5832" s="6">
        <v>81</v>
      </c>
      <c r="D5832" s="6">
        <v>102.5</v>
      </c>
      <c r="E5832" s="6">
        <v>183.5</v>
      </c>
      <c r="F5832" s="11"/>
    </row>
    <row r="5833" spans="1:6">
      <c r="A5833" s="5" t="str">
        <f t="shared" si="101"/>
        <v>202319</v>
      </c>
      <c r="B5833" s="5" t="str">
        <f>"23085050414"</f>
        <v>23085050414</v>
      </c>
      <c r="C5833" s="6">
        <v>78</v>
      </c>
      <c r="D5833" s="6">
        <v>105</v>
      </c>
      <c r="E5833" s="6">
        <v>183</v>
      </c>
      <c r="F5833" s="11"/>
    </row>
    <row r="5834" spans="1:6">
      <c r="A5834" s="5" t="str">
        <f t="shared" si="101"/>
        <v>202319</v>
      </c>
      <c r="B5834" s="5" t="str">
        <f>"23085050223"</f>
        <v>23085050223</v>
      </c>
      <c r="C5834" s="6">
        <v>69</v>
      </c>
      <c r="D5834" s="6">
        <v>114</v>
      </c>
      <c r="E5834" s="6">
        <v>183</v>
      </c>
      <c r="F5834" s="11"/>
    </row>
    <row r="5835" spans="1:6">
      <c r="A5835" s="5" t="str">
        <f t="shared" si="101"/>
        <v>202319</v>
      </c>
      <c r="B5835" s="5" t="str">
        <f>"23085043508"</f>
        <v>23085043508</v>
      </c>
      <c r="C5835" s="6">
        <v>82.5</v>
      </c>
      <c r="D5835" s="6">
        <v>100</v>
      </c>
      <c r="E5835" s="6">
        <v>182.5</v>
      </c>
      <c r="F5835" s="11"/>
    </row>
    <row r="5836" spans="1:6">
      <c r="A5836" s="5" t="str">
        <f t="shared" si="101"/>
        <v>202319</v>
      </c>
      <c r="B5836" s="5" t="str">
        <f>"23085044114"</f>
        <v>23085044114</v>
      </c>
      <c r="C5836" s="6">
        <v>69</v>
      </c>
      <c r="D5836" s="6">
        <v>113.5</v>
      </c>
      <c r="E5836" s="6">
        <v>182.5</v>
      </c>
      <c r="F5836" s="11"/>
    </row>
    <row r="5837" spans="1:6">
      <c r="A5837" s="5" t="str">
        <f t="shared" si="101"/>
        <v>202319</v>
      </c>
      <c r="B5837" s="5" t="str">
        <f>"23085050217"</f>
        <v>23085050217</v>
      </c>
      <c r="C5837" s="6">
        <v>75</v>
      </c>
      <c r="D5837" s="6">
        <v>107.5</v>
      </c>
      <c r="E5837" s="6">
        <v>182.5</v>
      </c>
      <c r="F5837" s="11"/>
    </row>
    <row r="5838" spans="1:6">
      <c r="A5838" s="5" t="str">
        <f t="shared" si="101"/>
        <v>202319</v>
      </c>
      <c r="B5838" s="5" t="str">
        <f>"23085044019"</f>
        <v>23085044019</v>
      </c>
      <c r="C5838" s="6">
        <v>82.5</v>
      </c>
      <c r="D5838" s="6">
        <v>100</v>
      </c>
      <c r="E5838" s="6">
        <v>182.5</v>
      </c>
      <c r="F5838" s="11"/>
    </row>
    <row r="5839" spans="1:6">
      <c r="A5839" s="5" t="str">
        <f t="shared" si="101"/>
        <v>202319</v>
      </c>
      <c r="B5839" s="5" t="str">
        <f>"23085043930"</f>
        <v>23085043930</v>
      </c>
      <c r="C5839" s="6">
        <v>66</v>
      </c>
      <c r="D5839" s="6">
        <v>116</v>
      </c>
      <c r="E5839" s="6">
        <v>182</v>
      </c>
      <c r="F5839" s="11"/>
    </row>
    <row r="5840" spans="1:6">
      <c r="A5840" s="5" t="str">
        <f t="shared" si="101"/>
        <v>202319</v>
      </c>
      <c r="B5840" s="5" t="str">
        <f>"23085043403"</f>
        <v>23085043403</v>
      </c>
      <c r="C5840" s="6">
        <v>87</v>
      </c>
      <c r="D5840" s="6">
        <v>95</v>
      </c>
      <c r="E5840" s="6">
        <v>182</v>
      </c>
      <c r="F5840" s="11"/>
    </row>
    <row r="5841" spans="1:6">
      <c r="A5841" s="5" t="str">
        <f t="shared" si="101"/>
        <v>202319</v>
      </c>
      <c r="B5841" s="5" t="str">
        <f>"23085050224"</f>
        <v>23085050224</v>
      </c>
      <c r="C5841" s="6">
        <v>66</v>
      </c>
      <c r="D5841" s="6">
        <v>116</v>
      </c>
      <c r="E5841" s="6">
        <v>182</v>
      </c>
      <c r="F5841" s="11"/>
    </row>
    <row r="5842" spans="1:6">
      <c r="A5842" s="5" t="str">
        <f t="shared" si="101"/>
        <v>202319</v>
      </c>
      <c r="B5842" s="5" t="str">
        <f>"23085043807"</f>
        <v>23085043807</v>
      </c>
      <c r="C5842" s="6">
        <v>76.5</v>
      </c>
      <c r="D5842" s="6">
        <v>105</v>
      </c>
      <c r="E5842" s="6">
        <v>181.5</v>
      </c>
      <c r="F5842" s="11"/>
    </row>
    <row r="5843" spans="1:6">
      <c r="A5843" s="5" t="str">
        <f t="shared" si="101"/>
        <v>202319</v>
      </c>
      <c r="B5843" s="5" t="str">
        <f>"23085044211"</f>
        <v>23085044211</v>
      </c>
      <c r="C5843" s="6">
        <v>63</v>
      </c>
      <c r="D5843" s="6">
        <v>118.5</v>
      </c>
      <c r="E5843" s="6">
        <v>181.5</v>
      </c>
      <c r="F5843" s="11"/>
    </row>
    <row r="5844" spans="1:6">
      <c r="A5844" s="5" t="str">
        <f t="shared" si="101"/>
        <v>202319</v>
      </c>
      <c r="B5844" s="5" t="str">
        <f>"23085044408"</f>
        <v>23085044408</v>
      </c>
      <c r="C5844" s="6">
        <v>66</v>
      </c>
      <c r="D5844" s="6">
        <v>115</v>
      </c>
      <c r="E5844" s="6">
        <v>181</v>
      </c>
      <c r="F5844" s="11"/>
    </row>
    <row r="5845" spans="1:6">
      <c r="A5845" s="5" t="str">
        <f t="shared" si="101"/>
        <v>202319</v>
      </c>
      <c r="B5845" s="5" t="str">
        <f>"23085044520"</f>
        <v>23085044520</v>
      </c>
      <c r="C5845" s="6">
        <v>73.5</v>
      </c>
      <c r="D5845" s="6">
        <v>107.5</v>
      </c>
      <c r="E5845" s="6">
        <v>181</v>
      </c>
      <c r="F5845" s="11"/>
    </row>
    <row r="5846" spans="1:6">
      <c r="A5846" s="5" t="str">
        <f t="shared" si="101"/>
        <v>202319</v>
      </c>
      <c r="B5846" s="5" t="str">
        <f>"23085044427"</f>
        <v>23085044427</v>
      </c>
      <c r="C5846" s="6">
        <v>79.5</v>
      </c>
      <c r="D5846" s="6">
        <v>101</v>
      </c>
      <c r="E5846" s="6">
        <v>180.5</v>
      </c>
      <c r="F5846" s="11"/>
    </row>
    <row r="5847" spans="1:6">
      <c r="A5847" s="5" t="str">
        <f t="shared" si="101"/>
        <v>202319</v>
      </c>
      <c r="B5847" s="5" t="str">
        <f>"23085044616"</f>
        <v>23085044616</v>
      </c>
      <c r="C5847" s="6">
        <v>66</v>
      </c>
      <c r="D5847" s="6">
        <v>114</v>
      </c>
      <c r="E5847" s="6">
        <v>180</v>
      </c>
      <c r="F5847" s="11"/>
    </row>
    <row r="5848" spans="1:6">
      <c r="A5848" s="5" t="str">
        <f t="shared" si="101"/>
        <v>202319</v>
      </c>
      <c r="B5848" s="5" t="str">
        <f>"23085043604"</f>
        <v>23085043604</v>
      </c>
      <c r="C5848" s="6">
        <v>72</v>
      </c>
      <c r="D5848" s="6">
        <v>108</v>
      </c>
      <c r="E5848" s="6">
        <v>180</v>
      </c>
      <c r="F5848" s="11"/>
    </row>
    <row r="5849" spans="1:6">
      <c r="A5849" s="5" t="str">
        <f t="shared" si="101"/>
        <v>202319</v>
      </c>
      <c r="B5849" s="5" t="str">
        <f>"23085050405"</f>
        <v>23085050405</v>
      </c>
      <c r="C5849" s="6">
        <v>70.5</v>
      </c>
      <c r="D5849" s="6">
        <v>108.5</v>
      </c>
      <c r="E5849" s="6">
        <v>179</v>
      </c>
      <c r="F5849" s="11"/>
    </row>
    <row r="5850" spans="1:6">
      <c r="A5850" s="5" t="str">
        <f t="shared" si="101"/>
        <v>202319</v>
      </c>
      <c r="B5850" s="5" t="str">
        <f>"23085043616"</f>
        <v>23085043616</v>
      </c>
      <c r="C5850" s="6">
        <v>79.5</v>
      </c>
      <c r="D5850" s="6">
        <v>99.5</v>
      </c>
      <c r="E5850" s="6">
        <v>179</v>
      </c>
      <c r="F5850" s="11"/>
    </row>
    <row r="5851" spans="1:6">
      <c r="A5851" s="5" t="str">
        <f t="shared" si="101"/>
        <v>202319</v>
      </c>
      <c r="B5851" s="5" t="str">
        <f>"23085044706"</f>
        <v>23085044706</v>
      </c>
      <c r="C5851" s="6">
        <v>70.5</v>
      </c>
      <c r="D5851" s="6">
        <v>108.5</v>
      </c>
      <c r="E5851" s="6">
        <v>179</v>
      </c>
      <c r="F5851" s="11"/>
    </row>
    <row r="5852" spans="1:6">
      <c r="A5852" s="5" t="str">
        <f t="shared" si="101"/>
        <v>202319</v>
      </c>
      <c r="B5852" s="5" t="str">
        <f>"23085043418"</f>
        <v>23085043418</v>
      </c>
      <c r="C5852" s="6">
        <v>66</v>
      </c>
      <c r="D5852" s="6">
        <v>113</v>
      </c>
      <c r="E5852" s="6">
        <v>179</v>
      </c>
      <c r="F5852" s="11"/>
    </row>
    <row r="5853" spans="1:6">
      <c r="A5853" s="5" t="str">
        <f t="shared" si="101"/>
        <v>202319</v>
      </c>
      <c r="B5853" s="5" t="str">
        <f>"23085043910"</f>
        <v>23085043910</v>
      </c>
      <c r="C5853" s="6">
        <v>75</v>
      </c>
      <c r="D5853" s="6">
        <v>104</v>
      </c>
      <c r="E5853" s="6">
        <v>179</v>
      </c>
      <c r="F5853" s="11"/>
    </row>
    <row r="5854" spans="1:6">
      <c r="A5854" s="5" t="str">
        <f t="shared" si="101"/>
        <v>202319</v>
      </c>
      <c r="B5854" s="5" t="str">
        <f>"23085043603"</f>
        <v>23085043603</v>
      </c>
      <c r="C5854" s="6">
        <v>72</v>
      </c>
      <c r="D5854" s="6">
        <v>106</v>
      </c>
      <c r="E5854" s="6">
        <v>178</v>
      </c>
      <c r="F5854" s="11"/>
    </row>
    <row r="5855" spans="1:6">
      <c r="A5855" s="5" t="str">
        <f t="shared" si="101"/>
        <v>202319</v>
      </c>
      <c r="B5855" s="5" t="str">
        <f>"23085050401"</f>
        <v>23085050401</v>
      </c>
      <c r="C5855" s="6">
        <v>67.5</v>
      </c>
      <c r="D5855" s="6">
        <v>110</v>
      </c>
      <c r="E5855" s="6">
        <v>177.5</v>
      </c>
      <c r="F5855" s="11"/>
    </row>
    <row r="5856" spans="1:6">
      <c r="A5856" s="5" t="str">
        <f t="shared" si="101"/>
        <v>202319</v>
      </c>
      <c r="B5856" s="5" t="str">
        <f>"23085045012"</f>
        <v>23085045012</v>
      </c>
      <c r="C5856" s="6">
        <v>75</v>
      </c>
      <c r="D5856" s="6">
        <v>102</v>
      </c>
      <c r="E5856" s="6">
        <v>177</v>
      </c>
      <c r="F5856" s="11"/>
    </row>
    <row r="5857" spans="1:6">
      <c r="A5857" s="5" t="str">
        <f t="shared" si="101"/>
        <v>202319</v>
      </c>
      <c r="B5857" s="5" t="str">
        <f>"23085044208"</f>
        <v>23085044208</v>
      </c>
      <c r="C5857" s="6">
        <v>70.5</v>
      </c>
      <c r="D5857" s="6">
        <v>106</v>
      </c>
      <c r="E5857" s="6">
        <v>176.5</v>
      </c>
      <c r="F5857" s="11"/>
    </row>
    <row r="5858" spans="1:6">
      <c r="A5858" s="5" t="str">
        <f t="shared" si="101"/>
        <v>202319</v>
      </c>
      <c r="B5858" s="5" t="str">
        <f>"23085043805"</f>
        <v>23085043805</v>
      </c>
      <c r="C5858" s="6">
        <v>63</v>
      </c>
      <c r="D5858" s="6">
        <v>113.5</v>
      </c>
      <c r="E5858" s="6">
        <v>176.5</v>
      </c>
      <c r="F5858" s="11"/>
    </row>
    <row r="5859" spans="1:6">
      <c r="A5859" s="5" t="str">
        <f t="shared" si="101"/>
        <v>202319</v>
      </c>
      <c r="B5859" s="5" t="str">
        <f>"23085043911"</f>
        <v>23085043911</v>
      </c>
      <c r="C5859" s="6">
        <v>76.5</v>
      </c>
      <c r="D5859" s="6">
        <v>99.5</v>
      </c>
      <c r="E5859" s="6">
        <v>176</v>
      </c>
      <c r="F5859" s="11"/>
    </row>
    <row r="5860" spans="1:6">
      <c r="A5860" s="5" t="str">
        <f t="shared" si="101"/>
        <v>202319</v>
      </c>
      <c r="B5860" s="5" t="str">
        <f>"23085044124"</f>
        <v>23085044124</v>
      </c>
      <c r="C5860" s="6">
        <v>66</v>
      </c>
      <c r="D5860" s="6">
        <v>110</v>
      </c>
      <c r="E5860" s="6">
        <v>176</v>
      </c>
      <c r="F5860" s="11"/>
    </row>
    <row r="5861" spans="1:6">
      <c r="A5861" s="5" t="str">
        <f t="shared" si="101"/>
        <v>202319</v>
      </c>
      <c r="B5861" s="5" t="str">
        <f>"23085044218"</f>
        <v>23085044218</v>
      </c>
      <c r="C5861" s="6">
        <v>82.5</v>
      </c>
      <c r="D5861" s="6">
        <v>93.5</v>
      </c>
      <c r="E5861" s="6">
        <v>176</v>
      </c>
      <c r="F5861" s="11"/>
    </row>
    <row r="5862" spans="1:6">
      <c r="A5862" s="5" t="str">
        <f t="shared" si="101"/>
        <v>202319</v>
      </c>
      <c r="B5862" s="5" t="str">
        <f>"23085044919"</f>
        <v>23085044919</v>
      </c>
      <c r="C5862" s="6">
        <v>84</v>
      </c>
      <c r="D5862" s="6">
        <v>92</v>
      </c>
      <c r="E5862" s="6">
        <v>176</v>
      </c>
      <c r="F5862" s="11"/>
    </row>
    <row r="5863" spans="1:6">
      <c r="A5863" s="5" t="str">
        <f t="shared" si="101"/>
        <v>202319</v>
      </c>
      <c r="B5863" s="5" t="str">
        <f>"23085043520"</f>
        <v>23085043520</v>
      </c>
      <c r="C5863" s="6">
        <v>63</v>
      </c>
      <c r="D5863" s="6">
        <v>113</v>
      </c>
      <c r="E5863" s="6">
        <v>176</v>
      </c>
      <c r="F5863" s="11"/>
    </row>
    <row r="5864" spans="1:6">
      <c r="A5864" s="5" t="str">
        <f t="shared" si="101"/>
        <v>202319</v>
      </c>
      <c r="B5864" s="5" t="str">
        <f>"23085044324"</f>
        <v>23085044324</v>
      </c>
      <c r="C5864" s="6">
        <v>69</v>
      </c>
      <c r="D5864" s="6">
        <v>107</v>
      </c>
      <c r="E5864" s="6">
        <v>176</v>
      </c>
      <c r="F5864" s="11"/>
    </row>
    <row r="5865" spans="1:6">
      <c r="A5865" s="5" t="str">
        <f t="shared" si="101"/>
        <v>202319</v>
      </c>
      <c r="B5865" s="5" t="str">
        <f>"23085044623"</f>
        <v>23085044623</v>
      </c>
      <c r="C5865" s="6">
        <v>70.5</v>
      </c>
      <c r="D5865" s="6">
        <v>105</v>
      </c>
      <c r="E5865" s="6">
        <v>175.5</v>
      </c>
      <c r="F5865" s="11"/>
    </row>
    <row r="5866" spans="1:6">
      <c r="A5866" s="5" t="str">
        <f t="shared" si="101"/>
        <v>202319</v>
      </c>
      <c r="B5866" s="5" t="str">
        <f>"23085043212"</f>
        <v>23085043212</v>
      </c>
      <c r="C5866" s="6">
        <v>61.5</v>
      </c>
      <c r="D5866" s="6">
        <v>113.5</v>
      </c>
      <c r="E5866" s="6">
        <v>175</v>
      </c>
      <c r="F5866" s="11"/>
    </row>
    <row r="5867" spans="1:6">
      <c r="A5867" s="5" t="str">
        <f t="shared" si="101"/>
        <v>202319</v>
      </c>
      <c r="B5867" s="5" t="str">
        <f>"23085044804"</f>
        <v>23085044804</v>
      </c>
      <c r="C5867" s="6">
        <v>63</v>
      </c>
      <c r="D5867" s="6">
        <v>112</v>
      </c>
      <c r="E5867" s="6">
        <v>175</v>
      </c>
      <c r="F5867" s="11"/>
    </row>
    <row r="5868" spans="1:6">
      <c r="A5868" s="5" t="str">
        <f t="shared" si="101"/>
        <v>202319</v>
      </c>
      <c r="B5868" s="5" t="str">
        <f>"23085044308"</f>
        <v>23085044308</v>
      </c>
      <c r="C5868" s="6">
        <v>67.5</v>
      </c>
      <c r="D5868" s="6">
        <v>107</v>
      </c>
      <c r="E5868" s="6">
        <v>174.5</v>
      </c>
      <c r="F5868" s="11"/>
    </row>
    <row r="5869" spans="1:6">
      <c r="A5869" s="5" t="str">
        <f t="shared" si="101"/>
        <v>202319</v>
      </c>
      <c r="B5869" s="5" t="str">
        <f>"23085044916"</f>
        <v>23085044916</v>
      </c>
      <c r="C5869" s="6">
        <v>69</v>
      </c>
      <c r="D5869" s="6">
        <v>104.5</v>
      </c>
      <c r="E5869" s="6">
        <v>173.5</v>
      </c>
      <c r="F5869" s="11"/>
    </row>
    <row r="5870" spans="1:6">
      <c r="A5870" s="5" t="str">
        <f t="shared" si="101"/>
        <v>202319</v>
      </c>
      <c r="B5870" s="5" t="str">
        <f>"23085050110"</f>
        <v>23085050110</v>
      </c>
      <c r="C5870" s="6">
        <v>91.5</v>
      </c>
      <c r="D5870" s="6">
        <v>82</v>
      </c>
      <c r="E5870" s="6">
        <v>173.5</v>
      </c>
      <c r="F5870" s="11"/>
    </row>
    <row r="5871" spans="1:6">
      <c r="A5871" s="5" t="str">
        <f t="shared" si="101"/>
        <v>202319</v>
      </c>
      <c r="B5871" s="5" t="str">
        <f>"23085043906"</f>
        <v>23085043906</v>
      </c>
      <c r="C5871" s="6">
        <v>73.5</v>
      </c>
      <c r="D5871" s="6">
        <v>100</v>
      </c>
      <c r="E5871" s="6">
        <v>173.5</v>
      </c>
      <c r="F5871" s="11"/>
    </row>
    <row r="5872" spans="1:6">
      <c r="A5872" s="5" t="str">
        <f t="shared" si="101"/>
        <v>202319</v>
      </c>
      <c r="B5872" s="5" t="str">
        <f>"23085043625"</f>
        <v>23085043625</v>
      </c>
      <c r="C5872" s="6">
        <v>72</v>
      </c>
      <c r="D5872" s="6">
        <v>101</v>
      </c>
      <c r="E5872" s="6">
        <v>173</v>
      </c>
      <c r="F5872" s="11"/>
    </row>
    <row r="5873" spans="1:6">
      <c r="A5873" s="5" t="str">
        <f t="shared" si="101"/>
        <v>202319</v>
      </c>
      <c r="B5873" s="5" t="str">
        <f>"23085044622"</f>
        <v>23085044622</v>
      </c>
      <c r="C5873" s="6">
        <v>82.5</v>
      </c>
      <c r="D5873" s="6">
        <v>90.5</v>
      </c>
      <c r="E5873" s="6">
        <v>173</v>
      </c>
      <c r="F5873" s="11"/>
    </row>
    <row r="5874" spans="1:6">
      <c r="A5874" s="5" t="str">
        <f t="shared" si="101"/>
        <v>202319</v>
      </c>
      <c r="B5874" s="5" t="str">
        <f>"23085044829"</f>
        <v>23085044829</v>
      </c>
      <c r="C5874" s="6">
        <v>76.5</v>
      </c>
      <c r="D5874" s="6">
        <v>96</v>
      </c>
      <c r="E5874" s="6">
        <v>172.5</v>
      </c>
      <c r="F5874" s="11"/>
    </row>
    <row r="5875" spans="1:6">
      <c r="A5875" s="5" t="str">
        <f t="shared" si="101"/>
        <v>202319</v>
      </c>
      <c r="B5875" s="5" t="str">
        <f>"23085044610"</f>
        <v>23085044610</v>
      </c>
      <c r="C5875" s="6">
        <v>79.5</v>
      </c>
      <c r="D5875" s="6">
        <v>93</v>
      </c>
      <c r="E5875" s="6">
        <v>172.5</v>
      </c>
      <c r="F5875" s="11"/>
    </row>
    <row r="5876" spans="1:6">
      <c r="A5876" s="5" t="str">
        <f t="shared" si="101"/>
        <v>202319</v>
      </c>
      <c r="B5876" s="5" t="str">
        <f>"23085043309"</f>
        <v>23085043309</v>
      </c>
      <c r="C5876" s="6">
        <v>57</v>
      </c>
      <c r="D5876" s="6">
        <v>114.5</v>
      </c>
      <c r="E5876" s="6">
        <v>171.5</v>
      </c>
      <c r="F5876" s="11"/>
    </row>
    <row r="5877" spans="1:6">
      <c r="A5877" s="5" t="str">
        <f t="shared" si="101"/>
        <v>202319</v>
      </c>
      <c r="B5877" s="5" t="str">
        <f>"23085043916"</f>
        <v>23085043916</v>
      </c>
      <c r="C5877" s="6">
        <v>75</v>
      </c>
      <c r="D5877" s="6">
        <v>96</v>
      </c>
      <c r="E5877" s="6">
        <v>171</v>
      </c>
      <c r="F5877" s="11"/>
    </row>
    <row r="5878" spans="1:6">
      <c r="A5878" s="5" t="str">
        <f t="shared" si="101"/>
        <v>202319</v>
      </c>
      <c r="B5878" s="5" t="str">
        <f>"23085043320"</f>
        <v>23085043320</v>
      </c>
      <c r="C5878" s="6">
        <v>69</v>
      </c>
      <c r="D5878" s="6">
        <v>100.5</v>
      </c>
      <c r="E5878" s="6">
        <v>169.5</v>
      </c>
      <c r="F5878" s="11"/>
    </row>
    <row r="5879" spans="1:6">
      <c r="A5879" s="5" t="str">
        <f t="shared" si="101"/>
        <v>202319</v>
      </c>
      <c r="B5879" s="5" t="str">
        <f>"23085043402"</f>
        <v>23085043402</v>
      </c>
      <c r="C5879" s="6">
        <v>60</v>
      </c>
      <c r="D5879" s="6">
        <v>109.5</v>
      </c>
      <c r="E5879" s="6">
        <v>169.5</v>
      </c>
      <c r="F5879" s="11"/>
    </row>
    <row r="5880" spans="1:6">
      <c r="A5880" s="5" t="str">
        <f t="shared" si="101"/>
        <v>202319</v>
      </c>
      <c r="B5880" s="5" t="str">
        <f>"23085044329"</f>
        <v>23085044329</v>
      </c>
      <c r="C5880" s="6">
        <v>66</v>
      </c>
      <c r="D5880" s="6">
        <v>103.5</v>
      </c>
      <c r="E5880" s="6">
        <v>169.5</v>
      </c>
      <c r="F5880" s="11"/>
    </row>
    <row r="5881" spans="1:6">
      <c r="A5881" s="5" t="str">
        <f t="shared" si="101"/>
        <v>202319</v>
      </c>
      <c r="B5881" s="5" t="str">
        <f>"23085043621"</f>
        <v>23085043621</v>
      </c>
      <c r="C5881" s="6">
        <v>52.5</v>
      </c>
      <c r="D5881" s="6">
        <v>116</v>
      </c>
      <c r="E5881" s="6">
        <v>168.5</v>
      </c>
      <c r="F5881" s="11"/>
    </row>
    <row r="5882" spans="1:6">
      <c r="A5882" s="5" t="str">
        <f t="shared" si="101"/>
        <v>202319</v>
      </c>
      <c r="B5882" s="5" t="str">
        <f>"23085043323"</f>
        <v>23085043323</v>
      </c>
      <c r="C5882" s="6">
        <v>55.5</v>
      </c>
      <c r="D5882" s="6">
        <v>112</v>
      </c>
      <c r="E5882" s="6">
        <v>167.5</v>
      </c>
      <c r="F5882" s="11"/>
    </row>
    <row r="5883" spans="1:6">
      <c r="A5883" s="5" t="str">
        <f t="shared" si="101"/>
        <v>202319</v>
      </c>
      <c r="B5883" s="5" t="str">
        <f>"23085044428"</f>
        <v>23085044428</v>
      </c>
      <c r="C5883" s="6">
        <v>63</v>
      </c>
      <c r="D5883" s="6">
        <v>104.5</v>
      </c>
      <c r="E5883" s="6">
        <v>167.5</v>
      </c>
      <c r="F5883" s="11"/>
    </row>
    <row r="5884" spans="1:6">
      <c r="A5884" s="5" t="str">
        <f t="shared" si="101"/>
        <v>202319</v>
      </c>
      <c r="B5884" s="5" t="str">
        <f>"23085044226"</f>
        <v>23085044226</v>
      </c>
      <c r="C5884" s="6">
        <v>88.5</v>
      </c>
      <c r="D5884" s="6">
        <v>79</v>
      </c>
      <c r="E5884" s="6">
        <v>167.5</v>
      </c>
      <c r="F5884" s="11"/>
    </row>
    <row r="5885" spans="1:6">
      <c r="A5885" s="5" t="str">
        <f t="shared" si="101"/>
        <v>202319</v>
      </c>
      <c r="B5885" s="5" t="str">
        <f>"23085050408"</f>
        <v>23085050408</v>
      </c>
      <c r="C5885" s="6">
        <v>55.5</v>
      </c>
      <c r="D5885" s="6">
        <v>111.5</v>
      </c>
      <c r="E5885" s="6">
        <v>167</v>
      </c>
      <c r="F5885" s="11"/>
    </row>
    <row r="5886" spans="1:6">
      <c r="A5886" s="5" t="str">
        <f t="shared" si="101"/>
        <v>202319</v>
      </c>
      <c r="B5886" s="5" t="str">
        <f>"23085045006"</f>
        <v>23085045006</v>
      </c>
      <c r="C5886" s="6">
        <v>75</v>
      </c>
      <c r="D5886" s="6">
        <v>91</v>
      </c>
      <c r="E5886" s="6">
        <v>166</v>
      </c>
      <c r="F5886" s="11"/>
    </row>
    <row r="5887" spans="1:6">
      <c r="A5887" s="5" t="str">
        <f t="shared" si="101"/>
        <v>202319</v>
      </c>
      <c r="B5887" s="5" t="str">
        <f>"23085044603"</f>
        <v>23085044603</v>
      </c>
      <c r="C5887" s="6">
        <v>73.5</v>
      </c>
      <c r="D5887" s="6">
        <v>92</v>
      </c>
      <c r="E5887" s="6">
        <v>165.5</v>
      </c>
      <c r="F5887" s="11"/>
    </row>
    <row r="5888" spans="1:6">
      <c r="A5888" s="5" t="str">
        <f t="shared" si="101"/>
        <v>202319</v>
      </c>
      <c r="B5888" s="5" t="str">
        <f>"23085043412"</f>
        <v>23085043412</v>
      </c>
      <c r="C5888" s="6">
        <v>63</v>
      </c>
      <c r="D5888" s="6">
        <v>102.5</v>
      </c>
      <c r="E5888" s="6">
        <v>165.5</v>
      </c>
      <c r="F5888" s="11"/>
    </row>
    <row r="5889" spans="1:6">
      <c r="A5889" s="5" t="str">
        <f t="shared" si="101"/>
        <v>202319</v>
      </c>
      <c r="B5889" s="5" t="str">
        <f>"23085044411"</f>
        <v>23085044411</v>
      </c>
      <c r="C5889" s="6">
        <v>60</v>
      </c>
      <c r="D5889" s="6">
        <v>102</v>
      </c>
      <c r="E5889" s="6">
        <v>162</v>
      </c>
      <c r="F5889" s="11"/>
    </row>
    <row r="5890" spans="1:6">
      <c r="A5890" s="5" t="str">
        <f t="shared" si="101"/>
        <v>202319</v>
      </c>
      <c r="B5890" s="5" t="str">
        <f>"23085044524"</f>
        <v>23085044524</v>
      </c>
      <c r="C5890" s="6">
        <v>76.5</v>
      </c>
      <c r="D5890" s="6">
        <v>85</v>
      </c>
      <c r="E5890" s="6">
        <v>161.5</v>
      </c>
      <c r="F5890" s="11"/>
    </row>
    <row r="5891" spans="1:6">
      <c r="A5891" s="5" t="str">
        <f t="shared" si="101"/>
        <v>202319</v>
      </c>
      <c r="B5891" s="5" t="str">
        <f>"23085044910"</f>
        <v>23085044910</v>
      </c>
      <c r="C5891" s="6">
        <v>85.5</v>
      </c>
      <c r="D5891" s="6">
        <v>74.5</v>
      </c>
      <c r="E5891" s="6">
        <v>160</v>
      </c>
      <c r="F5891" s="11"/>
    </row>
    <row r="5892" spans="1:6">
      <c r="A5892" s="5" t="str">
        <f t="shared" si="101"/>
        <v>202319</v>
      </c>
      <c r="B5892" s="5" t="str">
        <f>"23085044417"</f>
        <v>23085044417</v>
      </c>
      <c r="C5892" s="6">
        <v>54</v>
      </c>
      <c r="D5892" s="6">
        <v>105.5</v>
      </c>
      <c r="E5892" s="6">
        <v>159.5</v>
      </c>
      <c r="F5892" s="11"/>
    </row>
    <row r="5893" spans="1:6">
      <c r="A5893" s="5" t="str">
        <f t="shared" si="101"/>
        <v>202319</v>
      </c>
      <c r="B5893" s="5" t="str">
        <f>"23085043620"</f>
        <v>23085043620</v>
      </c>
      <c r="C5893" s="6">
        <v>72</v>
      </c>
      <c r="D5893" s="6">
        <v>87.5</v>
      </c>
      <c r="E5893" s="6">
        <v>159.5</v>
      </c>
      <c r="F5893" s="11"/>
    </row>
    <row r="5894" spans="1:6">
      <c r="A5894" s="5" t="str">
        <f t="shared" si="101"/>
        <v>202319</v>
      </c>
      <c r="B5894" s="5" t="str">
        <f>"23085044113"</f>
        <v>23085044113</v>
      </c>
      <c r="C5894" s="6">
        <v>45</v>
      </c>
      <c r="D5894" s="6">
        <v>111</v>
      </c>
      <c r="E5894" s="6">
        <v>156</v>
      </c>
      <c r="F5894" s="11"/>
    </row>
    <row r="5895" spans="1:6">
      <c r="A5895" s="5" t="str">
        <f t="shared" si="101"/>
        <v>202319</v>
      </c>
      <c r="B5895" s="5" t="str">
        <f>"23085050122"</f>
        <v>23085050122</v>
      </c>
      <c r="C5895" s="6">
        <v>46.5</v>
      </c>
      <c r="D5895" s="6">
        <v>107</v>
      </c>
      <c r="E5895" s="6">
        <v>153.5</v>
      </c>
      <c r="F5895" s="11"/>
    </row>
    <row r="5896" spans="1:6">
      <c r="A5896" s="5" t="str">
        <f t="shared" ref="A5896:A5959" si="102">"202319"</f>
        <v>202319</v>
      </c>
      <c r="B5896" s="5" t="str">
        <f>"23085043730"</f>
        <v>23085043730</v>
      </c>
      <c r="C5896" s="6">
        <v>79.5</v>
      </c>
      <c r="D5896" s="6">
        <v>69.5</v>
      </c>
      <c r="E5896" s="6">
        <v>149</v>
      </c>
      <c r="F5896" s="11"/>
    </row>
    <row r="5897" spans="1:6">
      <c r="A5897" s="5" t="str">
        <f t="shared" si="102"/>
        <v>202319</v>
      </c>
      <c r="B5897" s="5" t="str">
        <f>"23085044930"</f>
        <v>23085044930</v>
      </c>
      <c r="C5897" s="6">
        <v>58.5</v>
      </c>
      <c r="D5897" s="6">
        <v>89</v>
      </c>
      <c r="E5897" s="6">
        <v>147.5</v>
      </c>
      <c r="F5897" s="11"/>
    </row>
    <row r="5898" spans="1:6">
      <c r="A5898" s="5" t="str">
        <f t="shared" si="102"/>
        <v>202319</v>
      </c>
      <c r="B5898" s="5" t="str">
        <f>"23085043926"</f>
        <v>23085043926</v>
      </c>
      <c r="C5898" s="6">
        <v>70.5</v>
      </c>
      <c r="D5898" s="6">
        <v>74</v>
      </c>
      <c r="E5898" s="6">
        <v>144.5</v>
      </c>
      <c r="F5898" s="11"/>
    </row>
    <row r="5899" spans="1:6">
      <c r="A5899" s="5" t="str">
        <f t="shared" si="102"/>
        <v>202319</v>
      </c>
      <c r="B5899" s="5" t="str">
        <f>"23085044207"</f>
        <v>23085044207</v>
      </c>
      <c r="C5899" s="6">
        <v>70.5</v>
      </c>
      <c r="D5899" s="6">
        <v>71</v>
      </c>
      <c r="E5899" s="6">
        <v>141.5</v>
      </c>
      <c r="F5899" s="11"/>
    </row>
    <row r="5900" spans="1:6">
      <c r="A5900" s="5" t="str">
        <f t="shared" si="102"/>
        <v>202319</v>
      </c>
      <c r="B5900" s="5" t="str">
        <f>"23085044123"</f>
        <v>23085044123</v>
      </c>
      <c r="C5900" s="6">
        <v>64.5</v>
      </c>
      <c r="D5900" s="6">
        <v>76</v>
      </c>
      <c r="E5900" s="6">
        <v>140.5</v>
      </c>
      <c r="F5900" s="11"/>
    </row>
    <row r="5901" spans="1:6">
      <c r="A5901" s="5" t="str">
        <f t="shared" si="102"/>
        <v>202319</v>
      </c>
      <c r="B5901" s="5" t="str">
        <f>"23085043612"</f>
        <v>23085043612</v>
      </c>
      <c r="C5901" s="6">
        <v>61.5</v>
      </c>
      <c r="D5901" s="6">
        <v>76.5</v>
      </c>
      <c r="E5901" s="6">
        <v>138</v>
      </c>
      <c r="F5901" s="11"/>
    </row>
    <row r="5902" spans="1:6">
      <c r="A5902" s="5" t="str">
        <f t="shared" si="102"/>
        <v>202319</v>
      </c>
      <c r="B5902" s="5" t="str">
        <f>"23085043813"</f>
        <v>23085043813</v>
      </c>
      <c r="C5902" s="6">
        <v>63</v>
      </c>
      <c r="D5902" s="6">
        <v>73</v>
      </c>
      <c r="E5902" s="6">
        <v>136</v>
      </c>
      <c r="F5902" s="11"/>
    </row>
    <row r="5903" spans="1:6">
      <c r="A5903" s="5" t="str">
        <f t="shared" si="102"/>
        <v>202319</v>
      </c>
      <c r="B5903" s="5" t="str">
        <f>"23085043714"</f>
        <v>23085043714</v>
      </c>
      <c r="C5903" s="6">
        <v>70.5</v>
      </c>
      <c r="D5903" s="6">
        <v>62</v>
      </c>
      <c r="E5903" s="6">
        <v>132.5</v>
      </c>
      <c r="F5903" s="11"/>
    </row>
    <row r="5904" spans="1:6">
      <c r="A5904" s="5" t="str">
        <f t="shared" si="102"/>
        <v>202319</v>
      </c>
      <c r="B5904" s="5" t="str">
        <f>"23085043818"</f>
        <v>23085043818</v>
      </c>
      <c r="C5904" s="6">
        <v>54</v>
      </c>
      <c r="D5904" s="6">
        <v>73.5</v>
      </c>
      <c r="E5904" s="6">
        <v>127.5</v>
      </c>
      <c r="F5904" s="11"/>
    </row>
    <row r="5905" spans="1:6">
      <c r="A5905" s="5" t="str">
        <f t="shared" si="102"/>
        <v>202319</v>
      </c>
      <c r="B5905" s="5" t="str">
        <f>"23085050303"</f>
        <v>23085050303</v>
      </c>
      <c r="C5905" s="6">
        <v>12</v>
      </c>
      <c r="D5905" s="6">
        <v>109</v>
      </c>
      <c r="E5905" s="6">
        <v>121</v>
      </c>
      <c r="F5905" s="11"/>
    </row>
    <row r="5906" spans="1:6">
      <c r="A5906" s="5" t="str">
        <f t="shared" si="102"/>
        <v>202319</v>
      </c>
      <c r="B5906" s="5" t="str">
        <f>"23085043223"</f>
        <v>23085043223</v>
      </c>
      <c r="C5906" s="6">
        <v>72</v>
      </c>
      <c r="D5906" s="6">
        <v>38</v>
      </c>
      <c r="E5906" s="6">
        <v>110</v>
      </c>
      <c r="F5906" s="11"/>
    </row>
    <row r="5907" spans="1:6">
      <c r="A5907" s="5" t="str">
        <f t="shared" si="102"/>
        <v>202319</v>
      </c>
      <c r="B5907" s="5" t="str">
        <f>"23085044126"</f>
        <v>23085044126</v>
      </c>
      <c r="C5907" s="6">
        <v>36</v>
      </c>
      <c r="D5907" s="6">
        <v>64.5</v>
      </c>
      <c r="E5907" s="6">
        <v>100.5</v>
      </c>
      <c r="F5907" s="11"/>
    </row>
    <row r="5908" spans="1:6">
      <c r="A5908" s="5" t="str">
        <f t="shared" si="102"/>
        <v>202319</v>
      </c>
      <c r="B5908" s="5" t="str">
        <f>"23085044425"</f>
        <v>23085044425</v>
      </c>
      <c r="C5908" s="6">
        <v>28.5</v>
      </c>
      <c r="D5908" s="6">
        <v>45.5</v>
      </c>
      <c r="E5908" s="6">
        <v>74</v>
      </c>
      <c r="F5908" s="11"/>
    </row>
    <row r="5909" spans="1:6">
      <c r="A5909" s="5" t="str">
        <f t="shared" si="102"/>
        <v>202319</v>
      </c>
      <c r="B5909" s="5" t="str">
        <f>"23085043909"</f>
        <v>23085043909</v>
      </c>
      <c r="C5909" s="6">
        <v>0</v>
      </c>
      <c r="D5909" s="6">
        <v>0</v>
      </c>
      <c r="E5909" s="6">
        <v>0</v>
      </c>
      <c r="F5909" s="11" t="s">
        <v>7</v>
      </c>
    </row>
    <row r="5910" spans="1:6">
      <c r="A5910" s="5" t="str">
        <f t="shared" si="102"/>
        <v>202319</v>
      </c>
      <c r="B5910" s="5" t="str">
        <f>"23085044023"</f>
        <v>23085044023</v>
      </c>
      <c r="C5910" s="6">
        <v>0</v>
      </c>
      <c r="D5910" s="6">
        <v>0</v>
      </c>
      <c r="E5910" s="6">
        <v>0</v>
      </c>
      <c r="F5910" s="11" t="s">
        <v>7</v>
      </c>
    </row>
    <row r="5911" spans="1:6">
      <c r="A5911" s="5" t="str">
        <f t="shared" si="102"/>
        <v>202319</v>
      </c>
      <c r="B5911" s="5" t="str">
        <f>"23085050106"</f>
        <v>23085050106</v>
      </c>
      <c r="C5911" s="6">
        <v>0</v>
      </c>
      <c r="D5911" s="6">
        <v>0</v>
      </c>
      <c r="E5911" s="6">
        <v>0</v>
      </c>
      <c r="F5911" s="11" t="s">
        <v>7</v>
      </c>
    </row>
    <row r="5912" spans="1:6">
      <c r="A5912" s="5" t="str">
        <f t="shared" si="102"/>
        <v>202319</v>
      </c>
      <c r="B5912" s="5" t="str">
        <f>"23085050205"</f>
        <v>23085050205</v>
      </c>
      <c r="C5912" s="6">
        <v>0</v>
      </c>
      <c r="D5912" s="6">
        <v>0</v>
      </c>
      <c r="E5912" s="6">
        <v>0</v>
      </c>
      <c r="F5912" s="11" t="s">
        <v>7</v>
      </c>
    </row>
    <row r="5913" spans="1:6">
      <c r="A5913" s="5" t="str">
        <f t="shared" si="102"/>
        <v>202319</v>
      </c>
      <c r="B5913" s="5" t="str">
        <f>"23085044928"</f>
        <v>23085044928</v>
      </c>
      <c r="C5913" s="6">
        <v>0</v>
      </c>
      <c r="D5913" s="6">
        <v>0</v>
      </c>
      <c r="E5913" s="6">
        <v>0</v>
      </c>
      <c r="F5913" s="11" t="s">
        <v>7</v>
      </c>
    </row>
    <row r="5914" spans="1:6">
      <c r="A5914" s="5" t="str">
        <f t="shared" si="102"/>
        <v>202319</v>
      </c>
      <c r="B5914" s="5" t="str">
        <f>"23085043728"</f>
        <v>23085043728</v>
      </c>
      <c r="C5914" s="6">
        <v>0</v>
      </c>
      <c r="D5914" s="6">
        <v>0</v>
      </c>
      <c r="E5914" s="6">
        <v>0</v>
      </c>
      <c r="F5914" s="11" t="s">
        <v>7</v>
      </c>
    </row>
    <row r="5915" spans="1:6">
      <c r="A5915" s="5" t="str">
        <f t="shared" si="102"/>
        <v>202319</v>
      </c>
      <c r="B5915" s="5" t="str">
        <f>"23085044320"</f>
        <v>23085044320</v>
      </c>
      <c r="C5915" s="6">
        <v>0</v>
      </c>
      <c r="D5915" s="6">
        <v>0</v>
      </c>
      <c r="E5915" s="6">
        <v>0</v>
      </c>
      <c r="F5915" s="11" t="s">
        <v>7</v>
      </c>
    </row>
    <row r="5916" spans="1:6">
      <c r="A5916" s="5" t="str">
        <f t="shared" si="102"/>
        <v>202319</v>
      </c>
      <c r="B5916" s="5" t="str">
        <f>"23085043629"</f>
        <v>23085043629</v>
      </c>
      <c r="C5916" s="6">
        <v>0</v>
      </c>
      <c r="D5916" s="6">
        <v>0</v>
      </c>
      <c r="E5916" s="6">
        <v>0</v>
      </c>
      <c r="F5916" s="11" t="s">
        <v>7</v>
      </c>
    </row>
    <row r="5917" spans="1:6">
      <c r="A5917" s="5" t="str">
        <f t="shared" si="102"/>
        <v>202319</v>
      </c>
      <c r="B5917" s="5" t="str">
        <f>"23085043826"</f>
        <v>23085043826</v>
      </c>
      <c r="C5917" s="6">
        <v>0</v>
      </c>
      <c r="D5917" s="6">
        <v>0</v>
      </c>
      <c r="E5917" s="6">
        <v>0</v>
      </c>
      <c r="F5917" s="11" t="s">
        <v>7</v>
      </c>
    </row>
    <row r="5918" spans="1:6">
      <c r="A5918" s="5" t="str">
        <f t="shared" si="102"/>
        <v>202319</v>
      </c>
      <c r="B5918" s="5" t="str">
        <f>"23085044029"</f>
        <v>23085044029</v>
      </c>
      <c r="C5918" s="6">
        <v>0</v>
      </c>
      <c r="D5918" s="6">
        <v>0</v>
      </c>
      <c r="E5918" s="6">
        <v>0</v>
      </c>
      <c r="F5918" s="11" t="s">
        <v>7</v>
      </c>
    </row>
    <row r="5919" spans="1:6">
      <c r="A5919" s="5" t="str">
        <f t="shared" si="102"/>
        <v>202319</v>
      </c>
      <c r="B5919" s="5" t="str">
        <f>"23085043228"</f>
        <v>23085043228</v>
      </c>
      <c r="C5919" s="6">
        <v>0</v>
      </c>
      <c r="D5919" s="6">
        <v>0</v>
      </c>
      <c r="E5919" s="6">
        <v>0</v>
      </c>
      <c r="F5919" s="11" t="s">
        <v>7</v>
      </c>
    </row>
    <row r="5920" spans="1:6">
      <c r="A5920" s="5" t="str">
        <f t="shared" si="102"/>
        <v>202319</v>
      </c>
      <c r="B5920" s="5" t="str">
        <f>"23085044816"</f>
        <v>23085044816</v>
      </c>
      <c r="C5920" s="6">
        <v>0</v>
      </c>
      <c r="D5920" s="6">
        <v>0</v>
      </c>
      <c r="E5920" s="6">
        <v>0</v>
      </c>
      <c r="F5920" s="11" t="s">
        <v>7</v>
      </c>
    </row>
    <row r="5921" spans="1:6">
      <c r="A5921" s="5" t="str">
        <f t="shared" si="102"/>
        <v>202319</v>
      </c>
      <c r="B5921" s="5" t="str">
        <f>"23085044604"</f>
        <v>23085044604</v>
      </c>
      <c r="C5921" s="6">
        <v>0</v>
      </c>
      <c r="D5921" s="6">
        <v>0</v>
      </c>
      <c r="E5921" s="6">
        <v>0</v>
      </c>
      <c r="F5921" s="11" t="s">
        <v>7</v>
      </c>
    </row>
    <row r="5922" spans="1:6">
      <c r="A5922" s="5" t="str">
        <f t="shared" si="102"/>
        <v>202319</v>
      </c>
      <c r="B5922" s="5" t="str">
        <f>"23085043301"</f>
        <v>23085043301</v>
      </c>
      <c r="C5922" s="6">
        <v>0</v>
      </c>
      <c r="D5922" s="6">
        <v>0</v>
      </c>
      <c r="E5922" s="6">
        <v>0</v>
      </c>
      <c r="F5922" s="11" t="s">
        <v>7</v>
      </c>
    </row>
    <row r="5923" spans="1:6">
      <c r="A5923" s="5" t="str">
        <f t="shared" si="102"/>
        <v>202319</v>
      </c>
      <c r="B5923" s="5" t="str">
        <f>"23085043723"</f>
        <v>23085043723</v>
      </c>
      <c r="C5923" s="6">
        <v>0</v>
      </c>
      <c r="D5923" s="6">
        <v>0</v>
      </c>
      <c r="E5923" s="6">
        <v>0</v>
      </c>
      <c r="F5923" s="11" t="s">
        <v>7</v>
      </c>
    </row>
    <row r="5924" spans="1:6">
      <c r="A5924" s="5" t="str">
        <f t="shared" si="102"/>
        <v>202319</v>
      </c>
      <c r="B5924" s="5" t="str">
        <f>"23085050202"</f>
        <v>23085050202</v>
      </c>
      <c r="C5924" s="6">
        <v>0</v>
      </c>
      <c r="D5924" s="6">
        <v>0</v>
      </c>
      <c r="E5924" s="6">
        <v>0</v>
      </c>
      <c r="F5924" s="11" t="s">
        <v>7</v>
      </c>
    </row>
    <row r="5925" spans="1:6">
      <c r="A5925" s="5" t="str">
        <f t="shared" si="102"/>
        <v>202319</v>
      </c>
      <c r="B5925" s="5" t="str">
        <f>"23085044620"</f>
        <v>23085044620</v>
      </c>
      <c r="C5925" s="6">
        <v>0</v>
      </c>
      <c r="D5925" s="6">
        <v>0</v>
      </c>
      <c r="E5925" s="6">
        <v>0</v>
      </c>
      <c r="F5925" s="11" t="s">
        <v>7</v>
      </c>
    </row>
    <row r="5926" spans="1:6">
      <c r="A5926" s="5" t="str">
        <f t="shared" si="102"/>
        <v>202319</v>
      </c>
      <c r="B5926" s="5" t="str">
        <f>"23085044522"</f>
        <v>23085044522</v>
      </c>
      <c r="C5926" s="6">
        <v>0</v>
      </c>
      <c r="D5926" s="6">
        <v>0</v>
      </c>
      <c r="E5926" s="6">
        <v>0</v>
      </c>
      <c r="F5926" s="11" t="s">
        <v>7</v>
      </c>
    </row>
    <row r="5927" spans="1:6">
      <c r="A5927" s="5" t="str">
        <f t="shared" si="102"/>
        <v>202319</v>
      </c>
      <c r="B5927" s="5" t="str">
        <f>"23085043615"</f>
        <v>23085043615</v>
      </c>
      <c r="C5927" s="6">
        <v>0</v>
      </c>
      <c r="D5927" s="6">
        <v>0</v>
      </c>
      <c r="E5927" s="6">
        <v>0</v>
      </c>
      <c r="F5927" s="11" t="s">
        <v>7</v>
      </c>
    </row>
    <row r="5928" spans="1:6">
      <c r="A5928" s="5" t="str">
        <f t="shared" si="102"/>
        <v>202319</v>
      </c>
      <c r="B5928" s="5" t="str">
        <f>"23085050229"</f>
        <v>23085050229</v>
      </c>
      <c r="C5928" s="6">
        <v>0</v>
      </c>
      <c r="D5928" s="6">
        <v>0</v>
      </c>
      <c r="E5928" s="6">
        <v>0</v>
      </c>
      <c r="F5928" s="11" t="s">
        <v>7</v>
      </c>
    </row>
    <row r="5929" spans="1:6">
      <c r="A5929" s="5" t="str">
        <f t="shared" si="102"/>
        <v>202319</v>
      </c>
      <c r="B5929" s="5" t="str">
        <f>"23085044102"</f>
        <v>23085044102</v>
      </c>
      <c r="C5929" s="6">
        <v>0</v>
      </c>
      <c r="D5929" s="6">
        <v>0</v>
      </c>
      <c r="E5929" s="6">
        <v>0</v>
      </c>
      <c r="F5929" s="11" t="s">
        <v>7</v>
      </c>
    </row>
    <row r="5930" spans="1:6">
      <c r="A5930" s="5" t="str">
        <f t="shared" si="102"/>
        <v>202319</v>
      </c>
      <c r="B5930" s="5" t="str">
        <f>"23085043408"</f>
        <v>23085043408</v>
      </c>
      <c r="C5930" s="6">
        <v>0</v>
      </c>
      <c r="D5930" s="6">
        <v>0</v>
      </c>
      <c r="E5930" s="6">
        <v>0</v>
      </c>
      <c r="F5930" s="11" t="s">
        <v>7</v>
      </c>
    </row>
    <row r="5931" spans="1:6">
      <c r="A5931" s="5" t="str">
        <f t="shared" si="102"/>
        <v>202319</v>
      </c>
      <c r="B5931" s="5" t="str">
        <f>"23085044016"</f>
        <v>23085044016</v>
      </c>
      <c r="C5931" s="6">
        <v>0</v>
      </c>
      <c r="D5931" s="6">
        <v>0</v>
      </c>
      <c r="E5931" s="6">
        <v>0</v>
      </c>
      <c r="F5931" s="11" t="s">
        <v>7</v>
      </c>
    </row>
    <row r="5932" spans="1:6">
      <c r="A5932" s="5" t="str">
        <f t="shared" si="102"/>
        <v>202319</v>
      </c>
      <c r="B5932" s="5" t="str">
        <f>"23085043312"</f>
        <v>23085043312</v>
      </c>
      <c r="C5932" s="6">
        <v>0</v>
      </c>
      <c r="D5932" s="6">
        <v>0</v>
      </c>
      <c r="E5932" s="6">
        <v>0</v>
      </c>
      <c r="F5932" s="11" t="s">
        <v>7</v>
      </c>
    </row>
    <row r="5933" spans="1:6">
      <c r="A5933" s="5" t="str">
        <f t="shared" si="102"/>
        <v>202319</v>
      </c>
      <c r="B5933" s="5" t="str">
        <f>"23085044629"</f>
        <v>23085044629</v>
      </c>
      <c r="C5933" s="6">
        <v>0</v>
      </c>
      <c r="D5933" s="6">
        <v>0</v>
      </c>
      <c r="E5933" s="6">
        <v>0</v>
      </c>
      <c r="F5933" s="11" t="s">
        <v>7</v>
      </c>
    </row>
    <row r="5934" spans="1:6">
      <c r="A5934" s="5" t="str">
        <f t="shared" si="102"/>
        <v>202319</v>
      </c>
      <c r="B5934" s="5" t="str">
        <f>"23085043608"</f>
        <v>23085043608</v>
      </c>
      <c r="C5934" s="6">
        <v>0</v>
      </c>
      <c r="D5934" s="6">
        <v>0</v>
      </c>
      <c r="E5934" s="6">
        <v>0</v>
      </c>
      <c r="F5934" s="11" t="s">
        <v>7</v>
      </c>
    </row>
    <row r="5935" spans="1:6">
      <c r="A5935" s="5" t="str">
        <f t="shared" si="102"/>
        <v>202319</v>
      </c>
      <c r="B5935" s="5" t="str">
        <f>"23085043601"</f>
        <v>23085043601</v>
      </c>
      <c r="C5935" s="6">
        <v>0</v>
      </c>
      <c r="D5935" s="6">
        <v>0</v>
      </c>
      <c r="E5935" s="6">
        <v>0</v>
      </c>
      <c r="F5935" s="11" t="s">
        <v>7</v>
      </c>
    </row>
    <row r="5936" spans="1:6">
      <c r="A5936" s="5" t="str">
        <f t="shared" si="102"/>
        <v>202319</v>
      </c>
      <c r="B5936" s="5" t="str">
        <f>"23085044813"</f>
        <v>23085044813</v>
      </c>
      <c r="C5936" s="6">
        <v>0</v>
      </c>
      <c r="D5936" s="6">
        <v>0</v>
      </c>
      <c r="E5936" s="6">
        <v>0</v>
      </c>
      <c r="F5936" s="11" t="s">
        <v>7</v>
      </c>
    </row>
    <row r="5937" spans="1:6">
      <c r="A5937" s="5" t="str">
        <f t="shared" si="102"/>
        <v>202319</v>
      </c>
      <c r="B5937" s="5" t="str">
        <f>"23085044624"</f>
        <v>23085044624</v>
      </c>
      <c r="C5937" s="6">
        <v>0</v>
      </c>
      <c r="D5937" s="6">
        <v>0</v>
      </c>
      <c r="E5937" s="6">
        <v>0</v>
      </c>
      <c r="F5937" s="11" t="s">
        <v>7</v>
      </c>
    </row>
    <row r="5938" spans="1:6">
      <c r="A5938" s="5" t="str">
        <f t="shared" si="102"/>
        <v>202319</v>
      </c>
      <c r="B5938" s="5" t="str">
        <f>"23085044511"</f>
        <v>23085044511</v>
      </c>
      <c r="C5938" s="6">
        <v>0</v>
      </c>
      <c r="D5938" s="6">
        <v>0</v>
      </c>
      <c r="E5938" s="6">
        <v>0</v>
      </c>
      <c r="F5938" s="11" t="s">
        <v>7</v>
      </c>
    </row>
    <row r="5939" spans="1:6">
      <c r="A5939" s="5" t="str">
        <f t="shared" si="102"/>
        <v>202319</v>
      </c>
      <c r="B5939" s="5" t="str">
        <f>"23085043928"</f>
        <v>23085043928</v>
      </c>
      <c r="C5939" s="6">
        <v>0</v>
      </c>
      <c r="D5939" s="6">
        <v>0</v>
      </c>
      <c r="E5939" s="6">
        <v>0</v>
      </c>
      <c r="F5939" s="11" t="s">
        <v>7</v>
      </c>
    </row>
    <row r="5940" spans="1:6">
      <c r="A5940" s="5" t="str">
        <f t="shared" si="102"/>
        <v>202319</v>
      </c>
      <c r="B5940" s="5" t="str">
        <f>"23085044424"</f>
        <v>23085044424</v>
      </c>
      <c r="C5940" s="6">
        <v>0</v>
      </c>
      <c r="D5940" s="6">
        <v>0</v>
      </c>
      <c r="E5940" s="6">
        <v>0</v>
      </c>
      <c r="F5940" s="11" t="s">
        <v>7</v>
      </c>
    </row>
    <row r="5941" spans="1:6">
      <c r="A5941" s="5" t="str">
        <f t="shared" si="102"/>
        <v>202319</v>
      </c>
      <c r="B5941" s="5" t="str">
        <f>"23085044403"</f>
        <v>23085044403</v>
      </c>
      <c r="C5941" s="6">
        <v>0</v>
      </c>
      <c r="D5941" s="6">
        <v>0</v>
      </c>
      <c r="E5941" s="6">
        <v>0</v>
      </c>
      <c r="F5941" s="11" t="s">
        <v>7</v>
      </c>
    </row>
    <row r="5942" spans="1:6">
      <c r="A5942" s="5" t="str">
        <f t="shared" si="102"/>
        <v>202319</v>
      </c>
      <c r="B5942" s="5" t="str">
        <f>"23085050325"</f>
        <v>23085050325</v>
      </c>
      <c r="C5942" s="6">
        <v>0</v>
      </c>
      <c r="D5942" s="6">
        <v>0</v>
      </c>
      <c r="E5942" s="6">
        <v>0</v>
      </c>
      <c r="F5942" s="11" t="s">
        <v>7</v>
      </c>
    </row>
    <row r="5943" spans="1:6">
      <c r="A5943" s="5" t="str">
        <f t="shared" si="102"/>
        <v>202319</v>
      </c>
      <c r="B5943" s="5" t="str">
        <f>"23085044107"</f>
        <v>23085044107</v>
      </c>
      <c r="C5943" s="6">
        <v>0</v>
      </c>
      <c r="D5943" s="6">
        <v>0</v>
      </c>
      <c r="E5943" s="6">
        <v>0</v>
      </c>
      <c r="F5943" s="11" t="s">
        <v>7</v>
      </c>
    </row>
    <row r="5944" spans="1:6">
      <c r="A5944" s="5" t="str">
        <f t="shared" si="102"/>
        <v>202319</v>
      </c>
      <c r="B5944" s="5" t="str">
        <f>"23085044814"</f>
        <v>23085044814</v>
      </c>
      <c r="C5944" s="6">
        <v>0</v>
      </c>
      <c r="D5944" s="6">
        <v>0</v>
      </c>
      <c r="E5944" s="6">
        <v>0</v>
      </c>
      <c r="F5944" s="11" t="s">
        <v>7</v>
      </c>
    </row>
    <row r="5945" spans="1:6">
      <c r="A5945" s="5" t="str">
        <f t="shared" si="102"/>
        <v>202319</v>
      </c>
      <c r="B5945" s="5" t="str">
        <f>"23085043602"</f>
        <v>23085043602</v>
      </c>
      <c r="C5945" s="6">
        <v>0</v>
      </c>
      <c r="D5945" s="6">
        <v>0</v>
      </c>
      <c r="E5945" s="6">
        <v>0</v>
      </c>
      <c r="F5945" s="11" t="s">
        <v>7</v>
      </c>
    </row>
    <row r="5946" spans="1:6">
      <c r="A5946" s="5" t="str">
        <f t="shared" si="102"/>
        <v>202319</v>
      </c>
      <c r="B5946" s="5" t="str">
        <f>"23085044924"</f>
        <v>23085044924</v>
      </c>
      <c r="C5946" s="6">
        <v>0</v>
      </c>
      <c r="D5946" s="6">
        <v>0</v>
      </c>
      <c r="E5946" s="6">
        <v>0</v>
      </c>
      <c r="F5946" s="11" t="s">
        <v>7</v>
      </c>
    </row>
    <row r="5947" spans="1:6">
      <c r="A5947" s="5" t="str">
        <f t="shared" si="102"/>
        <v>202319</v>
      </c>
      <c r="B5947" s="5" t="str">
        <f>"23085044319"</f>
        <v>23085044319</v>
      </c>
      <c r="C5947" s="6">
        <v>0</v>
      </c>
      <c r="D5947" s="6">
        <v>0</v>
      </c>
      <c r="E5947" s="6">
        <v>0</v>
      </c>
      <c r="F5947" s="11" t="s">
        <v>7</v>
      </c>
    </row>
    <row r="5948" spans="1:6">
      <c r="A5948" s="5" t="str">
        <f t="shared" si="102"/>
        <v>202319</v>
      </c>
      <c r="B5948" s="5" t="str">
        <f>"23085043929"</f>
        <v>23085043929</v>
      </c>
      <c r="C5948" s="6">
        <v>0</v>
      </c>
      <c r="D5948" s="6">
        <v>0</v>
      </c>
      <c r="E5948" s="6">
        <v>0</v>
      </c>
      <c r="F5948" s="11" t="s">
        <v>7</v>
      </c>
    </row>
    <row r="5949" spans="1:6">
      <c r="A5949" s="5" t="str">
        <f t="shared" si="102"/>
        <v>202319</v>
      </c>
      <c r="B5949" s="5" t="str">
        <f>"23085043606"</f>
        <v>23085043606</v>
      </c>
      <c r="C5949" s="6">
        <v>0</v>
      </c>
      <c r="D5949" s="6">
        <v>0</v>
      </c>
      <c r="E5949" s="6">
        <v>0</v>
      </c>
      <c r="F5949" s="11" t="s">
        <v>7</v>
      </c>
    </row>
    <row r="5950" spans="1:6">
      <c r="A5950" s="5" t="str">
        <f t="shared" si="102"/>
        <v>202319</v>
      </c>
      <c r="B5950" s="5" t="str">
        <f>"23085044028"</f>
        <v>23085044028</v>
      </c>
      <c r="C5950" s="6">
        <v>0</v>
      </c>
      <c r="D5950" s="6">
        <v>0</v>
      </c>
      <c r="E5950" s="6">
        <v>0</v>
      </c>
      <c r="F5950" s="11" t="s">
        <v>7</v>
      </c>
    </row>
    <row r="5951" spans="1:6">
      <c r="A5951" s="5" t="str">
        <f t="shared" si="102"/>
        <v>202319</v>
      </c>
      <c r="B5951" s="5" t="str">
        <f>"23085044607"</f>
        <v>23085044607</v>
      </c>
      <c r="C5951" s="6">
        <v>0</v>
      </c>
      <c r="D5951" s="6">
        <v>0</v>
      </c>
      <c r="E5951" s="6">
        <v>0</v>
      </c>
      <c r="F5951" s="11" t="s">
        <v>7</v>
      </c>
    </row>
    <row r="5952" spans="1:6">
      <c r="A5952" s="5" t="str">
        <f t="shared" si="102"/>
        <v>202319</v>
      </c>
      <c r="B5952" s="5" t="str">
        <f>"23085050208"</f>
        <v>23085050208</v>
      </c>
      <c r="C5952" s="6">
        <v>0</v>
      </c>
      <c r="D5952" s="6">
        <v>0</v>
      </c>
      <c r="E5952" s="6">
        <v>0</v>
      </c>
      <c r="F5952" s="11" t="s">
        <v>7</v>
      </c>
    </row>
    <row r="5953" spans="1:6">
      <c r="A5953" s="5" t="str">
        <f t="shared" si="102"/>
        <v>202319</v>
      </c>
      <c r="B5953" s="5" t="str">
        <f>"23085044119"</f>
        <v>23085044119</v>
      </c>
      <c r="C5953" s="6">
        <v>0</v>
      </c>
      <c r="D5953" s="6">
        <v>0</v>
      </c>
      <c r="E5953" s="6">
        <v>0</v>
      </c>
      <c r="F5953" s="11" t="s">
        <v>7</v>
      </c>
    </row>
    <row r="5954" spans="1:6">
      <c r="A5954" s="5" t="str">
        <f t="shared" si="102"/>
        <v>202319</v>
      </c>
      <c r="B5954" s="5" t="str">
        <f>"23085050119"</f>
        <v>23085050119</v>
      </c>
      <c r="C5954" s="6">
        <v>0</v>
      </c>
      <c r="D5954" s="6">
        <v>0</v>
      </c>
      <c r="E5954" s="6">
        <v>0</v>
      </c>
      <c r="F5954" s="11" t="s">
        <v>7</v>
      </c>
    </row>
    <row r="5955" spans="1:6">
      <c r="A5955" s="5" t="str">
        <f t="shared" si="102"/>
        <v>202319</v>
      </c>
      <c r="B5955" s="5" t="str">
        <f>"23085050323"</f>
        <v>23085050323</v>
      </c>
      <c r="C5955" s="6">
        <v>0</v>
      </c>
      <c r="D5955" s="6">
        <v>0</v>
      </c>
      <c r="E5955" s="6">
        <v>0</v>
      </c>
      <c r="F5955" s="11" t="s">
        <v>7</v>
      </c>
    </row>
    <row r="5956" spans="1:6">
      <c r="A5956" s="5" t="str">
        <f t="shared" si="102"/>
        <v>202319</v>
      </c>
      <c r="B5956" s="5" t="str">
        <f>"23085044909"</f>
        <v>23085044909</v>
      </c>
      <c r="C5956" s="6">
        <v>0</v>
      </c>
      <c r="D5956" s="6">
        <v>0</v>
      </c>
      <c r="E5956" s="6">
        <v>0</v>
      </c>
      <c r="F5956" s="11" t="s">
        <v>7</v>
      </c>
    </row>
    <row r="5957" spans="1:6">
      <c r="A5957" s="5" t="str">
        <f t="shared" si="102"/>
        <v>202319</v>
      </c>
      <c r="B5957" s="5" t="str">
        <f>"23085043524"</f>
        <v>23085043524</v>
      </c>
      <c r="C5957" s="6">
        <v>0</v>
      </c>
      <c r="D5957" s="6">
        <v>0</v>
      </c>
      <c r="E5957" s="6">
        <v>0</v>
      </c>
      <c r="F5957" s="11" t="s">
        <v>7</v>
      </c>
    </row>
    <row r="5958" spans="1:6">
      <c r="A5958" s="5" t="str">
        <f t="shared" si="102"/>
        <v>202319</v>
      </c>
      <c r="B5958" s="5" t="str">
        <f>"23085044925"</f>
        <v>23085044925</v>
      </c>
      <c r="C5958" s="6">
        <v>0</v>
      </c>
      <c r="D5958" s="6">
        <v>0</v>
      </c>
      <c r="E5958" s="6">
        <v>0</v>
      </c>
      <c r="F5958" s="11" t="s">
        <v>7</v>
      </c>
    </row>
    <row r="5959" spans="1:6">
      <c r="A5959" s="5" t="str">
        <f t="shared" si="102"/>
        <v>202319</v>
      </c>
      <c r="B5959" s="5" t="str">
        <f>"23085044230"</f>
        <v>23085044230</v>
      </c>
      <c r="C5959" s="6">
        <v>0</v>
      </c>
      <c r="D5959" s="6">
        <v>0</v>
      </c>
      <c r="E5959" s="6">
        <v>0</v>
      </c>
      <c r="F5959" s="11" t="s">
        <v>7</v>
      </c>
    </row>
    <row r="5960" spans="1:6">
      <c r="A5960" s="5" t="str">
        <f t="shared" ref="A5960:A6023" si="103">"202319"</f>
        <v>202319</v>
      </c>
      <c r="B5960" s="5" t="str">
        <f>"23085050411"</f>
        <v>23085050411</v>
      </c>
      <c r="C5960" s="6">
        <v>0</v>
      </c>
      <c r="D5960" s="6">
        <v>0</v>
      </c>
      <c r="E5960" s="6">
        <v>0</v>
      </c>
      <c r="F5960" s="11" t="s">
        <v>7</v>
      </c>
    </row>
    <row r="5961" spans="1:6">
      <c r="A5961" s="5" t="str">
        <f t="shared" si="103"/>
        <v>202319</v>
      </c>
      <c r="B5961" s="5" t="str">
        <f>"23085043823"</f>
        <v>23085043823</v>
      </c>
      <c r="C5961" s="6">
        <v>0</v>
      </c>
      <c r="D5961" s="6">
        <v>0</v>
      </c>
      <c r="E5961" s="6">
        <v>0</v>
      </c>
      <c r="F5961" s="11" t="s">
        <v>7</v>
      </c>
    </row>
    <row r="5962" spans="1:6">
      <c r="A5962" s="5" t="str">
        <f t="shared" si="103"/>
        <v>202319</v>
      </c>
      <c r="B5962" s="5" t="str">
        <f>"23085044422"</f>
        <v>23085044422</v>
      </c>
      <c r="C5962" s="6">
        <v>0</v>
      </c>
      <c r="D5962" s="6">
        <v>0</v>
      </c>
      <c r="E5962" s="6">
        <v>0</v>
      </c>
      <c r="F5962" s="11" t="s">
        <v>7</v>
      </c>
    </row>
    <row r="5963" spans="1:6">
      <c r="A5963" s="5" t="str">
        <f t="shared" si="103"/>
        <v>202319</v>
      </c>
      <c r="B5963" s="5" t="str">
        <f>"23085043227"</f>
        <v>23085043227</v>
      </c>
      <c r="C5963" s="6">
        <v>0</v>
      </c>
      <c r="D5963" s="6">
        <v>0</v>
      </c>
      <c r="E5963" s="6">
        <v>0</v>
      </c>
      <c r="F5963" s="11" t="s">
        <v>7</v>
      </c>
    </row>
    <row r="5964" spans="1:6">
      <c r="A5964" s="5" t="str">
        <f t="shared" si="103"/>
        <v>202319</v>
      </c>
      <c r="B5964" s="5" t="str">
        <f>"23085043425"</f>
        <v>23085043425</v>
      </c>
      <c r="C5964" s="6">
        <v>0</v>
      </c>
      <c r="D5964" s="6">
        <v>0</v>
      </c>
      <c r="E5964" s="6">
        <v>0</v>
      </c>
      <c r="F5964" s="11" t="s">
        <v>7</v>
      </c>
    </row>
    <row r="5965" spans="1:6">
      <c r="A5965" s="5" t="str">
        <f t="shared" si="103"/>
        <v>202319</v>
      </c>
      <c r="B5965" s="5" t="str">
        <f>"23085045011"</f>
        <v>23085045011</v>
      </c>
      <c r="C5965" s="6">
        <v>0</v>
      </c>
      <c r="D5965" s="6">
        <v>0</v>
      </c>
      <c r="E5965" s="6">
        <v>0</v>
      </c>
      <c r="F5965" s="11" t="s">
        <v>7</v>
      </c>
    </row>
    <row r="5966" spans="1:6">
      <c r="A5966" s="5" t="str">
        <f t="shared" si="103"/>
        <v>202319</v>
      </c>
      <c r="B5966" s="5" t="str">
        <f>"23085044027"</f>
        <v>23085044027</v>
      </c>
      <c r="C5966" s="6">
        <v>0</v>
      </c>
      <c r="D5966" s="6">
        <v>0</v>
      </c>
      <c r="E5966" s="6">
        <v>0</v>
      </c>
      <c r="F5966" s="11" t="s">
        <v>7</v>
      </c>
    </row>
    <row r="5967" spans="1:6">
      <c r="A5967" s="5" t="str">
        <f t="shared" si="103"/>
        <v>202319</v>
      </c>
      <c r="B5967" s="5" t="str">
        <f>"23085050316"</f>
        <v>23085050316</v>
      </c>
      <c r="C5967" s="6">
        <v>0</v>
      </c>
      <c r="D5967" s="6">
        <v>0</v>
      </c>
      <c r="E5967" s="6">
        <v>0</v>
      </c>
      <c r="F5967" s="11" t="s">
        <v>7</v>
      </c>
    </row>
    <row r="5968" spans="1:6">
      <c r="A5968" s="5" t="str">
        <f t="shared" si="103"/>
        <v>202319</v>
      </c>
      <c r="B5968" s="5" t="str">
        <f>"23085043415"</f>
        <v>23085043415</v>
      </c>
      <c r="C5968" s="6">
        <v>0</v>
      </c>
      <c r="D5968" s="6">
        <v>0</v>
      </c>
      <c r="E5968" s="6">
        <v>0</v>
      </c>
      <c r="F5968" s="11" t="s">
        <v>7</v>
      </c>
    </row>
    <row r="5969" spans="1:6">
      <c r="A5969" s="5" t="str">
        <f t="shared" si="103"/>
        <v>202319</v>
      </c>
      <c r="B5969" s="5" t="str">
        <f>"23085044721"</f>
        <v>23085044721</v>
      </c>
      <c r="C5969" s="6">
        <v>0</v>
      </c>
      <c r="D5969" s="6">
        <v>0</v>
      </c>
      <c r="E5969" s="6">
        <v>0</v>
      </c>
      <c r="F5969" s="11" t="s">
        <v>7</v>
      </c>
    </row>
    <row r="5970" spans="1:6">
      <c r="A5970" s="5" t="str">
        <f t="shared" si="103"/>
        <v>202319</v>
      </c>
      <c r="B5970" s="5" t="str">
        <f>"23085043513"</f>
        <v>23085043513</v>
      </c>
      <c r="C5970" s="6">
        <v>0</v>
      </c>
      <c r="D5970" s="6">
        <v>0</v>
      </c>
      <c r="E5970" s="6">
        <v>0</v>
      </c>
      <c r="F5970" s="11" t="s">
        <v>7</v>
      </c>
    </row>
    <row r="5971" spans="1:6">
      <c r="A5971" s="5" t="str">
        <f t="shared" si="103"/>
        <v>202319</v>
      </c>
      <c r="B5971" s="5" t="str">
        <f>"23085044830"</f>
        <v>23085044830</v>
      </c>
      <c r="C5971" s="6">
        <v>0</v>
      </c>
      <c r="D5971" s="6">
        <v>0</v>
      </c>
      <c r="E5971" s="6">
        <v>0</v>
      </c>
      <c r="F5971" s="11" t="s">
        <v>7</v>
      </c>
    </row>
    <row r="5972" spans="1:6">
      <c r="A5972" s="5" t="str">
        <f t="shared" si="103"/>
        <v>202319</v>
      </c>
      <c r="B5972" s="5" t="str">
        <f>"23085050108"</f>
        <v>23085050108</v>
      </c>
      <c r="C5972" s="6">
        <v>0</v>
      </c>
      <c r="D5972" s="6">
        <v>0</v>
      </c>
      <c r="E5972" s="6">
        <v>0</v>
      </c>
      <c r="F5972" s="11" t="s">
        <v>7</v>
      </c>
    </row>
    <row r="5973" spans="1:6">
      <c r="A5973" s="5" t="str">
        <f t="shared" si="103"/>
        <v>202319</v>
      </c>
      <c r="B5973" s="5" t="str">
        <f>"23085044021"</f>
        <v>23085044021</v>
      </c>
      <c r="C5973" s="6">
        <v>0</v>
      </c>
      <c r="D5973" s="6">
        <v>0</v>
      </c>
      <c r="E5973" s="6">
        <v>0</v>
      </c>
      <c r="F5973" s="11" t="s">
        <v>7</v>
      </c>
    </row>
    <row r="5974" spans="1:6">
      <c r="A5974" s="5" t="str">
        <f t="shared" si="103"/>
        <v>202319</v>
      </c>
      <c r="B5974" s="5" t="str">
        <f>"23085044712"</f>
        <v>23085044712</v>
      </c>
      <c r="C5974" s="6">
        <v>0</v>
      </c>
      <c r="D5974" s="6">
        <v>0</v>
      </c>
      <c r="E5974" s="6">
        <v>0</v>
      </c>
      <c r="F5974" s="11" t="s">
        <v>7</v>
      </c>
    </row>
    <row r="5975" spans="1:6">
      <c r="A5975" s="5" t="str">
        <f t="shared" si="103"/>
        <v>202319</v>
      </c>
      <c r="B5975" s="5" t="str">
        <f>"23085044322"</f>
        <v>23085044322</v>
      </c>
      <c r="C5975" s="6">
        <v>0</v>
      </c>
      <c r="D5975" s="6">
        <v>0</v>
      </c>
      <c r="E5975" s="6">
        <v>0</v>
      </c>
      <c r="F5975" s="11" t="s">
        <v>7</v>
      </c>
    </row>
    <row r="5976" spans="1:6">
      <c r="A5976" s="5" t="str">
        <f t="shared" si="103"/>
        <v>202319</v>
      </c>
      <c r="B5976" s="5" t="str">
        <f>"23085050117"</f>
        <v>23085050117</v>
      </c>
      <c r="C5976" s="6">
        <v>0</v>
      </c>
      <c r="D5976" s="6">
        <v>0</v>
      </c>
      <c r="E5976" s="6">
        <v>0</v>
      </c>
      <c r="F5976" s="11" t="s">
        <v>7</v>
      </c>
    </row>
    <row r="5977" spans="1:6">
      <c r="A5977" s="5" t="str">
        <f t="shared" si="103"/>
        <v>202319</v>
      </c>
      <c r="B5977" s="5" t="str">
        <f>"23085044022"</f>
        <v>23085044022</v>
      </c>
      <c r="C5977" s="6">
        <v>0</v>
      </c>
      <c r="D5977" s="6">
        <v>0</v>
      </c>
      <c r="E5977" s="6">
        <v>0</v>
      </c>
      <c r="F5977" s="11" t="s">
        <v>7</v>
      </c>
    </row>
    <row r="5978" spans="1:6">
      <c r="A5978" s="5" t="str">
        <f t="shared" si="103"/>
        <v>202319</v>
      </c>
      <c r="B5978" s="5" t="str">
        <f>"23085045002"</f>
        <v>23085045002</v>
      </c>
      <c r="C5978" s="6">
        <v>0</v>
      </c>
      <c r="D5978" s="6">
        <v>0</v>
      </c>
      <c r="E5978" s="6">
        <v>0</v>
      </c>
      <c r="F5978" s="11" t="s">
        <v>7</v>
      </c>
    </row>
    <row r="5979" spans="1:6">
      <c r="A5979" s="5" t="str">
        <f t="shared" si="103"/>
        <v>202319</v>
      </c>
      <c r="B5979" s="5" t="str">
        <f>"23085043801"</f>
        <v>23085043801</v>
      </c>
      <c r="C5979" s="6">
        <v>0</v>
      </c>
      <c r="D5979" s="6">
        <v>0</v>
      </c>
      <c r="E5979" s="6">
        <v>0</v>
      </c>
      <c r="F5979" s="11" t="s">
        <v>7</v>
      </c>
    </row>
    <row r="5980" spans="1:6">
      <c r="A5980" s="5" t="str">
        <f t="shared" si="103"/>
        <v>202319</v>
      </c>
      <c r="B5980" s="5" t="str">
        <f>"23085050403"</f>
        <v>23085050403</v>
      </c>
      <c r="C5980" s="6">
        <v>0</v>
      </c>
      <c r="D5980" s="6">
        <v>0</v>
      </c>
      <c r="E5980" s="6">
        <v>0</v>
      </c>
      <c r="F5980" s="11" t="s">
        <v>7</v>
      </c>
    </row>
    <row r="5981" spans="1:6">
      <c r="A5981" s="5" t="str">
        <f t="shared" si="103"/>
        <v>202319</v>
      </c>
      <c r="B5981" s="5" t="str">
        <f>"23085043811"</f>
        <v>23085043811</v>
      </c>
      <c r="C5981" s="6">
        <v>0</v>
      </c>
      <c r="D5981" s="6">
        <v>0</v>
      </c>
      <c r="E5981" s="6">
        <v>0</v>
      </c>
      <c r="F5981" s="11" t="s">
        <v>7</v>
      </c>
    </row>
    <row r="5982" spans="1:6">
      <c r="A5982" s="5" t="str">
        <f t="shared" si="103"/>
        <v>202319</v>
      </c>
      <c r="B5982" s="5" t="str">
        <f>"23085044201"</f>
        <v>23085044201</v>
      </c>
      <c r="C5982" s="6">
        <v>0</v>
      </c>
      <c r="D5982" s="6">
        <v>0</v>
      </c>
      <c r="E5982" s="6">
        <v>0</v>
      </c>
      <c r="F5982" s="11" t="s">
        <v>7</v>
      </c>
    </row>
    <row r="5983" spans="1:6">
      <c r="A5983" s="5" t="str">
        <f t="shared" si="103"/>
        <v>202319</v>
      </c>
      <c r="B5983" s="5" t="str">
        <f>"23085043817"</f>
        <v>23085043817</v>
      </c>
      <c r="C5983" s="6">
        <v>0</v>
      </c>
      <c r="D5983" s="6">
        <v>0</v>
      </c>
      <c r="E5983" s="6">
        <v>0</v>
      </c>
      <c r="F5983" s="11" t="s">
        <v>7</v>
      </c>
    </row>
    <row r="5984" spans="1:6">
      <c r="A5984" s="5" t="str">
        <f t="shared" si="103"/>
        <v>202319</v>
      </c>
      <c r="B5984" s="5" t="str">
        <f>"23085044204"</f>
        <v>23085044204</v>
      </c>
      <c r="C5984" s="6">
        <v>0</v>
      </c>
      <c r="D5984" s="6">
        <v>0</v>
      </c>
      <c r="E5984" s="6">
        <v>0</v>
      </c>
      <c r="F5984" s="11" t="s">
        <v>7</v>
      </c>
    </row>
    <row r="5985" spans="1:6">
      <c r="A5985" s="5" t="str">
        <f t="shared" si="103"/>
        <v>202319</v>
      </c>
      <c r="B5985" s="5" t="str">
        <f>"23085044526"</f>
        <v>23085044526</v>
      </c>
      <c r="C5985" s="6">
        <v>0</v>
      </c>
      <c r="D5985" s="6">
        <v>0</v>
      </c>
      <c r="E5985" s="6">
        <v>0</v>
      </c>
      <c r="F5985" s="11" t="s">
        <v>7</v>
      </c>
    </row>
    <row r="5986" spans="1:6">
      <c r="A5986" s="5" t="str">
        <f t="shared" si="103"/>
        <v>202319</v>
      </c>
      <c r="B5986" s="5" t="str">
        <f>"23085043315"</f>
        <v>23085043315</v>
      </c>
      <c r="C5986" s="6">
        <v>0</v>
      </c>
      <c r="D5986" s="6">
        <v>0</v>
      </c>
      <c r="E5986" s="6">
        <v>0</v>
      </c>
      <c r="F5986" s="11" t="s">
        <v>7</v>
      </c>
    </row>
    <row r="5987" spans="1:6">
      <c r="A5987" s="5" t="str">
        <f t="shared" si="103"/>
        <v>202319</v>
      </c>
      <c r="B5987" s="5" t="str">
        <f>"23085044521"</f>
        <v>23085044521</v>
      </c>
      <c r="C5987" s="6">
        <v>0</v>
      </c>
      <c r="D5987" s="6">
        <v>0</v>
      </c>
      <c r="E5987" s="6">
        <v>0</v>
      </c>
      <c r="F5987" s="11" t="s">
        <v>7</v>
      </c>
    </row>
    <row r="5988" spans="1:6">
      <c r="A5988" s="5" t="str">
        <f t="shared" si="103"/>
        <v>202319</v>
      </c>
      <c r="B5988" s="5" t="str">
        <f>"23085044904"</f>
        <v>23085044904</v>
      </c>
      <c r="C5988" s="6">
        <v>0</v>
      </c>
      <c r="D5988" s="6">
        <v>0</v>
      </c>
      <c r="E5988" s="6">
        <v>0</v>
      </c>
      <c r="F5988" s="11" t="s">
        <v>7</v>
      </c>
    </row>
    <row r="5989" spans="1:6">
      <c r="A5989" s="5" t="str">
        <f t="shared" si="103"/>
        <v>202319</v>
      </c>
      <c r="B5989" s="5" t="str">
        <f>"23085044305"</f>
        <v>23085044305</v>
      </c>
      <c r="C5989" s="6">
        <v>0</v>
      </c>
      <c r="D5989" s="6">
        <v>0</v>
      </c>
      <c r="E5989" s="6">
        <v>0</v>
      </c>
      <c r="F5989" s="11" t="s">
        <v>7</v>
      </c>
    </row>
    <row r="5990" spans="1:6">
      <c r="A5990" s="5" t="str">
        <f t="shared" si="103"/>
        <v>202319</v>
      </c>
      <c r="B5990" s="5" t="str">
        <f>"23085044827"</f>
        <v>23085044827</v>
      </c>
      <c r="C5990" s="6">
        <v>0</v>
      </c>
      <c r="D5990" s="6">
        <v>0</v>
      </c>
      <c r="E5990" s="6">
        <v>0</v>
      </c>
      <c r="F5990" s="11" t="s">
        <v>7</v>
      </c>
    </row>
    <row r="5991" spans="1:6">
      <c r="A5991" s="5" t="str">
        <f t="shared" si="103"/>
        <v>202319</v>
      </c>
      <c r="B5991" s="5" t="str">
        <f>"23085045004"</f>
        <v>23085045004</v>
      </c>
      <c r="C5991" s="6">
        <v>0</v>
      </c>
      <c r="D5991" s="6">
        <v>0</v>
      </c>
      <c r="E5991" s="6">
        <v>0</v>
      </c>
      <c r="F5991" s="11" t="s">
        <v>7</v>
      </c>
    </row>
    <row r="5992" spans="1:6">
      <c r="A5992" s="5" t="str">
        <f t="shared" si="103"/>
        <v>202319</v>
      </c>
      <c r="B5992" s="5" t="str">
        <f>"23085044426"</f>
        <v>23085044426</v>
      </c>
      <c r="C5992" s="6">
        <v>0</v>
      </c>
      <c r="D5992" s="6">
        <v>0</v>
      </c>
      <c r="E5992" s="6">
        <v>0</v>
      </c>
      <c r="F5992" s="11" t="s">
        <v>7</v>
      </c>
    </row>
    <row r="5993" spans="1:6">
      <c r="A5993" s="5" t="str">
        <f t="shared" si="103"/>
        <v>202319</v>
      </c>
      <c r="B5993" s="5" t="str">
        <f>"23085043810"</f>
        <v>23085043810</v>
      </c>
      <c r="C5993" s="6">
        <v>0</v>
      </c>
      <c r="D5993" s="6">
        <v>0</v>
      </c>
      <c r="E5993" s="6">
        <v>0</v>
      </c>
      <c r="F5993" s="11" t="s">
        <v>7</v>
      </c>
    </row>
    <row r="5994" spans="1:6">
      <c r="A5994" s="5" t="str">
        <f t="shared" si="103"/>
        <v>202319</v>
      </c>
      <c r="B5994" s="5" t="str">
        <f>"23085044508"</f>
        <v>23085044508</v>
      </c>
      <c r="C5994" s="6">
        <v>0</v>
      </c>
      <c r="D5994" s="6">
        <v>0</v>
      </c>
      <c r="E5994" s="6">
        <v>0</v>
      </c>
      <c r="F5994" s="11" t="s">
        <v>7</v>
      </c>
    </row>
    <row r="5995" spans="1:6">
      <c r="A5995" s="5" t="str">
        <f t="shared" si="103"/>
        <v>202319</v>
      </c>
      <c r="B5995" s="5" t="str">
        <f>"23085050305"</f>
        <v>23085050305</v>
      </c>
      <c r="C5995" s="6">
        <v>0</v>
      </c>
      <c r="D5995" s="6">
        <v>0</v>
      </c>
      <c r="E5995" s="6">
        <v>0</v>
      </c>
      <c r="F5995" s="11" t="s">
        <v>7</v>
      </c>
    </row>
    <row r="5996" spans="1:6">
      <c r="A5996" s="5" t="str">
        <f t="shared" si="103"/>
        <v>202319</v>
      </c>
      <c r="B5996" s="5" t="str">
        <f>"23085044003"</f>
        <v>23085044003</v>
      </c>
      <c r="C5996" s="6">
        <v>0</v>
      </c>
      <c r="D5996" s="6">
        <v>0</v>
      </c>
      <c r="E5996" s="6">
        <v>0</v>
      </c>
      <c r="F5996" s="11" t="s">
        <v>7</v>
      </c>
    </row>
    <row r="5997" spans="1:6">
      <c r="A5997" s="5" t="str">
        <f t="shared" si="103"/>
        <v>202319</v>
      </c>
      <c r="B5997" s="5" t="str">
        <f>"23085044920"</f>
        <v>23085044920</v>
      </c>
      <c r="C5997" s="6">
        <v>0</v>
      </c>
      <c r="D5997" s="6">
        <v>0</v>
      </c>
      <c r="E5997" s="6">
        <v>0</v>
      </c>
      <c r="F5997" s="11" t="s">
        <v>7</v>
      </c>
    </row>
    <row r="5998" spans="1:6">
      <c r="A5998" s="5" t="str">
        <f t="shared" si="103"/>
        <v>202319</v>
      </c>
      <c r="B5998" s="5" t="str">
        <f>"23085043705"</f>
        <v>23085043705</v>
      </c>
      <c r="C5998" s="6">
        <v>0</v>
      </c>
      <c r="D5998" s="6">
        <v>0</v>
      </c>
      <c r="E5998" s="6">
        <v>0</v>
      </c>
      <c r="F5998" s="11" t="s">
        <v>7</v>
      </c>
    </row>
    <row r="5999" spans="1:6">
      <c r="A5999" s="5" t="str">
        <f t="shared" si="103"/>
        <v>202319</v>
      </c>
      <c r="B5999" s="5" t="str">
        <f>"23085044419"</f>
        <v>23085044419</v>
      </c>
      <c r="C5999" s="6">
        <v>0</v>
      </c>
      <c r="D5999" s="6">
        <v>0</v>
      </c>
      <c r="E5999" s="6">
        <v>0</v>
      </c>
      <c r="F5999" s="11" t="s">
        <v>7</v>
      </c>
    </row>
    <row r="6000" spans="1:6">
      <c r="A6000" s="5" t="str">
        <f t="shared" si="103"/>
        <v>202319</v>
      </c>
      <c r="B6000" s="5" t="str">
        <f>"23085044109"</f>
        <v>23085044109</v>
      </c>
      <c r="C6000" s="6">
        <v>0</v>
      </c>
      <c r="D6000" s="6">
        <v>0</v>
      </c>
      <c r="E6000" s="6">
        <v>0</v>
      </c>
      <c r="F6000" s="11" t="s">
        <v>7</v>
      </c>
    </row>
    <row r="6001" spans="1:6">
      <c r="A6001" s="5" t="str">
        <f t="shared" si="103"/>
        <v>202319</v>
      </c>
      <c r="B6001" s="5" t="str">
        <f>"23085043226"</f>
        <v>23085043226</v>
      </c>
      <c r="C6001" s="6">
        <v>0</v>
      </c>
      <c r="D6001" s="6">
        <v>0</v>
      </c>
      <c r="E6001" s="6">
        <v>0</v>
      </c>
      <c r="F6001" s="11" t="s">
        <v>7</v>
      </c>
    </row>
    <row r="6002" spans="1:6">
      <c r="A6002" s="5" t="str">
        <f t="shared" si="103"/>
        <v>202319</v>
      </c>
      <c r="B6002" s="5" t="str">
        <f>"23085044327"</f>
        <v>23085044327</v>
      </c>
      <c r="C6002" s="6">
        <v>0</v>
      </c>
      <c r="D6002" s="6">
        <v>0</v>
      </c>
      <c r="E6002" s="6">
        <v>0</v>
      </c>
      <c r="F6002" s="11" t="s">
        <v>7</v>
      </c>
    </row>
    <row r="6003" spans="1:6">
      <c r="A6003" s="5" t="str">
        <f t="shared" si="103"/>
        <v>202319</v>
      </c>
      <c r="B6003" s="5" t="str">
        <f>"23085043821"</f>
        <v>23085043821</v>
      </c>
      <c r="C6003" s="6">
        <v>0</v>
      </c>
      <c r="D6003" s="6">
        <v>0</v>
      </c>
      <c r="E6003" s="6">
        <v>0</v>
      </c>
      <c r="F6003" s="11" t="s">
        <v>7</v>
      </c>
    </row>
    <row r="6004" spans="1:6">
      <c r="A6004" s="5" t="str">
        <f t="shared" si="103"/>
        <v>202319</v>
      </c>
      <c r="B6004" s="5" t="str">
        <f>"23085044020"</f>
        <v>23085044020</v>
      </c>
      <c r="C6004" s="6">
        <v>0</v>
      </c>
      <c r="D6004" s="6">
        <v>0</v>
      </c>
      <c r="E6004" s="6">
        <v>0</v>
      </c>
      <c r="F6004" s="11" t="s">
        <v>7</v>
      </c>
    </row>
    <row r="6005" spans="1:6">
      <c r="A6005" s="5" t="str">
        <f t="shared" si="103"/>
        <v>202319</v>
      </c>
      <c r="B6005" s="5" t="str">
        <f>"23085050103"</f>
        <v>23085050103</v>
      </c>
      <c r="C6005" s="6">
        <v>0</v>
      </c>
      <c r="D6005" s="6">
        <v>0</v>
      </c>
      <c r="E6005" s="6">
        <v>0</v>
      </c>
      <c r="F6005" s="11" t="s">
        <v>7</v>
      </c>
    </row>
    <row r="6006" spans="1:6">
      <c r="A6006" s="5" t="str">
        <f t="shared" si="103"/>
        <v>202319</v>
      </c>
      <c r="B6006" s="5" t="str">
        <f>"23085044806"</f>
        <v>23085044806</v>
      </c>
      <c r="C6006" s="6">
        <v>0</v>
      </c>
      <c r="D6006" s="6">
        <v>0</v>
      </c>
      <c r="E6006" s="6">
        <v>0</v>
      </c>
      <c r="F6006" s="11" t="s">
        <v>7</v>
      </c>
    </row>
    <row r="6007" spans="1:6">
      <c r="A6007" s="5" t="str">
        <f t="shared" si="103"/>
        <v>202319</v>
      </c>
      <c r="B6007" s="5" t="str">
        <f>"23085043618"</f>
        <v>23085043618</v>
      </c>
      <c r="C6007" s="6">
        <v>0</v>
      </c>
      <c r="D6007" s="6">
        <v>0</v>
      </c>
      <c r="E6007" s="6">
        <v>0</v>
      </c>
      <c r="F6007" s="11" t="s">
        <v>7</v>
      </c>
    </row>
    <row r="6008" spans="1:6">
      <c r="A6008" s="5" t="str">
        <f t="shared" si="103"/>
        <v>202319</v>
      </c>
      <c r="B6008" s="5" t="str">
        <f>"23085043504"</f>
        <v>23085043504</v>
      </c>
      <c r="C6008" s="6">
        <v>0</v>
      </c>
      <c r="D6008" s="6">
        <v>0</v>
      </c>
      <c r="E6008" s="6">
        <v>0</v>
      </c>
      <c r="F6008" s="11" t="s">
        <v>7</v>
      </c>
    </row>
    <row r="6009" spans="1:6">
      <c r="A6009" s="5" t="str">
        <f t="shared" si="103"/>
        <v>202319</v>
      </c>
      <c r="B6009" s="5" t="str">
        <f>"23085050330"</f>
        <v>23085050330</v>
      </c>
      <c r="C6009" s="6">
        <v>0</v>
      </c>
      <c r="D6009" s="6">
        <v>0</v>
      </c>
      <c r="E6009" s="6">
        <v>0</v>
      </c>
      <c r="F6009" s="11" t="s">
        <v>7</v>
      </c>
    </row>
    <row r="6010" spans="1:6">
      <c r="A6010" s="5" t="str">
        <f t="shared" si="103"/>
        <v>202319</v>
      </c>
      <c r="B6010" s="5" t="str">
        <f>"23085044612"</f>
        <v>23085044612</v>
      </c>
      <c r="C6010" s="6">
        <v>0</v>
      </c>
      <c r="D6010" s="6">
        <v>0</v>
      </c>
      <c r="E6010" s="6">
        <v>0</v>
      </c>
      <c r="F6010" s="11" t="s">
        <v>7</v>
      </c>
    </row>
    <row r="6011" spans="1:6">
      <c r="A6011" s="5" t="str">
        <f t="shared" si="103"/>
        <v>202319</v>
      </c>
      <c r="B6011" s="5" t="str">
        <f>"23085043915"</f>
        <v>23085043915</v>
      </c>
      <c r="C6011" s="6">
        <v>0</v>
      </c>
      <c r="D6011" s="6">
        <v>0</v>
      </c>
      <c r="E6011" s="6">
        <v>0</v>
      </c>
      <c r="F6011" s="11" t="s">
        <v>7</v>
      </c>
    </row>
    <row r="6012" spans="1:6">
      <c r="A6012" s="5" t="str">
        <f t="shared" si="103"/>
        <v>202319</v>
      </c>
      <c r="B6012" s="5" t="str">
        <f>"23085044117"</f>
        <v>23085044117</v>
      </c>
      <c r="C6012" s="6">
        <v>0</v>
      </c>
      <c r="D6012" s="6">
        <v>0</v>
      </c>
      <c r="E6012" s="6">
        <v>0</v>
      </c>
      <c r="F6012" s="11" t="s">
        <v>7</v>
      </c>
    </row>
    <row r="6013" spans="1:6">
      <c r="A6013" s="5" t="str">
        <f t="shared" si="103"/>
        <v>202319</v>
      </c>
      <c r="B6013" s="5" t="str">
        <f>"23085043905"</f>
        <v>23085043905</v>
      </c>
      <c r="C6013" s="6">
        <v>0</v>
      </c>
      <c r="D6013" s="6">
        <v>0</v>
      </c>
      <c r="E6013" s="6">
        <v>0</v>
      </c>
      <c r="F6013" s="11" t="s">
        <v>7</v>
      </c>
    </row>
    <row r="6014" spans="1:6">
      <c r="A6014" s="5" t="str">
        <f t="shared" si="103"/>
        <v>202319</v>
      </c>
      <c r="B6014" s="5" t="str">
        <f>"23085044525"</f>
        <v>23085044525</v>
      </c>
      <c r="C6014" s="6">
        <v>0</v>
      </c>
      <c r="D6014" s="6">
        <v>0</v>
      </c>
      <c r="E6014" s="6">
        <v>0</v>
      </c>
      <c r="F6014" s="11" t="s">
        <v>7</v>
      </c>
    </row>
    <row r="6015" spans="1:6">
      <c r="A6015" s="5" t="str">
        <f t="shared" si="103"/>
        <v>202319</v>
      </c>
      <c r="B6015" s="5" t="str">
        <f>"23085044221"</f>
        <v>23085044221</v>
      </c>
      <c r="C6015" s="6">
        <v>0</v>
      </c>
      <c r="D6015" s="6">
        <v>0</v>
      </c>
      <c r="E6015" s="6">
        <v>0</v>
      </c>
      <c r="F6015" s="11" t="s">
        <v>7</v>
      </c>
    </row>
    <row r="6016" spans="1:6">
      <c r="A6016" s="5" t="str">
        <f t="shared" si="103"/>
        <v>202319</v>
      </c>
      <c r="B6016" s="5" t="str">
        <f>"23085044130"</f>
        <v>23085044130</v>
      </c>
      <c r="C6016" s="6">
        <v>0</v>
      </c>
      <c r="D6016" s="6">
        <v>0</v>
      </c>
      <c r="E6016" s="6">
        <v>0</v>
      </c>
      <c r="F6016" s="11" t="s">
        <v>7</v>
      </c>
    </row>
    <row r="6017" spans="1:6">
      <c r="A6017" s="5" t="str">
        <f t="shared" si="103"/>
        <v>202319</v>
      </c>
      <c r="B6017" s="5" t="str">
        <f>"23085043221"</f>
        <v>23085043221</v>
      </c>
      <c r="C6017" s="6">
        <v>0</v>
      </c>
      <c r="D6017" s="6">
        <v>0</v>
      </c>
      <c r="E6017" s="6">
        <v>0</v>
      </c>
      <c r="F6017" s="11" t="s">
        <v>7</v>
      </c>
    </row>
    <row r="6018" spans="1:6">
      <c r="A6018" s="5" t="str">
        <f t="shared" si="103"/>
        <v>202319</v>
      </c>
      <c r="B6018" s="5" t="str">
        <f>"23085043330"</f>
        <v>23085043330</v>
      </c>
      <c r="C6018" s="6">
        <v>0</v>
      </c>
      <c r="D6018" s="6">
        <v>0</v>
      </c>
      <c r="E6018" s="6">
        <v>0</v>
      </c>
      <c r="F6018" s="11" t="s">
        <v>7</v>
      </c>
    </row>
    <row r="6019" spans="1:6">
      <c r="A6019" s="5" t="str">
        <f t="shared" si="103"/>
        <v>202319</v>
      </c>
      <c r="B6019" s="5" t="str">
        <f>"23085043322"</f>
        <v>23085043322</v>
      </c>
      <c r="C6019" s="6">
        <v>0</v>
      </c>
      <c r="D6019" s="6">
        <v>0</v>
      </c>
      <c r="E6019" s="6">
        <v>0</v>
      </c>
      <c r="F6019" s="11" t="s">
        <v>7</v>
      </c>
    </row>
    <row r="6020" spans="1:6">
      <c r="A6020" s="5" t="str">
        <f t="shared" si="103"/>
        <v>202319</v>
      </c>
      <c r="B6020" s="5" t="str">
        <f>"23085043517"</f>
        <v>23085043517</v>
      </c>
      <c r="C6020" s="6">
        <v>0</v>
      </c>
      <c r="D6020" s="6">
        <v>0</v>
      </c>
      <c r="E6020" s="6">
        <v>0</v>
      </c>
      <c r="F6020" s="11" t="s">
        <v>7</v>
      </c>
    </row>
    <row r="6021" spans="1:6">
      <c r="A6021" s="5" t="str">
        <f t="shared" si="103"/>
        <v>202319</v>
      </c>
      <c r="B6021" s="5" t="str">
        <f>"23085043317"</f>
        <v>23085043317</v>
      </c>
      <c r="C6021" s="6">
        <v>0</v>
      </c>
      <c r="D6021" s="6">
        <v>0</v>
      </c>
      <c r="E6021" s="6">
        <v>0</v>
      </c>
      <c r="F6021" s="11" t="s">
        <v>7</v>
      </c>
    </row>
    <row r="6022" spans="1:6">
      <c r="A6022" s="5" t="str">
        <f t="shared" si="103"/>
        <v>202319</v>
      </c>
      <c r="B6022" s="5" t="str">
        <f>"23085044202"</f>
        <v>23085044202</v>
      </c>
      <c r="C6022" s="6">
        <v>0</v>
      </c>
      <c r="D6022" s="6">
        <v>0</v>
      </c>
      <c r="E6022" s="6">
        <v>0</v>
      </c>
      <c r="F6022" s="11" t="s">
        <v>7</v>
      </c>
    </row>
    <row r="6023" spans="1:6">
      <c r="A6023" s="5" t="str">
        <f t="shared" si="103"/>
        <v>202319</v>
      </c>
      <c r="B6023" s="5" t="str">
        <f>"23085043713"</f>
        <v>23085043713</v>
      </c>
      <c r="C6023" s="6">
        <v>0</v>
      </c>
      <c r="D6023" s="6">
        <v>0</v>
      </c>
      <c r="E6023" s="6">
        <v>0</v>
      </c>
      <c r="F6023" s="11" t="s">
        <v>7</v>
      </c>
    </row>
    <row r="6024" spans="1:6">
      <c r="A6024" s="5" t="str">
        <f t="shared" ref="A6024:A6046" si="104">"202319"</f>
        <v>202319</v>
      </c>
      <c r="B6024" s="5" t="str">
        <f>"23085050318"</f>
        <v>23085050318</v>
      </c>
      <c r="C6024" s="6">
        <v>0</v>
      </c>
      <c r="D6024" s="6">
        <v>0</v>
      </c>
      <c r="E6024" s="6">
        <v>0</v>
      </c>
      <c r="F6024" s="11" t="s">
        <v>7</v>
      </c>
    </row>
    <row r="6025" spans="1:6">
      <c r="A6025" s="5" t="str">
        <f t="shared" si="104"/>
        <v>202319</v>
      </c>
      <c r="B6025" s="5" t="str">
        <f>"23085044301"</f>
        <v>23085044301</v>
      </c>
      <c r="C6025" s="6">
        <v>0</v>
      </c>
      <c r="D6025" s="6">
        <v>0</v>
      </c>
      <c r="E6025" s="6">
        <v>0</v>
      </c>
      <c r="F6025" s="11" t="s">
        <v>7</v>
      </c>
    </row>
    <row r="6026" spans="1:6">
      <c r="A6026" s="5" t="str">
        <f t="shared" si="104"/>
        <v>202319</v>
      </c>
      <c r="B6026" s="5" t="str">
        <f>"23085044807"</f>
        <v>23085044807</v>
      </c>
      <c r="C6026" s="6">
        <v>0</v>
      </c>
      <c r="D6026" s="6">
        <v>0</v>
      </c>
      <c r="E6026" s="6">
        <v>0</v>
      </c>
      <c r="F6026" s="11" t="s">
        <v>7</v>
      </c>
    </row>
    <row r="6027" spans="1:6">
      <c r="A6027" s="5" t="str">
        <f t="shared" si="104"/>
        <v>202319</v>
      </c>
      <c r="B6027" s="5" t="str">
        <f>"23085050230"</f>
        <v>23085050230</v>
      </c>
      <c r="C6027" s="6">
        <v>0</v>
      </c>
      <c r="D6027" s="6">
        <v>0</v>
      </c>
      <c r="E6027" s="6">
        <v>0</v>
      </c>
      <c r="F6027" s="11" t="s">
        <v>7</v>
      </c>
    </row>
    <row r="6028" spans="1:6">
      <c r="A6028" s="5" t="str">
        <f t="shared" si="104"/>
        <v>202319</v>
      </c>
      <c r="B6028" s="5" t="str">
        <f>"23085044010"</f>
        <v>23085044010</v>
      </c>
      <c r="C6028" s="6">
        <v>0</v>
      </c>
      <c r="D6028" s="6">
        <v>0</v>
      </c>
      <c r="E6028" s="6">
        <v>0</v>
      </c>
      <c r="F6028" s="11" t="s">
        <v>7</v>
      </c>
    </row>
    <row r="6029" spans="1:6">
      <c r="A6029" s="5" t="str">
        <f t="shared" si="104"/>
        <v>202319</v>
      </c>
      <c r="B6029" s="5" t="str">
        <f>"23085044918"</f>
        <v>23085044918</v>
      </c>
      <c r="C6029" s="6">
        <v>0</v>
      </c>
      <c r="D6029" s="6">
        <v>0</v>
      </c>
      <c r="E6029" s="6">
        <v>0</v>
      </c>
      <c r="F6029" s="11" t="s">
        <v>7</v>
      </c>
    </row>
    <row r="6030" spans="1:6">
      <c r="A6030" s="5" t="str">
        <f t="shared" si="104"/>
        <v>202319</v>
      </c>
      <c r="B6030" s="5" t="str">
        <f>"23085043725"</f>
        <v>23085043725</v>
      </c>
      <c r="C6030" s="6">
        <v>0</v>
      </c>
      <c r="D6030" s="6">
        <v>0</v>
      </c>
      <c r="E6030" s="6">
        <v>0</v>
      </c>
      <c r="F6030" s="11" t="s">
        <v>7</v>
      </c>
    </row>
    <row r="6031" spans="1:6">
      <c r="A6031" s="5" t="str">
        <f t="shared" si="104"/>
        <v>202319</v>
      </c>
      <c r="B6031" s="5" t="str">
        <f>"23085045020"</f>
        <v>23085045020</v>
      </c>
      <c r="C6031" s="6">
        <v>0</v>
      </c>
      <c r="D6031" s="6">
        <v>0</v>
      </c>
      <c r="E6031" s="6">
        <v>0</v>
      </c>
      <c r="F6031" s="11" t="s">
        <v>7</v>
      </c>
    </row>
    <row r="6032" spans="1:6">
      <c r="A6032" s="5" t="str">
        <f t="shared" si="104"/>
        <v>202319</v>
      </c>
      <c r="B6032" s="5" t="str">
        <f>"23085044907"</f>
        <v>23085044907</v>
      </c>
      <c r="C6032" s="6">
        <v>0</v>
      </c>
      <c r="D6032" s="6">
        <v>0</v>
      </c>
      <c r="E6032" s="6">
        <v>0</v>
      </c>
      <c r="F6032" s="11" t="s">
        <v>7</v>
      </c>
    </row>
    <row r="6033" spans="1:6">
      <c r="A6033" s="5" t="str">
        <f t="shared" si="104"/>
        <v>202319</v>
      </c>
      <c r="B6033" s="5" t="str">
        <f>"23085050314"</f>
        <v>23085050314</v>
      </c>
      <c r="C6033" s="6">
        <v>0</v>
      </c>
      <c r="D6033" s="6">
        <v>0</v>
      </c>
      <c r="E6033" s="6">
        <v>0</v>
      </c>
      <c r="F6033" s="11" t="s">
        <v>7</v>
      </c>
    </row>
    <row r="6034" spans="1:6">
      <c r="A6034" s="5" t="str">
        <f t="shared" si="104"/>
        <v>202319</v>
      </c>
      <c r="B6034" s="5" t="str">
        <f>"23085044017"</f>
        <v>23085044017</v>
      </c>
      <c r="C6034" s="6">
        <v>0</v>
      </c>
      <c r="D6034" s="6">
        <v>0</v>
      </c>
      <c r="E6034" s="6">
        <v>0</v>
      </c>
      <c r="F6034" s="11" t="s">
        <v>7</v>
      </c>
    </row>
    <row r="6035" spans="1:6">
      <c r="A6035" s="5" t="str">
        <f t="shared" si="104"/>
        <v>202319</v>
      </c>
      <c r="B6035" s="5" t="str">
        <f>"23085044725"</f>
        <v>23085044725</v>
      </c>
      <c r="C6035" s="6">
        <v>0</v>
      </c>
      <c r="D6035" s="6">
        <v>0</v>
      </c>
      <c r="E6035" s="6">
        <v>0</v>
      </c>
      <c r="F6035" s="11" t="s">
        <v>7</v>
      </c>
    </row>
    <row r="6036" spans="1:6">
      <c r="A6036" s="5" t="str">
        <f t="shared" si="104"/>
        <v>202319</v>
      </c>
      <c r="B6036" s="5" t="str">
        <f>"23085044012"</f>
        <v>23085044012</v>
      </c>
      <c r="C6036" s="6">
        <v>0</v>
      </c>
      <c r="D6036" s="6">
        <v>0</v>
      </c>
      <c r="E6036" s="6">
        <v>0</v>
      </c>
      <c r="F6036" s="11" t="s">
        <v>7</v>
      </c>
    </row>
    <row r="6037" spans="1:6">
      <c r="A6037" s="5" t="str">
        <f t="shared" si="104"/>
        <v>202319</v>
      </c>
      <c r="B6037" s="5" t="str">
        <f>"23085043630"</f>
        <v>23085043630</v>
      </c>
      <c r="C6037" s="6">
        <v>0</v>
      </c>
      <c r="D6037" s="6">
        <v>0</v>
      </c>
      <c r="E6037" s="6">
        <v>0</v>
      </c>
      <c r="F6037" s="11" t="s">
        <v>7</v>
      </c>
    </row>
    <row r="6038" spans="1:6">
      <c r="A6038" s="5" t="str">
        <f t="shared" si="104"/>
        <v>202319</v>
      </c>
      <c r="B6038" s="5" t="str">
        <f>"23085044729"</f>
        <v>23085044729</v>
      </c>
      <c r="C6038" s="6">
        <v>0</v>
      </c>
      <c r="D6038" s="6">
        <v>0</v>
      </c>
      <c r="E6038" s="6">
        <v>0</v>
      </c>
      <c r="F6038" s="11" t="s">
        <v>7</v>
      </c>
    </row>
    <row r="6039" spans="1:6">
      <c r="A6039" s="5" t="str">
        <f t="shared" si="104"/>
        <v>202319</v>
      </c>
      <c r="B6039" s="5" t="str">
        <f>"23085050404"</f>
        <v>23085050404</v>
      </c>
      <c r="C6039" s="6">
        <v>0</v>
      </c>
      <c r="D6039" s="6">
        <v>0</v>
      </c>
      <c r="E6039" s="6">
        <v>0</v>
      </c>
      <c r="F6039" s="11" t="s">
        <v>7</v>
      </c>
    </row>
    <row r="6040" spans="1:6">
      <c r="A6040" s="5" t="str">
        <f t="shared" si="104"/>
        <v>202319</v>
      </c>
      <c r="B6040" s="5" t="str">
        <f>"23085050406"</f>
        <v>23085050406</v>
      </c>
      <c r="C6040" s="6">
        <v>0</v>
      </c>
      <c r="D6040" s="6">
        <v>0</v>
      </c>
      <c r="E6040" s="6">
        <v>0</v>
      </c>
      <c r="F6040" s="11" t="s">
        <v>7</v>
      </c>
    </row>
    <row r="6041" spans="1:6">
      <c r="A6041" s="5" t="str">
        <f t="shared" si="104"/>
        <v>202319</v>
      </c>
      <c r="B6041" s="5" t="str">
        <f>"23085050209"</f>
        <v>23085050209</v>
      </c>
      <c r="C6041" s="6">
        <v>0</v>
      </c>
      <c r="D6041" s="6">
        <v>0</v>
      </c>
      <c r="E6041" s="6">
        <v>0</v>
      </c>
      <c r="F6041" s="11" t="s">
        <v>7</v>
      </c>
    </row>
    <row r="6042" spans="1:6">
      <c r="A6042" s="5" t="str">
        <f t="shared" si="104"/>
        <v>202319</v>
      </c>
      <c r="B6042" s="5" t="str">
        <f>"23085044025"</f>
        <v>23085044025</v>
      </c>
      <c r="C6042" s="6">
        <v>0</v>
      </c>
      <c r="D6042" s="6">
        <v>0</v>
      </c>
      <c r="E6042" s="6">
        <v>0</v>
      </c>
      <c r="F6042" s="11" t="s">
        <v>7</v>
      </c>
    </row>
    <row r="6043" spans="1:6">
      <c r="A6043" s="5" t="str">
        <f t="shared" si="104"/>
        <v>202319</v>
      </c>
      <c r="B6043" s="5" t="str">
        <f>"23085050211"</f>
        <v>23085050211</v>
      </c>
      <c r="C6043" s="6">
        <v>0</v>
      </c>
      <c r="D6043" s="6">
        <v>0</v>
      </c>
      <c r="E6043" s="6">
        <v>0</v>
      </c>
      <c r="F6043" s="11" t="s">
        <v>7</v>
      </c>
    </row>
    <row r="6044" spans="1:6">
      <c r="A6044" s="5" t="str">
        <f t="shared" si="104"/>
        <v>202319</v>
      </c>
      <c r="B6044" s="5" t="str">
        <f>"23085044103"</f>
        <v>23085044103</v>
      </c>
      <c r="C6044" s="6">
        <v>0</v>
      </c>
      <c r="D6044" s="6">
        <v>0</v>
      </c>
      <c r="E6044" s="6">
        <v>0</v>
      </c>
      <c r="F6044" s="11" t="s">
        <v>7</v>
      </c>
    </row>
    <row r="6045" spans="1:6">
      <c r="A6045" s="5" t="str">
        <f t="shared" si="104"/>
        <v>202319</v>
      </c>
      <c r="B6045" s="5" t="str">
        <f>"23085044420"</f>
        <v>23085044420</v>
      </c>
      <c r="C6045" s="6">
        <v>0</v>
      </c>
      <c r="D6045" s="6">
        <v>0</v>
      </c>
      <c r="E6045" s="6">
        <v>0</v>
      </c>
      <c r="F6045" s="11" t="s">
        <v>7</v>
      </c>
    </row>
    <row r="6046" spans="1:6">
      <c r="A6046" s="5" t="str">
        <f t="shared" si="104"/>
        <v>202319</v>
      </c>
      <c r="B6046" s="5" t="str">
        <f>"23085044926"</f>
        <v>23085044926</v>
      </c>
      <c r="C6046" s="6">
        <v>0</v>
      </c>
      <c r="D6046" s="6">
        <v>0</v>
      </c>
      <c r="E6046" s="6">
        <v>0</v>
      </c>
      <c r="F6046" s="11" t="s">
        <v>7</v>
      </c>
    </row>
    <row r="6047" spans="1:6">
      <c r="A6047" s="5" t="str">
        <f t="shared" ref="A6047:A6110" si="105">"202320"</f>
        <v>202320</v>
      </c>
      <c r="B6047" s="5" t="str">
        <f>"23085051819"</f>
        <v>23085051819</v>
      </c>
      <c r="C6047" s="6">
        <v>115.5</v>
      </c>
      <c r="D6047" s="6">
        <v>122</v>
      </c>
      <c r="E6047" s="6">
        <v>237.5</v>
      </c>
      <c r="F6047" s="11"/>
    </row>
    <row r="6048" spans="1:6">
      <c r="A6048" s="5" t="str">
        <f t="shared" si="105"/>
        <v>202320</v>
      </c>
      <c r="B6048" s="5" t="str">
        <f>"23085051315"</f>
        <v>23085051315</v>
      </c>
      <c r="C6048" s="6">
        <v>114</v>
      </c>
      <c r="D6048" s="6">
        <v>122</v>
      </c>
      <c r="E6048" s="6">
        <v>236</v>
      </c>
      <c r="F6048" s="11"/>
    </row>
    <row r="6049" spans="1:6">
      <c r="A6049" s="5" t="str">
        <f t="shared" si="105"/>
        <v>202320</v>
      </c>
      <c r="B6049" s="5" t="str">
        <f>"23085050809"</f>
        <v>23085050809</v>
      </c>
      <c r="C6049" s="6">
        <v>117</v>
      </c>
      <c r="D6049" s="6">
        <v>119</v>
      </c>
      <c r="E6049" s="6">
        <v>236</v>
      </c>
      <c r="F6049" s="11"/>
    </row>
    <row r="6050" spans="1:6">
      <c r="A6050" s="5" t="str">
        <f t="shared" si="105"/>
        <v>202320</v>
      </c>
      <c r="B6050" s="5" t="str">
        <f>"23085051623"</f>
        <v>23085051623</v>
      </c>
      <c r="C6050" s="6">
        <v>117</v>
      </c>
      <c r="D6050" s="6">
        <v>118</v>
      </c>
      <c r="E6050" s="6">
        <v>235</v>
      </c>
      <c r="F6050" s="11"/>
    </row>
    <row r="6051" spans="1:6">
      <c r="A6051" s="5" t="str">
        <f t="shared" si="105"/>
        <v>202320</v>
      </c>
      <c r="B6051" s="5" t="str">
        <f>"23085050822"</f>
        <v>23085050822</v>
      </c>
      <c r="C6051" s="6">
        <v>115.5</v>
      </c>
      <c r="D6051" s="6">
        <v>119</v>
      </c>
      <c r="E6051" s="6">
        <v>234.5</v>
      </c>
      <c r="F6051" s="11"/>
    </row>
    <row r="6052" spans="1:6">
      <c r="A6052" s="5" t="str">
        <f t="shared" si="105"/>
        <v>202320</v>
      </c>
      <c r="B6052" s="5" t="str">
        <f>"23085050929"</f>
        <v>23085050929</v>
      </c>
      <c r="C6052" s="6">
        <v>121.5</v>
      </c>
      <c r="D6052" s="6">
        <v>113</v>
      </c>
      <c r="E6052" s="6">
        <v>234.5</v>
      </c>
      <c r="F6052" s="11"/>
    </row>
    <row r="6053" spans="1:6">
      <c r="A6053" s="5" t="str">
        <f t="shared" si="105"/>
        <v>202320</v>
      </c>
      <c r="B6053" s="5" t="str">
        <f>"23085050710"</f>
        <v>23085050710</v>
      </c>
      <c r="C6053" s="6">
        <v>114</v>
      </c>
      <c r="D6053" s="6">
        <v>120</v>
      </c>
      <c r="E6053" s="6">
        <v>234</v>
      </c>
      <c r="F6053" s="11"/>
    </row>
    <row r="6054" spans="1:6">
      <c r="A6054" s="5" t="str">
        <f t="shared" si="105"/>
        <v>202320</v>
      </c>
      <c r="B6054" s="5" t="str">
        <f>"23085051318"</f>
        <v>23085051318</v>
      </c>
      <c r="C6054" s="6">
        <v>112.5</v>
      </c>
      <c r="D6054" s="6">
        <v>121</v>
      </c>
      <c r="E6054" s="6">
        <v>233.5</v>
      </c>
      <c r="F6054" s="11"/>
    </row>
    <row r="6055" spans="1:6">
      <c r="A6055" s="5" t="str">
        <f t="shared" si="105"/>
        <v>202320</v>
      </c>
      <c r="B6055" s="5" t="str">
        <f>"23085050611"</f>
        <v>23085050611</v>
      </c>
      <c r="C6055" s="6">
        <v>117</v>
      </c>
      <c r="D6055" s="6">
        <v>116.5</v>
      </c>
      <c r="E6055" s="6">
        <v>233.5</v>
      </c>
      <c r="F6055" s="11"/>
    </row>
    <row r="6056" spans="1:6">
      <c r="A6056" s="5" t="str">
        <f t="shared" si="105"/>
        <v>202320</v>
      </c>
      <c r="B6056" s="5" t="str">
        <f>"23085052316"</f>
        <v>23085052316</v>
      </c>
      <c r="C6056" s="6">
        <v>117</v>
      </c>
      <c r="D6056" s="6">
        <v>116</v>
      </c>
      <c r="E6056" s="6">
        <v>233</v>
      </c>
      <c r="F6056" s="11"/>
    </row>
    <row r="6057" spans="1:6">
      <c r="A6057" s="5" t="str">
        <f t="shared" si="105"/>
        <v>202320</v>
      </c>
      <c r="B6057" s="5" t="str">
        <f>"23085051018"</f>
        <v>23085051018</v>
      </c>
      <c r="C6057" s="6">
        <v>115.5</v>
      </c>
      <c r="D6057" s="6">
        <v>117.5</v>
      </c>
      <c r="E6057" s="6">
        <v>233</v>
      </c>
      <c r="F6057" s="11"/>
    </row>
    <row r="6058" spans="1:6">
      <c r="A6058" s="5" t="str">
        <f t="shared" si="105"/>
        <v>202320</v>
      </c>
      <c r="B6058" s="5" t="str">
        <f>"23085051101"</f>
        <v>23085051101</v>
      </c>
      <c r="C6058" s="6">
        <v>112.5</v>
      </c>
      <c r="D6058" s="6">
        <v>120</v>
      </c>
      <c r="E6058" s="6">
        <v>232.5</v>
      </c>
      <c r="F6058" s="11"/>
    </row>
    <row r="6059" spans="1:6">
      <c r="A6059" s="5" t="str">
        <f t="shared" si="105"/>
        <v>202320</v>
      </c>
      <c r="B6059" s="5" t="str">
        <f>"23085051613"</f>
        <v>23085051613</v>
      </c>
      <c r="C6059" s="6">
        <v>111</v>
      </c>
      <c r="D6059" s="6">
        <v>121</v>
      </c>
      <c r="E6059" s="6">
        <v>232</v>
      </c>
      <c r="F6059" s="11"/>
    </row>
    <row r="6060" spans="1:6">
      <c r="A6060" s="5" t="str">
        <f t="shared" si="105"/>
        <v>202320</v>
      </c>
      <c r="B6060" s="5" t="str">
        <f>"23085050915"</f>
        <v>23085050915</v>
      </c>
      <c r="C6060" s="6">
        <v>108</v>
      </c>
      <c r="D6060" s="6">
        <v>122.5</v>
      </c>
      <c r="E6060" s="6">
        <v>230.5</v>
      </c>
      <c r="F6060" s="11"/>
    </row>
    <row r="6061" spans="1:6">
      <c r="A6061" s="5" t="str">
        <f t="shared" si="105"/>
        <v>202320</v>
      </c>
      <c r="B6061" s="5" t="str">
        <f>"23085052506"</f>
        <v>23085052506</v>
      </c>
      <c r="C6061" s="6">
        <v>109.5</v>
      </c>
      <c r="D6061" s="6">
        <v>121</v>
      </c>
      <c r="E6061" s="6">
        <v>230.5</v>
      </c>
      <c r="F6061" s="11"/>
    </row>
    <row r="6062" spans="1:6">
      <c r="A6062" s="5" t="str">
        <f t="shared" si="105"/>
        <v>202320</v>
      </c>
      <c r="B6062" s="5" t="str">
        <f>"23085051930"</f>
        <v>23085051930</v>
      </c>
      <c r="C6062" s="6">
        <v>112.5</v>
      </c>
      <c r="D6062" s="6">
        <v>117.5</v>
      </c>
      <c r="E6062" s="6">
        <v>230</v>
      </c>
      <c r="F6062" s="11"/>
    </row>
    <row r="6063" spans="1:6">
      <c r="A6063" s="5" t="str">
        <f t="shared" si="105"/>
        <v>202320</v>
      </c>
      <c r="B6063" s="5" t="str">
        <f>"23085051312"</f>
        <v>23085051312</v>
      </c>
      <c r="C6063" s="6">
        <v>120</v>
      </c>
      <c r="D6063" s="6">
        <v>109</v>
      </c>
      <c r="E6063" s="6">
        <v>229</v>
      </c>
      <c r="F6063" s="11"/>
    </row>
    <row r="6064" spans="1:6">
      <c r="A6064" s="5" t="str">
        <f t="shared" si="105"/>
        <v>202320</v>
      </c>
      <c r="B6064" s="5" t="str">
        <f>"23085051903"</f>
        <v>23085051903</v>
      </c>
      <c r="C6064" s="6">
        <v>115.5</v>
      </c>
      <c r="D6064" s="6">
        <v>113</v>
      </c>
      <c r="E6064" s="6">
        <v>228.5</v>
      </c>
      <c r="F6064" s="11"/>
    </row>
    <row r="6065" spans="1:6">
      <c r="A6065" s="5" t="str">
        <f t="shared" si="105"/>
        <v>202320</v>
      </c>
      <c r="B6065" s="5" t="str">
        <f>"23085050928"</f>
        <v>23085050928</v>
      </c>
      <c r="C6065" s="6">
        <v>118.5</v>
      </c>
      <c r="D6065" s="6">
        <v>109.5</v>
      </c>
      <c r="E6065" s="6">
        <v>228</v>
      </c>
      <c r="F6065" s="11"/>
    </row>
    <row r="6066" spans="1:6">
      <c r="A6066" s="5" t="str">
        <f t="shared" si="105"/>
        <v>202320</v>
      </c>
      <c r="B6066" s="5" t="str">
        <f>"23085051328"</f>
        <v>23085051328</v>
      </c>
      <c r="C6066" s="6">
        <v>109.5</v>
      </c>
      <c r="D6066" s="6">
        <v>118</v>
      </c>
      <c r="E6066" s="6">
        <v>227.5</v>
      </c>
      <c r="F6066" s="11"/>
    </row>
    <row r="6067" spans="1:6">
      <c r="A6067" s="5" t="str">
        <f t="shared" si="105"/>
        <v>202320</v>
      </c>
      <c r="B6067" s="5" t="str">
        <f>"23085051104"</f>
        <v>23085051104</v>
      </c>
      <c r="C6067" s="6">
        <v>114</v>
      </c>
      <c r="D6067" s="6">
        <v>113</v>
      </c>
      <c r="E6067" s="6">
        <v>227</v>
      </c>
      <c r="F6067" s="11"/>
    </row>
    <row r="6068" spans="1:6">
      <c r="A6068" s="5" t="str">
        <f t="shared" si="105"/>
        <v>202320</v>
      </c>
      <c r="B6068" s="5" t="str">
        <f>"23085052105"</f>
        <v>23085052105</v>
      </c>
      <c r="C6068" s="6">
        <v>108</v>
      </c>
      <c r="D6068" s="6">
        <v>119</v>
      </c>
      <c r="E6068" s="6">
        <v>227</v>
      </c>
      <c r="F6068" s="11"/>
    </row>
    <row r="6069" spans="1:6">
      <c r="A6069" s="5" t="str">
        <f t="shared" si="105"/>
        <v>202320</v>
      </c>
      <c r="B6069" s="5" t="str">
        <f>"23085052221"</f>
        <v>23085052221</v>
      </c>
      <c r="C6069" s="6">
        <v>106.5</v>
      </c>
      <c r="D6069" s="6">
        <v>119</v>
      </c>
      <c r="E6069" s="6">
        <v>225.5</v>
      </c>
      <c r="F6069" s="11"/>
    </row>
    <row r="6070" spans="1:6">
      <c r="A6070" s="5" t="str">
        <f t="shared" si="105"/>
        <v>202320</v>
      </c>
      <c r="B6070" s="5" t="str">
        <f>"23085052306"</f>
        <v>23085052306</v>
      </c>
      <c r="C6070" s="6">
        <v>111</v>
      </c>
      <c r="D6070" s="6">
        <v>114.5</v>
      </c>
      <c r="E6070" s="6">
        <v>225.5</v>
      </c>
      <c r="F6070" s="11"/>
    </row>
    <row r="6071" spans="1:6">
      <c r="A6071" s="5" t="str">
        <f t="shared" si="105"/>
        <v>202320</v>
      </c>
      <c r="B6071" s="5" t="str">
        <f>"23085050722"</f>
        <v>23085050722</v>
      </c>
      <c r="C6071" s="6">
        <v>106.5</v>
      </c>
      <c r="D6071" s="6">
        <v>119</v>
      </c>
      <c r="E6071" s="6">
        <v>225.5</v>
      </c>
      <c r="F6071" s="11"/>
    </row>
    <row r="6072" spans="1:6">
      <c r="A6072" s="5" t="str">
        <f t="shared" si="105"/>
        <v>202320</v>
      </c>
      <c r="B6072" s="5" t="str">
        <f>"23085052324"</f>
        <v>23085052324</v>
      </c>
      <c r="C6072" s="6">
        <v>109.5</v>
      </c>
      <c r="D6072" s="6">
        <v>116</v>
      </c>
      <c r="E6072" s="6">
        <v>225.5</v>
      </c>
      <c r="F6072" s="11"/>
    </row>
    <row r="6073" spans="1:6">
      <c r="A6073" s="5" t="str">
        <f t="shared" si="105"/>
        <v>202320</v>
      </c>
      <c r="B6073" s="5" t="str">
        <f>"23085051410"</f>
        <v>23085051410</v>
      </c>
      <c r="C6073" s="6">
        <v>102</v>
      </c>
      <c r="D6073" s="6">
        <v>123.5</v>
      </c>
      <c r="E6073" s="6">
        <v>225.5</v>
      </c>
      <c r="F6073" s="11"/>
    </row>
    <row r="6074" spans="1:6">
      <c r="A6074" s="5" t="str">
        <f t="shared" si="105"/>
        <v>202320</v>
      </c>
      <c r="B6074" s="5" t="str">
        <f>"23085051003"</f>
        <v>23085051003</v>
      </c>
      <c r="C6074" s="6">
        <v>106.5</v>
      </c>
      <c r="D6074" s="6">
        <v>118.5</v>
      </c>
      <c r="E6074" s="6">
        <v>225</v>
      </c>
      <c r="F6074" s="11"/>
    </row>
    <row r="6075" spans="1:6">
      <c r="A6075" s="5" t="str">
        <f t="shared" si="105"/>
        <v>202320</v>
      </c>
      <c r="B6075" s="5" t="str">
        <f>"23085052417"</f>
        <v>23085052417</v>
      </c>
      <c r="C6075" s="6">
        <v>103.5</v>
      </c>
      <c r="D6075" s="6">
        <v>121.5</v>
      </c>
      <c r="E6075" s="6">
        <v>225</v>
      </c>
      <c r="F6075" s="11"/>
    </row>
    <row r="6076" spans="1:6">
      <c r="A6076" s="5" t="str">
        <f t="shared" si="105"/>
        <v>202320</v>
      </c>
      <c r="B6076" s="5" t="str">
        <f>"23085052310"</f>
        <v>23085052310</v>
      </c>
      <c r="C6076" s="6">
        <v>102</v>
      </c>
      <c r="D6076" s="6">
        <v>122.5</v>
      </c>
      <c r="E6076" s="6">
        <v>224.5</v>
      </c>
      <c r="F6076" s="11"/>
    </row>
    <row r="6077" spans="1:6">
      <c r="A6077" s="5" t="str">
        <f t="shared" si="105"/>
        <v>202320</v>
      </c>
      <c r="B6077" s="5" t="str">
        <f>"23085051520"</f>
        <v>23085051520</v>
      </c>
      <c r="C6077" s="6">
        <v>105</v>
      </c>
      <c r="D6077" s="6">
        <v>119</v>
      </c>
      <c r="E6077" s="6">
        <v>224</v>
      </c>
      <c r="F6077" s="11"/>
    </row>
    <row r="6078" spans="1:6">
      <c r="A6078" s="5" t="str">
        <f t="shared" si="105"/>
        <v>202320</v>
      </c>
      <c r="B6078" s="5" t="str">
        <f>"23085050804"</f>
        <v>23085050804</v>
      </c>
      <c r="C6078" s="6">
        <v>111</v>
      </c>
      <c r="D6078" s="6">
        <v>112</v>
      </c>
      <c r="E6078" s="6">
        <v>223</v>
      </c>
      <c r="F6078" s="11"/>
    </row>
    <row r="6079" spans="1:6">
      <c r="A6079" s="5" t="str">
        <f t="shared" si="105"/>
        <v>202320</v>
      </c>
      <c r="B6079" s="5" t="str">
        <f>"23085052409"</f>
        <v>23085052409</v>
      </c>
      <c r="C6079" s="6">
        <v>103.5</v>
      </c>
      <c r="D6079" s="6">
        <v>119</v>
      </c>
      <c r="E6079" s="6">
        <v>222.5</v>
      </c>
      <c r="F6079" s="11"/>
    </row>
    <row r="6080" spans="1:6">
      <c r="A6080" s="5" t="str">
        <f t="shared" si="105"/>
        <v>202320</v>
      </c>
      <c r="B6080" s="5" t="str">
        <f>"23085050609"</f>
        <v>23085050609</v>
      </c>
      <c r="C6080" s="6">
        <v>111</v>
      </c>
      <c r="D6080" s="6">
        <v>111.5</v>
      </c>
      <c r="E6080" s="6">
        <v>222.5</v>
      </c>
      <c r="F6080" s="11"/>
    </row>
    <row r="6081" spans="1:6">
      <c r="A6081" s="5" t="str">
        <f t="shared" si="105"/>
        <v>202320</v>
      </c>
      <c r="B6081" s="5" t="str">
        <f>"23085051424"</f>
        <v>23085051424</v>
      </c>
      <c r="C6081" s="6">
        <v>109.5</v>
      </c>
      <c r="D6081" s="6">
        <v>112.5</v>
      </c>
      <c r="E6081" s="6">
        <v>222</v>
      </c>
      <c r="F6081" s="11"/>
    </row>
    <row r="6082" spans="1:6">
      <c r="A6082" s="5" t="str">
        <f t="shared" si="105"/>
        <v>202320</v>
      </c>
      <c r="B6082" s="5" t="str">
        <f>"23085052430"</f>
        <v>23085052430</v>
      </c>
      <c r="C6082" s="6">
        <v>109.5</v>
      </c>
      <c r="D6082" s="6">
        <v>112.5</v>
      </c>
      <c r="E6082" s="6">
        <v>222</v>
      </c>
      <c r="F6082" s="11"/>
    </row>
    <row r="6083" spans="1:6">
      <c r="A6083" s="5" t="str">
        <f t="shared" si="105"/>
        <v>202320</v>
      </c>
      <c r="B6083" s="5" t="str">
        <f>"23085052428"</f>
        <v>23085052428</v>
      </c>
      <c r="C6083" s="6">
        <v>105</v>
      </c>
      <c r="D6083" s="6">
        <v>116.5</v>
      </c>
      <c r="E6083" s="6">
        <v>221.5</v>
      </c>
      <c r="F6083" s="11"/>
    </row>
    <row r="6084" spans="1:6">
      <c r="A6084" s="5" t="str">
        <f t="shared" si="105"/>
        <v>202320</v>
      </c>
      <c r="B6084" s="5" t="str">
        <f>"23085052024"</f>
        <v>23085052024</v>
      </c>
      <c r="C6084" s="6">
        <v>108</v>
      </c>
      <c r="D6084" s="6">
        <v>113.5</v>
      </c>
      <c r="E6084" s="6">
        <v>221.5</v>
      </c>
      <c r="F6084" s="11"/>
    </row>
    <row r="6085" spans="1:6">
      <c r="A6085" s="5" t="str">
        <f t="shared" si="105"/>
        <v>202320</v>
      </c>
      <c r="B6085" s="5" t="str">
        <f>"23085052528"</f>
        <v>23085052528</v>
      </c>
      <c r="C6085" s="6">
        <v>109.5</v>
      </c>
      <c r="D6085" s="6">
        <v>111.5</v>
      </c>
      <c r="E6085" s="6">
        <v>221</v>
      </c>
      <c r="F6085" s="11"/>
    </row>
    <row r="6086" spans="1:6">
      <c r="A6086" s="5" t="str">
        <f t="shared" si="105"/>
        <v>202320</v>
      </c>
      <c r="B6086" s="5" t="str">
        <f>"23085052226"</f>
        <v>23085052226</v>
      </c>
      <c r="C6086" s="6">
        <v>97.5</v>
      </c>
      <c r="D6086" s="6">
        <v>123.5</v>
      </c>
      <c r="E6086" s="6">
        <v>221</v>
      </c>
      <c r="F6086" s="11"/>
    </row>
    <row r="6087" spans="1:6">
      <c r="A6087" s="5" t="str">
        <f t="shared" si="105"/>
        <v>202320</v>
      </c>
      <c r="B6087" s="5" t="str">
        <f>"23085050713"</f>
        <v>23085050713</v>
      </c>
      <c r="C6087" s="6">
        <v>111</v>
      </c>
      <c r="D6087" s="6">
        <v>110</v>
      </c>
      <c r="E6087" s="6">
        <v>221</v>
      </c>
      <c r="F6087" s="11"/>
    </row>
    <row r="6088" spans="1:6">
      <c r="A6088" s="5" t="str">
        <f t="shared" si="105"/>
        <v>202320</v>
      </c>
      <c r="B6088" s="5" t="str">
        <f>"23085051606"</f>
        <v>23085051606</v>
      </c>
      <c r="C6088" s="6">
        <v>103.5</v>
      </c>
      <c r="D6088" s="6">
        <v>117.5</v>
      </c>
      <c r="E6088" s="6">
        <v>221</v>
      </c>
      <c r="F6088" s="11"/>
    </row>
    <row r="6089" spans="1:6">
      <c r="A6089" s="5" t="str">
        <f t="shared" si="105"/>
        <v>202320</v>
      </c>
      <c r="B6089" s="5" t="str">
        <f>"23085052109"</f>
        <v>23085052109</v>
      </c>
      <c r="C6089" s="6">
        <v>111</v>
      </c>
      <c r="D6089" s="6">
        <v>110</v>
      </c>
      <c r="E6089" s="6">
        <v>221</v>
      </c>
      <c r="F6089" s="11"/>
    </row>
    <row r="6090" spans="1:6">
      <c r="A6090" s="5" t="str">
        <f t="shared" si="105"/>
        <v>202320</v>
      </c>
      <c r="B6090" s="5" t="str">
        <f>"23085052002"</f>
        <v>23085052002</v>
      </c>
      <c r="C6090" s="6">
        <v>106.5</v>
      </c>
      <c r="D6090" s="6">
        <v>114.5</v>
      </c>
      <c r="E6090" s="6">
        <v>221</v>
      </c>
      <c r="F6090" s="11"/>
    </row>
    <row r="6091" spans="1:6">
      <c r="A6091" s="5" t="str">
        <f t="shared" si="105"/>
        <v>202320</v>
      </c>
      <c r="B6091" s="5" t="str">
        <f>"23085052029"</f>
        <v>23085052029</v>
      </c>
      <c r="C6091" s="6">
        <v>105</v>
      </c>
      <c r="D6091" s="6">
        <v>115.5</v>
      </c>
      <c r="E6091" s="6">
        <v>220.5</v>
      </c>
      <c r="F6091" s="11"/>
    </row>
    <row r="6092" spans="1:6">
      <c r="A6092" s="5" t="str">
        <f t="shared" si="105"/>
        <v>202320</v>
      </c>
      <c r="B6092" s="5" t="str">
        <f>"23085052407"</f>
        <v>23085052407</v>
      </c>
      <c r="C6092" s="6">
        <v>103.5</v>
      </c>
      <c r="D6092" s="6">
        <v>116.5</v>
      </c>
      <c r="E6092" s="6">
        <v>220</v>
      </c>
      <c r="F6092" s="11"/>
    </row>
    <row r="6093" spans="1:6">
      <c r="A6093" s="5" t="str">
        <f t="shared" si="105"/>
        <v>202320</v>
      </c>
      <c r="B6093" s="5" t="str">
        <f>"23085052206"</f>
        <v>23085052206</v>
      </c>
      <c r="C6093" s="6">
        <v>111</v>
      </c>
      <c r="D6093" s="6">
        <v>109</v>
      </c>
      <c r="E6093" s="6">
        <v>220</v>
      </c>
      <c r="F6093" s="11"/>
    </row>
    <row r="6094" spans="1:6">
      <c r="A6094" s="5" t="str">
        <f t="shared" si="105"/>
        <v>202320</v>
      </c>
      <c r="B6094" s="5" t="str">
        <f>"23085052529"</f>
        <v>23085052529</v>
      </c>
      <c r="C6094" s="6">
        <v>102</v>
      </c>
      <c r="D6094" s="6">
        <v>117.5</v>
      </c>
      <c r="E6094" s="6">
        <v>219.5</v>
      </c>
      <c r="F6094" s="11"/>
    </row>
    <row r="6095" spans="1:6">
      <c r="A6095" s="5" t="str">
        <f t="shared" si="105"/>
        <v>202320</v>
      </c>
      <c r="B6095" s="5" t="str">
        <f>"23085052009"</f>
        <v>23085052009</v>
      </c>
      <c r="C6095" s="6">
        <v>99</v>
      </c>
      <c r="D6095" s="6">
        <v>120</v>
      </c>
      <c r="E6095" s="6">
        <v>219</v>
      </c>
      <c r="F6095" s="11"/>
    </row>
    <row r="6096" spans="1:6">
      <c r="A6096" s="5" t="str">
        <f t="shared" si="105"/>
        <v>202320</v>
      </c>
      <c r="B6096" s="5" t="str">
        <f>"23085052028"</f>
        <v>23085052028</v>
      </c>
      <c r="C6096" s="6">
        <v>97.5</v>
      </c>
      <c r="D6096" s="6">
        <v>121</v>
      </c>
      <c r="E6096" s="6">
        <v>218.5</v>
      </c>
      <c r="F6096" s="11"/>
    </row>
    <row r="6097" spans="1:6">
      <c r="A6097" s="5" t="str">
        <f t="shared" si="105"/>
        <v>202320</v>
      </c>
      <c r="B6097" s="5" t="str">
        <f>"23085050920"</f>
        <v>23085050920</v>
      </c>
      <c r="C6097" s="6">
        <v>108</v>
      </c>
      <c r="D6097" s="6">
        <v>110.5</v>
      </c>
      <c r="E6097" s="6">
        <v>218.5</v>
      </c>
      <c r="F6097" s="11"/>
    </row>
    <row r="6098" spans="1:6">
      <c r="A6098" s="5" t="str">
        <f t="shared" si="105"/>
        <v>202320</v>
      </c>
      <c r="B6098" s="5" t="str">
        <f>"23085050507"</f>
        <v>23085050507</v>
      </c>
      <c r="C6098" s="6">
        <v>109.5</v>
      </c>
      <c r="D6098" s="6">
        <v>109</v>
      </c>
      <c r="E6098" s="6">
        <v>218.5</v>
      </c>
      <c r="F6098" s="11"/>
    </row>
    <row r="6099" spans="1:6">
      <c r="A6099" s="5" t="str">
        <f t="shared" si="105"/>
        <v>202320</v>
      </c>
      <c r="B6099" s="5" t="str">
        <f>"23085051728"</f>
        <v>23085051728</v>
      </c>
      <c r="C6099" s="6">
        <v>100.5</v>
      </c>
      <c r="D6099" s="6">
        <v>117.5</v>
      </c>
      <c r="E6099" s="6">
        <v>218</v>
      </c>
      <c r="F6099" s="11"/>
    </row>
    <row r="6100" spans="1:6">
      <c r="A6100" s="5" t="str">
        <f t="shared" si="105"/>
        <v>202320</v>
      </c>
      <c r="B6100" s="5" t="str">
        <f>"23085051607"</f>
        <v>23085051607</v>
      </c>
      <c r="C6100" s="6">
        <v>99</v>
      </c>
      <c r="D6100" s="6">
        <v>119</v>
      </c>
      <c r="E6100" s="6">
        <v>218</v>
      </c>
      <c r="F6100" s="11"/>
    </row>
    <row r="6101" spans="1:6">
      <c r="A6101" s="5" t="str">
        <f t="shared" si="105"/>
        <v>202320</v>
      </c>
      <c r="B6101" s="5" t="str">
        <f>"23085051113"</f>
        <v>23085051113</v>
      </c>
      <c r="C6101" s="6">
        <v>111</v>
      </c>
      <c r="D6101" s="6">
        <v>107</v>
      </c>
      <c r="E6101" s="6">
        <v>218</v>
      </c>
      <c r="F6101" s="11"/>
    </row>
    <row r="6102" spans="1:6">
      <c r="A6102" s="5" t="str">
        <f t="shared" si="105"/>
        <v>202320</v>
      </c>
      <c r="B6102" s="5" t="str">
        <f>"23085051203"</f>
        <v>23085051203</v>
      </c>
      <c r="C6102" s="6">
        <v>103.5</v>
      </c>
      <c r="D6102" s="6">
        <v>113.5</v>
      </c>
      <c r="E6102" s="6">
        <v>217</v>
      </c>
      <c r="F6102" s="11"/>
    </row>
    <row r="6103" spans="1:6">
      <c r="A6103" s="5" t="str">
        <f t="shared" si="105"/>
        <v>202320</v>
      </c>
      <c r="B6103" s="5" t="str">
        <f>"23085051521"</f>
        <v>23085051521</v>
      </c>
      <c r="C6103" s="6">
        <v>99</v>
      </c>
      <c r="D6103" s="6">
        <v>118</v>
      </c>
      <c r="E6103" s="6">
        <v>217</v>
      </c>
      <c r="F6103" s="11"/>
    </row>
    <row r="6104" spans="1:6">
      <c r="A6104" s="5" t="str">
        <f t="shared" si="105"/>
        <v>202320</v>
      </c>
      <c r="B6104" s="5" t="str">
        <f>"23085051405"</f>
        <v>23085051405</v>
      </c>
      <c r="C6104" s="6">
        <v>102</v>
      </c>
      <c r="D6104" s="6">
        <v>114.5</v>
      </c>
      <c r="E6104" s="6">
        <v>216.5</v>
      </c>
      <c r="F6104" s="11"/>
    </row>
    <row r="6105" spans="1:6">
      <c r="A6105" s="5" t="str">
        <f t="shared" si="105"/>
        <v>202320</v>
      </c>
      <c r="B6105" s="5" t="str">
        <f>"23085050824"</f>
        <v>23085050824</v>
      </c>
      <c r="C6105" s="6">
        <v>105</v>
      </c>
      <c r="D6105" s="6">
        <v>111.5</v>
      </c>
      <c r="E6105" s="6">
        <v>216.5</v>
      </c>
      <c r="F6105" s="11"/>
    </row>
    <row r="6106" spans="1:6">
      <c r="A6106" s="5" t="str">
        <f t="shared" si="105"/>
        <v>202320</v>
      </c>
      <c r="B6106" s="5" t="str">
        <f>"23085051330"</f>
        <v>23085051330</v>
      </c>
      <c r="C6106" s="6">
        <v>103.5</v>
      </c>
      <c r="D6106" s="6">
        <v>113</v>
      </c>
      <c r="E6106" s="6">
        <v>216.5</v>
      </c>
      <c r="F6106" s="11"/>
    </row>
    <row r="6107" spans="1:6">
      <c r="A6107" s="5" t="str">
        <f t="shared" si="105"/>
        <v>202320</v>
      </c>
      <c r="B6107" s="5" t="str">
        <f>"23085051808"</f>
        <v>23085051808</v>
      </c>
      <c r="C6107" s="6">
        <v>94.5</v>
      </c>
      <c r="D6107" s="6">
        <v>122</v>
      </c>
      <c r="E6107" s="6">
        <v>216.5</v>
      </c>
      <c r="F6107" s="11"/>
    </row>
    <row r="6108" spans="1:6">
      <c r="A6108" s="5" t="str">
        <f t="shared" si="105"/>
        <v>202320</v>
      </c>
      <c r="B6108" s="5" t="str">
        <f>"23085051909"</f>
        <v>23085051909</v>
      </c>
      <c r="C6108" s="6">
        <v>105</v>
      </c>
      <c r="D6108" s="6">
        <v>111</v>
      </c>
      <c r="E6108" s="6">
        <v>216</v>
      </c>
      <c r="F6108" s="11"/>
    </row>
    <row r="6109" spans="1:6">
      <c r="A6109" s="5" t="str">
        <f t="shared" si="105"/>
        <v>202320</v>
      </c>
      <c r="B6109" s="5" t="str">
        <f>"23085050418"</f>
        <v>23085050418</v>
      </c>
      <c r="C6109" s="6">
        <v>102</v>
      </c>
      <c r="D6109" s="6">
        <v>114</v>
      </c>
      <c r="E6109" s="6">
        <v>216</v>
      </c>
      <c r="F6109" s="11"/>
    </row>
    <row r="6110" spans="1:6">
      <c r="A6110" s="5" t="str">
        <f t="shared" si="105"/>
        <v>202320</v>
      </c>
      <c r="B6110" s="5" t="str">
        <f>"23085050503"</f>
        <v>23085050503</v>
      </c>
      <c r="C6110" s="6">
        <v>97.5</v>
      </c>
      <c r="D6110" s="6">
        <v>118</v>
      </c>
      <c r="E6110" s="6">
        <v>215.5</v>
      </c>
      <c r="F6110" s="11"/>
    </row>
    <row r="6111" spans="1:6">
      <c r="A6111" s="5" t="str">
        <f t="shared" ref="A6111:A6174" si="106">"202320"</f>
        <v>202320</v>
      </c>
      <c r="B6111" s="5" t="str">
        <f>"23085051626"</f>
        <v>23085051626</v>
      </c>
      <c r="C6111" s="6">
        <v>102</v>
      </c>
      <c r="D6111" s="6">
        <v>113.5</v>
      </c>
      <c r="E6111" s="6">
        <v>215.5</v>
      </c>
      <c r="F6111" s="11"/>
    </row>
    <row r="6112" spans="1:6">
      <c r="A6112" s="5" t="str">
        <f t="shared" si="106"/>
        <v>202320</v>
      </c>
      <c r="B6112" s="5" t="str">
        <f>"23085051425"</f>
        <v>23085051425</v>
      </c>
      <c r="C6112" s="6">
        <v>108</v>
      </c>
      <c r="D6112" s="6">
        <v>107</v>
      </c>
      <c r="E6112" s="6">
        <v>215</v>
      </c>
      <c r="F6112" s="11"/>
    </row>
    <row r="6113" spans="1:6">
      <c r="A6113" s="5" t="str">
        <f t="shared" si="106"/>
        <v>202320</v>
      </c>
      <c r="B6113" s="5" t="str">
        <f>"23085051324"</f>
        <v>23085051324</v>
      </c>
      <c r="C6113" s="6">
        <v>96</v>
      </c>
      <c r="D6113" s="6">
        <v>119</v>
      </c>
      <c r="E6113" s="6">
        <v>215</v>
      </c>
      <c r="F6113" s="11"/>
    </row>
    <row r="6114" spans="1:6">
      <c r="A6114" s="5" t="str">
        <f t="shared" si="106"/>
        <v>202320</v>
      </c>
      <c r="B6114" s="5" t="str">
        <f>"23085051724"</f>
        <v>23085051724</v>
      </c>
      <c r="C6114" s="6">
        <v>99</v>
      </c>
      <c r="D6114" s="6">
        <v>115.5</v>
      </c>
      <c r="E6114" s="6">
        <v>214.5</v>
      </c>
      <c r="F6114" s="11"/>
    </row>
    <row r="6115" spans="1:6">
      <c r="A6115" s="5" t="str">
        <f t="shared" si="106"/>
        <v>202320</v>
      </c>
      <c r="B6115" s="5" t="str">
        <f>"23085051403"</f>
        <v>23085051403</v>
      </c>
      <c r="C6115" s="6">
        <v>97.5</v>
      </c>
      <c r="D6115" s="6">
        <v>117</v>
      </c>
      <c r="E6115" s="6">
        <v>214.5</v>
      </c>
      <c r="F6115" s="11"/>
    </row>
    <row r="6116" spans="1:6">
      <c r="A6116" s="5" t="str">
        <f t="shared" si="106"/>
        <v>202320</v>
      </c>
      <c r="B6116" s="5" t="str">
        <f>"23085051805"</f>
        <v>23085051805</v>
      </c>
      <c r="C6116" s="6">
        <v>96</v>
      </c>
      <c r="D6116" s="6">
        <v>118.5</v>
      </c>
      <c r="E6116" s="6">
        <v>214.5</v>
      </c>
      <c r="F6116" s="11"/>
    </row>
    <row r="6117" spans="1:6">
      <c r="A6117" s="5" t="str">
        <f t="shared" si="106"/>
        <v>202320</v>
      </c>
      <c r="B6117" s="5" t="str">
        <f>"23085051321"</f>
        <v>23085051321</v>
      </c>
      <c r="C6117" s="6">
        <v>96</v>
      </c>
      <c r="D6117" s="6">
        <v>118.5</v>
      </c>
      <c r="E6117" s="6">
        <v>214.5</v>
      </c>
      <c r="F6117" s="11"/>
    </row>
    <row r="6118" spans="1:6">
      <c r="A6118" s="5" t="str">
        <f t="shared" si="106"/>
        <v>202320</v>
      </c>
      <c r="B6118" s="5" t="str">
        <f>"23085050513"</f>
        <v>23085050513</v>
      </c>
      <c r="C6118" s="6">
        <v>100.5</v>
      </c>
      <c r="D6118" s="6">
        <v>114</v>
      </c>
      <c r="E6118" s="6">
        <v>214.5</v>
      </c>
      <c r="F6118" s="11"/>
    </row>
    <row r="6119" spans="1:6">
      <c r="A6119" s="5" t="str">
        <f t="shared" si="106"/>
        <v>202320</v>
      </c>
      <c r="B6119" s="5" t="str">
        <f>"23085052321"</f>
        <v>23085052321</v>
      </c>
      <c r="C6119" s="6">
        <v>99</v>
      </c>
      <c r="D6119" s="6">
        <v>115</v>
      </c>
      <c r="E6119" s="6">
        <v>214</v>
      </c>
      <c r="F6119" s="11"/>
    </row>
    <row r="6120" spans="1:6">
      <c r="A6120" s="5" t="str">
        <f t="shared" si="106"/>
        <v>202320</v>
      </c>
      <c r="B6120" s="5" t="str">
        <f>"23085052201"</f>
        <v>23085052201</v>
      </c>
      <c r="C6120" s="6">
        <v>100.5</v>
      </c>
      <c r="D6120" s="6">
        <v>113.5</v>
      </c>
      <c r="E6120" s="6">
        <v>214</v>
      </c>
      <c r="F6120" s="11"/>
    </row>
    <row r="6121" spans="1:6">
      <c r="A6121" s="5" t="str">
        <f t="shared" si="106"/>
        <v>202320</v>
      </c>
      <c r="B6121" s="5" t="str">
        <f>"23085051717"</f>
        <v>23085051717</v>
      </c>
      <c r="C6121" s="6">
        <v>97.5</v>
      </c>
      <c r="D6121" s="6">
        <v>116</v>
      </c>
      <c r="E6121" s="6">
        <v>213.5</v>
      </c>
      <c r="F6121" s="11"/>
    </row>
    <row r="6122" spans="1:6">
      <c r="A6122" s="5" t="str">
        <f t="shared" si="106"/>
        <v>202320</v>
      </c>
      <c r="B6122" s="5" t="str">
        <f>"23085051730"</f>
        <v>23085051730</v>
      </c>
      <c r="C6122" s="6">
        <v>99</v>
      </c>
      <c r="D6122" s="6">
        <v>114</v>
      </c>
      <c r="E6122" s="6">
        <v>213</v>
      </c>
      <c r="F6122" s="11"/>
    </row>
    <row r="6123" spans="1:6">
      <c r="A6123" s="5" t="str">
        <f t="shared" si="106"/>
        <v>202320</v>
      </c>
      <c r="B6123" s="5" t="str">
        <f>"23085051116"</f>
        <v>23085051116</v>
      </c>
      <c r="C6123" s="6">
        <v>94.5</v>
      </c>
      <c r="D6123" s="6">
        <v>118.5</v>
      </c>
      <c r="E6123" s="6">
        <v>213</v>
      </c>
      <c r="F6123" s="11"/>
    </row>
    <row r="6124" spans="1:6">
      <c r="A6124" s="5" t="str">
        <f t="shared" si="106"/>
        <v>202320</v>
      </c>
      <c r="B6124" s="5" t="str">
        <f>"23085052524"</f>
        <v>23085052524</v>
      </c>
      <c r="C6124" s="6">
        <v>96</v>
      </c>
      <c r="D6124" s="6">
        <v>117</v>
      </c>
      <c r="E6124" s="6">
        <v>213</v>
      </c>
      <c r="F6124" s="11"/>
    </row>
    <row r="6125" spans="1:6">
      <c r="A6125" s="5" t="str">
        <f t="shared" si="106"/>
        <v>202320</v>
      </c>
      <c r="B6125" s="5" t="str">
        <f>"23085050505"</f>
        <v>23085050505</v>
      </c>
      <c r="C6125" s="6">
        <v>94.5</v>
      </c>
      <c r="D6125" s="6">
        <v>118.5</v>
      </c>
      <c r="E6125" s="6">
        <v>213</v>
      </c>
      <c r="F6125" s="11"/>
    </row>
    <row r="6126" spans="1:6">
      <c r="A6126" s="5" t="str">
        <f t="shared" si="106"/>
        <v>202320</v>
      </c>
      <c r="B6126" s="5" t="str">
        <f>"23085051624"</f>
        <v>23085051624</v>
      </c>
      <c r="C6126" s="6">
        <v>96</v>
      </c>
      <c r="D6126" s="6">
        <v>116.5</v>
      </c>
      <c r="E6126" s="6">
        <v>212.5</v>
      </c>
      <c r="F6126" s="11"/>
    </row>
    <row r="6127" spans="1:6">
      <c r="A6127" s="5" t="str">
        <f t="shared" si="106"/>
        <v>202320</v>
      </c>
      <c r="B6127" s="5" t="str">
        <f>"23085050816"</f>
        <v>23085050816</v>
      </c>
      <c r="C6127" s="6">
        <v>96</v>
      </c>
      <c r="D6127" s="6">
        <v>116.5</v>
      </c>
      <c r="E6127" s="6">
        <v>212.5</v>
      </c>
      <c r="F6127" s="11"/>
    </row>
    <row r="6128" spans="1:6">
      <c r="A6128" s="5" t="str">
        <f t="shared" si="106"/>
        <v>202320</v>
      </c>
      <c r="B6128" s="5" t="str">
        <f>"23085052121"</f>
        <v>23085052121</v>
      </c>
      <c r="C6128" s="6">
        <v>97.5</v>
      </c>
      <c r="D6128" s="6">
        <v>115</v>
      </c>
      <c r="E6128" s="6">
        <v>212.5</v>
      </c>
      <c r="F6128" s="11"/>
    </row>
    <row r="6129" spans="1:6">
      <c r="A6129" s="5" t="str">
        <f t="shared" si="106"/>
        <v>202320</v>
      </c>
      <c r="B6129" s="5" t="str">
        <f>"23085050903"</f>
        <v>23085050903</v>
      </c>
      <c r="C6129" s="6">
        <v>94.5</v>
      </c>
      <c r="D6129" s="6">
        <v>118</v>
      </c>
      <c r="E6129" s="6">
        <v>212.5</v>
      </c>
      <c r="F6129" s="11"/>
    </row>
    <row r="6130" spans="1:6">
      <c r="A6130" s="5" t="str">
        <f t="shared" si="106"/>
        <v>202320</v>
      </c>
      <c r="B6130" s="5" t="str">
        <f>"23085051522"</f>
        <v>23085051522</v>
      </c>
      <c r="C6130" s="6">
        <v>88.5</v>
      </c>
      <c r="D6130" s="6">
        <v>124</v>
      </c>
      <c r="E6130" s="6">
        <v>212.5</v>
      </c>
      <c r="F6130" s="11"/>
    </row>
    <row r="6131" spans="1:6">
      <c r="A6131" s="5" t="str">
        <f t="shared" si="106"/>
        <v>202320</v>
      </c>
      <c r="B6131" s="5" t="str">
        <f>"23085051030"</f>
        <v>23085051030</v>
      </c>
      <c r="C6131" s="6">
        <v>97.5</v>
      </c>
      <c r="D6131" s="6">
        <v>115</v>
      </c>
      <c r="E6131" s="6">
        <v>212.5</v>
      </c>
      <c r="F6131" s="11"/>
    </row>
    <row r="6132" spans="1:6">
      <c r="A6132" s="5" t="str">
        <f t="shared" si="106"/>
        <v>202320</v>
      </c>
      <c r="B6132" s="5" t="str">
        <f>"23085052404"</f>
        <v>23085052404</v>
      </c>
      <c r="C6132" s="6">
        <v>96</v>
      </c>
      <c r="D6132" s="6">
        <v>116</v>
      </c>
      <c r="E6132" s="6">
        <v>212</v>
      </c>
      <c r="F6132" s="11"/>
    </row>
    <row r="6133" spans="1:6">
      <c r="A6133" s="5" t="str">
        <f t="shared" si="106"/>
        <v>202320</v>
      </c>
      <c r="B6133" s="5" t="str">
        <f>"23085050617"</f>
        <v>23085050617</v>
      </c>
      <c r="C6133" s="6">
        <v>96</v>
      </c>
      <c r="D6133" s="6">
        <v>116</v>
      </c>
      <c r="E6133" s="6">
        <v>212</v>
      </c>
      <c r="F6133" s="11"/>
    </row>
    <row r="6134" spans="1:6">
      <c r="A6134" s="5" t="str">
        <f t="shared" si="106"/>
        <v>202320</v>
      </c>
      <c r="B6134" s="5" t="str">
        <f>"23085051314"</f>
        <v>23085051314</v>
      </c>
      <c r="C6134" s="6">
        <v>99</v>
      </c>
      <c r="D6134" s="6">
        <v>113</v>
      </c>
      <c r="E6134" s="6">
        <v>212</v>
      </c>
      <c r="F6134" s="11"/>
    </row>
    <row r="6135" spans="1:6">
      <c r="A6135" s="5" t="str">
        <f t="shared" si="106"/>
        <v>202320</v>
      </c>
      <c r="B6135" s="5" t="str">
        <f>"23085050924"</f>
        <v>23085050924</v>
      </c>
      <c r="C6135" s="6">
        <v>108</v>
      </c>
      <c r="D6135" s="6">
        <v>104</v>
      </c>
      <c r="E6135" s="6">
        <v>212</v>
      </c>
      <c r="F6135" s="11"/>
    </row>
    <row r="6136" spans="1:6">
      <c r="A6136" s="5" t="str">
        <f t="shared" si="106"/>
        <v>202320</v>
      </c>
      <c r="B6136" s="5" t="str">
        <f>"23085050702"</f>
        <v>23085050702</v>
      </c>
      <c r="C6136" s="6">
        <v>99</v>
      </c>
      <c r="D6136" s="6">
        <v>113</v>
      </c>
      <c r="E6136" s="6">
        <v>212</v>
      </c>
      <c r="F6136" s="11"/>
    </row>
    <row r="6137" spans="1:6">
      <c r="A6137" s="5" t="str">
        <f t="shared" si="106"/>
        <v>202320</v>
      </c>
      <c r="B6137" s="5" t="str">
        <f>"23085051406"</f>
        <v>23085051406</v>
      </c>
      <c r="C6137" s="6">
        <v>91.5</v>
      </c>
      <c r="D6137" s="6">
        <v>120</v>
      </c>
      <c r="E6137" s="6">
        <v>211.5</v>
      </c>
      <c r="F6137" s="11"/>
    </row>
    <row r="6138" spans="1:6">
      <c r="A6138" s="5" t="str">
        <f t="shared" si="106"/>
        <v>202320</v>
      </c>
      <c r="B6138" s="5" t="str">
        <f>"23085050821"</f>
        <v>23085050821</v>
      </c>
      <c r="C6138" s="6">
        <v>99</v>
      </c>
      <c r="D6138" s="6">
        <v>112.5</v>
      </c>
      <c r="E6138" s="6">
        <v>211.5</v>
      </c>
      <c r="F6138" s="11"/>
    </row>
    <row r="6139" spans="1:6">
      <c r="A6139" s="5" t="str">
        <f t="shared" si="106"/>
        <v>202320</v>
      </c>
      <c r="B6139" s="5" t="str">
        <f>"23085052503"</f>
        <v>23085052503</v>
      </c>
      <c r="C6139" s="6">
        <v>93</v>
      </c>
      <c r="D6139" s="6">
        <v>118.5</v>
      </c>
      <c r="E6139" s="6">
        <v>211.5</v>
      </c>
      <c r="F6139" s="11"/>
    </row>
    <row r="6140" spans="1:6">
      <c r="A6140" s="5" t="str">
        <f t="shared" si="106"/>
        <v>202320</v>
      </c>
      <c r="B6140" s="5" t="str">
        <f>"23085050527"</f>
        <v>23085050527</v>
      </c>
      <c r="C6140" s="6">
        <v>94.5</v>
      </c>
      <c r="D6140" s="6">
        <v>116.5</v>
      </c>
      <c r="E6140" s="6">
        <v>211</v>
      </c>
      <c r="F6140" s="11"/>
    </row>
    <row r="6141" spans="1:6">
      <c r="A6141" s="5" t="str">
        <f t="shared" si="106"/>
        <v>202320</v>
      </c>
      <c r="B6141" s="5" t="str">
        <f>"23085051921"</f>
        <v>23085051921</v>
      </c>
      <c r="C6141" s="6">
        <v>94.5</v>
      </c>
      <c r="D6141" s="6">
        <v>116.5</v>
      </c>
      <c r="E6141" s="6">
        <v>211</v>
      </c>
      <c r="F6141" s="11"/>
    </row>
    <row r="6142" spans="1:6">
      <c r="A6142" s="5" t="str">
        <f t="shared" si="106"/>
        <v>202320</v>
      </c>
      <c r="B6142" s="5" t="str">
        <f>"23085051414"</f>
        <v>23085051414</v>
      </c>
      <c r="C6142" s="6">
        <v>93</v>
      </c>
      <c r="D6142" s="6">
        <v>118</v>
      </c>
      <c r="E6142" s="6">
        <v>211</v>
      </c>
      <c r="F6142" s="11"/>
    </row>
    <row r="6143" spans="1:6">
      <c r="A6143" s="5" t="str">
        <f t="shared" si="106"/>
        <v>202320</v>
      </c>
      <c r="B6143" s="5" t="str">
        <f>"23085051416"</f>
        <v>23085051416</v>
      </c>
      <c r="C6143" s="6">
        <v>94.5</v>
      </c>
      <c r="D6143" s="6">
        <v>116.5</v>
      </c>
      <c r="E6143" s="6">
        <v>211</v>
      </c>
      <c r="F6143" s="11"/>
    </row>
    <row r="6144" spans="1:6">
      <c r="A6144" s="5" t="str">
        <f t="shared" si="106"/>
        <v>202320</v>
      </c>
      <c r="B6144" s="5" t="str">
        <f>"23085052227"</f>
        <v>23085052227</v>
      </c>
      <c r="C6144" s="6">
        <v>97.5</v>
      </c>
      <c r="D6144" s="6">
        <v>113.5</v>
      </c>
      <c r="E6144" s="6">
        <v>211</v>
      </c>
      <c r="F6144" s="11"/>
    </row>
    <row r="6145" spans="1:6">
      <c r="A6145" s="5" t="str">
        <f t="shared" si="106"/>
        <v>202320</v>
      </c>
      <c r="B6145" s="5" t="str">
        <f>"23085051219"</f>
        <v>23085051219</v>
      </c>
      <c r="C6145" s="6">
        <v>94.5</v>
      </c>
      <c r="D6145" s="6">
        <v>115.5</v>
      </c>
      <c r="E6145" s="6">
        <v>210</v>
      </c>
      <c r="F6145" s="11"/>
    </row>
    <row r="6146" spans="1:6">
      <c r="A6146" s="5" t="str">
        <f t="shared" si="106"/>
        <v>202320</v>
      </c>
      <c r="B6146" s="5" t="str">
        <f>"23085050627"</f>
        <v>23085050627</v>
      </c>
      <c r="C6146" s="6">
        <v>90</v>
      </c>
      <c r="D6146" s="6">
        <v>120</v>
      </c>
      <c r="E6146" s="6">
        <v>210</v>
      </c>
      <c r="F6146" s="11"/>
    </row>
    <row r="6147" spans="1:6">
      <c r="A6147" s="5" t="str">
        <f t="shared" si="106"/>
        <v>202320</v>
      </c>
      <c r="B6147" s="5" t="str">
        <f>"23085050430"</f>
        <v>23085050430</v>
      </c>
      <c r="C6147" s="6">
        <v>90</v>
      </c>
      <c r="D6147" s="6">
        <v>120</v>
      </c>
      <c r="E6147" s="6">
        <v>210</v>
      </c>
      <c r="F6147" s="11"/>
    </row>
    <row r="6148" spans="1:6">
      <c r="A6148" s="5" t="str">
        <f t="shared" si="106"/>
        <v>202320</v>
      </c>
      <c r="B6148" s="5" t="str">
        <f>"23085052403"</f>
        <v>23085052403</v>
      </c>
      <c r="C6148" s="6">
        <v>87</v>
      </c>
      <c r="D6148" s="6">
        <v>123</v>
      </c>
      <c r="E6148" s="6">
        <v>210</v>
      </c>
      <c r="F6148" s="11"/>
    </row>
    <row r="6149" spans="1:6">
      <c r="A6149" s="5" t="str">
        <f t="shared" si="106"/>
        <v>202320</v>
      </c>
      <c r="B6149" s="5" t="str">
        <f>"23085051511"</f>
        <v>23085051511</v>
      </c>
      <c r="C6149" s="6">
        <v>93</v>
      </c>
      <c r="D6149" s="6">
        <v>116.5</v>
      </c>
      <c r="E6149" s="6">
        <v>209.5</v>
      </c>
      <c r="F6149" s="11"/>
    </row>
    <row r="6150" spans="1:6">
      <c r="A6150" s="5" t="str">
        <f t="shared" si="106"/>
        <v>202320</v>
      </c>
      <c r="B6150" s="5" t="str">
        <f>"23085051408"</f>
        <v>23085051408</v>
      </c>
      <c r="C6150" s="6">
        <v>90</v>
      </c>
      <c r="D6150" s="6">
        <v>119.5</v>
      </c>
      <c r="E6150" s="6">
        <v>209.5</v>
      </c>
      <c r="F6150" s="11"/>
    </row>
    <row r="6151" spans="1:6">
      <c r="A6151" s="5" t="str">
        <f t="shared" si="106"/>
        <v>202320</v>
      </c>
      <c r="B6151" s="5" t="str">
        <f>"23085050815"</f>
        <v>23085050815</v>
      </c>
      <c r="C6151" s="6">
        <v>94.5</v>
      </c>
      <c r="D6151" s="6">
        <v>115</v>
      </c>
      <c r="E6151" s="6">
        <v>209.5</v>
      </c>
      <c r="F6151" s="11"/>
    </row>
    <row r="6152" spans="1:6">
      <c r="A6152" s="5" t="str">
        <f t="shared" si="106"/>
        <v>202320</v>
      </c>
      <c r="B6152" s="5" t="str">
        <f>"23085051019"</f>
        <v>23085051019</v>
      </c>
      <c r="C6152" s="6">
        <v>94.5</v>
      </c>
      <c r="D6152" s="6">
        <v>114.5</v>
      </c>
      <c r="E6152" s="6">
        <v>209</v>
      </c>
      <c r="F6152" s="11"/>
    </row>
    <row r="6153" spans="1:6">
      <c r="A6153" s="5" t="str">
        <f t="shared" si="106"/>
        <v>202320</v>
      </c>
      <c r="B6153" s="5" t="str">
        <f>"23085051619"</f>
        <v>23085051619</v>
      </c>
      <c r="C6153" s="6">
        <v>90</v>
      </c>
      <c r="D6153" s="6">
        <v>119</v>
      </c>
      <c r="E6153" s="6">
        <v>209</v>
      </c>
      <c r="F6153" s="11"/>
    </row>
    <row r="6154" spans="1:6">
      <c r="A6154" s="5" t="str">
        <f t="shared" si="106"/>
        <v>202320</v>
      </c>
      <c r="B6154" s="5" t="str">
        <f>"23085050716"</f>
        <v>23085050716</v>
      </c>
      <c r="C6154" s="6">
        <v>94.5</v>
      </c>
      <c r="D6154" s="6">
        <v>114</v>
      </c>
      <c r="E6154" s="6">
        <v>208.5</v>
      </c>
      <c r="F6154" s="11"/>
    </row>
    <row r="6155" spans="1:6">
      <c r="A6155" s="5" t="str">
        <f t="shared" si="106"/>
        <v>202320</v>
      </c>
      <c r="B6155" s="5" t="str">
        <f>"23085051504"</f>
        <v>23085051504</v>
      </c>
      <c r="C6155" s="6">
        <v>93</v>
      </c>
      <c r="D6155" s="6">
        <v>115.5</v>
      </c>
      <c r="E6155" s="6">
        <v>208.5</v>
      </c>
      <c r="F6155" s="11"/>
    </row>
    <row r="6156" spans="1:6">
      <c r="A6156" s="5" t="str">
        <f t="shared" si="106"/>
        <v>202320</v>
      </c>
      <c r="B6156" s="5" t="str">
        <f>"23085052216"</f>
        <v>23085052216</v>
      </c>
      <c r="C6156" s="6">
        <v>100.5</v>
      </c>
      <c r="D6156" s="6">
        <v>108</v>
      </c>
      <c r="E6156" s="6">
        <v>208.5</v>
      </c>
      <c r="F6156" s="11"/>
    </row>
    <row r="6157" spans="1:6">
      <c r="A6157" s="5" t="str">
        <f t="shared" si="106"/>
        <v>202320</v>
      </c>
      <c r="B6157" s="5" t="str">
        <f>"23085051518"</f>
        <v>23085051518</v>
      </c>
      <c r="C6157" s="6">
        <v>90</v>
      </c>
      <c r="D6157" s="6">
        <v>118.5</v>
      </c>
      <c r="E6157" s="6">
        <v>208.5</v>
      </c>
      <c r="F6157" s="11"/>
    </row>
    <row r="6158" spans="1:6">
      <c r="A6158" s="5" t="str">
        <f t="shared" si="106"/>
        <v>202320</v>
      </c>
      <c r="B6158" s="5" t="str">
        <f>"23085050604"</f>
        <v>23085050604</v>
      </c>
      <c r="C6158" s="6">
        <v>88.5</v>
      </c>
      <c r="D6158" s="6">
        <v>119.5</v>
      </c>
      <c r="E6158" s="6">
        <v>208</v>
      </c>
      <c r="F6158" s="11"/>
    </row>
    <row r="6159" spans="1:6">
      <c r="A6159" s="5" t="str">
        <f t="shared" si="106"/>
        <v>202320</v>
      </c>
      <c r="B6159" s="5" t="str">
        <f>"23085050630"</f>
        <v>23085050630</v>
      </c>
      <c r="C6159" s="6">
        <v>103.5</v>
      </c>
      <c r="D6159" s="6">
        <v>104.5</v>
      </c>
      <c r="E6159" s="6">
        <v>208</v>
      </c>
      <c r="F6159" s="11"/>
    </row>
    <row r="6160" spans="1:6">
      <c r="A6160" s="5" t="str">
        <f t="shared" si="106"/>
        <v>202320</v>
      </c>
      <c r="B6160" s="5" t="str">
        <f>"23085050719"</f>
        <v>23085050719</v>
      </c>
      <c r="C6160" s="6">
        <v>103.5</v>
      </c>
      <c r="D6160" s="6">
        <v>104.5</v>
      </c>
      <c r="E6160" s="6">
        <v>208</v>
      </c>
      <c r="F6160" s="11"/>
    </row>
    <row r="6161" spans="1:6">
      <c r="A6161" s="5" t="str">
        <f t="shared" si="106"/>
        <v>202320</v>
      </c>
      <c r="B6161" s="5" t="str">
        <f>"23085051028"</f>
        <v>23085051028</v>
      </c>
      <c r="C6161" s="6">
        <v>88.5</v>
      </c>
      <c r="D6161" s="6">
        <v>119.5</v>
      </c>
      <c r="E6161" s="6">
        <v>208</v>
      </c>
      <c r="F6161" s="11"/>
    </row>
    <row r="6162" spans="1:6">
      <c r="A6162" s="5" t="str">
        <f t="shared" si="106"/>
        <v>202320</v>
      </c>
      <c r="B6162" s="5" t="str">
        <f>"23085051610"</f>
        <v>23085051610</v>
      </c>
      <c r="C6162" s="6">
        <v>93</v>
      </c>
      <c r="D6162" s="6">
        <v>115</v>
      </c>
      <c r="E6162" s="6">
        <v>208</v>
      </c>
      <c r="F6162" s="11"/>
    </row>
    <row r="6163" spans="1:6">
      <c r="A6163" s="5" t="str">
        <f t="shared" si="106"/>
        <v>202320</v>
      </c>
      <c r="B6163" s="5" t="str">
        <f>"23085050613"</f>
        <v>23085050613</v>
      </c>
      <c r="C6163" s="6">
        <v>88.5</v>
      </c>
      <c r="D6163" s="6">
        <v>119.5</v>
      </c>
      <c r="E6163" s="6">
        <v>208</v>
      </c>
      <c r="F6163" s="11"/>
    </row>
    <row r="6164" spans="1:6">
      <c r="A6164" s="5" t="str">
        <f t="shared" si="106"/>
        <v>202320</v>
      </c>
      <c r="B6164" s="5" t="str">
        <f>"23085051206"</f>
        <v>23085051206</v>
      </c>
      <c r="C6164" s="6">
        <v>91.5</v>
      </c>
      <c r="D6164" s="6">
        <v>116.5</v>
      </c>
      <c r="E6164" s="6">
        <v>208</v>
      </c>
      <c r="F6164" s="11"/>
    </row>
    <row r="6165" spans="1:6">
      <c r="A6165" s="5" t="str">
        <f t="shared" si="106"/>
        <v>202320</v>
      </c>
      <c r="B6165" s="5" t="str">
        <f>"23085052426"</f>
        <v>23085052426</v>
      </c>
      <c r="C6165" s="6">
        <v>90</v>
      </c>
      <c r="D6165" s="6">
        <v>117.5</v>
      </c>
      <c r="E6165" s="6">
        <v>207.5</v>
      </c>
      <c r="F6165" s="11"/>
    </row>
    <row r="6166" spans="1:6">
      <c r="A6166" s="5" t="str">
        <f t="shared" si="106"/>
        <v>202320</v>
      </c>
      <c r="B6166" s="5" t="str">
        <f>"23085052304"</f>
        <v>23085052304</v>
      </c>
      <c r="C6166" s="6">
        <v>94.5</v>
      </c>
      <c r="D6166" s="6">
        <v>112.5</v>
      </c>
      <c r="E6166" s="6">
        <v>207</v>
      </c>
      <c r="F6166" s="11"/>
    </row>
    <row r="6167" spans="1:6">
      <c r="A6167" s="5" t="str">
        <f t="shared" si="106"/>
        <v>202320</v>
      </c>
      <c r="B6167" s="5" t="str">
        <f>"23085051205"</f>
        <v>23085051205</v>
      </c>
      <c r="C6167" s="6">
        <v>94.5</v>
      </c>
      <c r="D6167" s="6">
        <v>112.5</v>
      </c>
      <c r="E6167" s="6">
        <v>207</v>
      </c>
      <c r="F6167" s="11"/>
    </row>
    <row r="6168" spans="1:6">
      <c r="A6168" s="5" t="str">
        <f t="shared" si="106"/>
        <v>202320</v>
      </c>
      <c r="B6168" s="5" t="str">
        <f>"23085051217"</f>
        <v>23085051217</v>
      </c>
      <c r="C6168" s="6">
        <v>88.5</v>
      </c>
      <c r="D6168" s="6">
        <v>118.5</v>
      </c>
      <c r="E6168" s="6">
        <v>207</v>
      </c>
      <c r="F6168" s="11"/>
    </row>
    <row r="6169" spans="1:6">
      <c r="A6169" s="5" t="str">
        <f t="shared" si="106"/>
        <v>202320</v>
      </c>
      <c r="B6169" s="5" t="str">
        <f>"23085050510"</f>
        <v>23085050510</v>
      </c>
      <c r="C6169" s="6">
        <v>94.5</v>
      </c>
      <c r="D6169" s="6">
        <v>112.5</v>
      </c>
      <c r="E6169" s="6">
        <v>207</v>
      </c>
      <c r="F6169" s="11"/>
    </row>
    <row r="6170" spans="1:6">
      <c r="A6170" s="5" t="str">
        <f t="shared" si="106"/>
        <v>202320</v>
      </c>
      <c r="B6170" s="5" t="str">
        <f>"23085051127"</f>
        <v>23085051127</v>
      </c>
      <c r="C6170" s="6">
        <v>94.5</v>
      </c>
      <c r="D6170" s="6">
        <v>112</v>
      </c>
      <c r="E6170" s="6">
        <v>206.5</v>
      </c>
      <c r="F6170" s="11"/>
    </row>
    <row r="6171" spans="1:6">
      <c r="A6171" s="5" t="str">
        <f t="shared" si="106"/>
        <v>202320</v>
      </c>
      <c r="B6171" s="5" t="str">
        <f>"23085051920"</f>
        <v>23085051920</v>
      </c>
      <c r="C6171" s="6">
        <v>90</v>
      </c>
      <c r="D6171" s="6">
        <v>116.5</v>
      </c>
      <c r="E6171" s="6">
        <v>206.5</v>
      </c>
      <c r="F6171" s="11"/>
    </row>
    <row r="6172" spans="1:6">
      <c r="A6172" s="5" t="str">
        <f t="shared" si="106"/>
        <v>202320</v>
      </c>
      <c r="B6172" s="5" t="str">
        <f>"23085051310"</f>
        <v>23085051310</v>
      </c>
      <c r="C6172" s="6">
        <v>94.5</v>
      </c>
      <c r="D6172" s="6">
        <v>112</v>
      </c>
      <c r="E6172" s="6">
        <v>206.5</v>
      </c>
      <c r="F6172" s="11"/>
    </row>
    <row r="6173" spans="1:6">
      <c r="A6173" s="5" t="str">
        <f t="shared" si="106"/>
        <v>202320</v>
      </c>
      <c r="B6173" s="5" t="str">
        <f>"23085052320"</f>
        <v>23085052320</v>
      </c>
      <c r="C6173" s="6">
        <v>85.5</v>
      </c>
      <c r="D6173" s="6">
        <v>120.5</v>
      </c>
      <c r="E6173" s="6">
        <v>206</v>
      </c>
      <c r="F6173" s="11"/>
    </row>
    <row r="6174" spans="1:6">
      <c r="A6174" s="5" t="str">
        <f t="shared" si="106"/>
        <v>202320</v>
      </c>
      <c r="B6174" s="5" t="str">
        <f>"23085051407"</f>
        <v>23085051407</v>
      </c>
      <c r="C6174" s="6">
        <v>93</v>
      </c>
      <c r="D6174" s="6">
        <v>113</v>
      </c>
      <c r="E6174" s="6">
        <v>206</v>
      </c>
      <c r="F6174" s="11"/>
    </row>
    <row r="6175" spans="1:6">
      <c r="A6175" s="5" t="str">
        <f t="shared" ref="A6175:A6238" si="107">"202320"</f>
        <v>202320</v>
      </c>
      <c r="B6175" s="5" t="str">
        <f>"23085052317"</f>
        <v>23085052317</v>
      </c>
      <c r="C6175" s="6">
        <v>93</v>
      </c>
      <c r="D6175" s="6">
        <v>113</v>
      </c>
      <c r="E6175" s="6">
        <v>206</v>
      </c>
      <c r="F6175" s="11"/>
    </row>
    <row r="6176" spans="1:6">
      <c r="A6176" s="5" t="str">
        <f t="shared" si="107"/>
        <v>202320</v>
      </c>
      <c r="B6176" s="5" t="str">
        <f>"23085052319"</f>
        <v>23085052319</v>
      </c>
      <c r="C6176" s="6">
        <v>90</v>
      </c>
      <c r="D6176" s="6">
        <v>115.5</v>
      </c>
      <c r="E6176" s="6">
        <v>205.5</v>
      </c>
      <c r="F6176" s="11"/>
    </row>
    <row r="6177" spans="1:6">
      <c r="A6177" s="5" t="str">
        <f t="shared" si="107"/>
        <v>202320</v>
      </c>
      <c r="B6177" s="5" t="str">
        <f>"23085050820"</f>
        <v>23085050820</v>
      </c>
      <c r="C6177" s="6">
        <v>97.5</v>
      </c>
      <c r="D6177" s="6">
        <v>108</v>
      </c>
      <c r="E6177" s="6">
        <v>205.5</v>
      </c>
      <c r="F6177" s="11"/>
    </row>
    <row r="6178" spans="1:6">
      <c r="A6178" s="5" t="str">
        <f t="shared" si="107"/>
        <v>202320</v>
      </c>
      <c r="B6178" s="5" t="str">
        <f>"23085050427"</f>
        <v>23085050427</v>
      </c>
      <c r="C6178" s="6">
        <v>87</v>
      </c>
      <c r="D6178" s="6">
        <v>118.5</v>
      </c>
      <c r="E6178" s="6">
        <v>205.5</v>
      </c>
      <c r="F6178" s="11"/>
    </row>
    <row r="6179" spans="1:6">
      <c r="A6179" s="5" t="str">
        <f t="shared" si="107"/>
        <v>202320</v>
      </c>
      <c r="B6179" s="5" t="str">
        <f>"23085051705"</f>
        <v>23085051705</v>
      </c>
      <c r="C6179" s="6">
        <v>103.5</v>
      </c>
      <c r="D6179" s="6">
        <v>102</v>
      </c>
      <c r="E6179" s="6">
        <v>205.5</v>
      </c>
      <c r="F6179" s="11"/>
    </row>
    <row r="6180" spans="1:6">
      <c r="A6180" s="5" t="str">
        <f t="shared" si="107"/>
        <v>202320</v>
      </c>
      <c r="B6180" s="5" t="str">
        <f>"23085050711"</f>
        <v>23085050711</v>
      </c>
      <c r="C6180" s="6">
        <v>94.5</v>
      </c>
      <c r="D6180" s="6">
        <v>110.5</v>
      </c>
      <c r="E6180" s="6">
        <v>205</v>
      </c>
      <c r="F6180" s="11"/>
    </row>
    <row r="6181" spans="1:6">
      <c r="A6181" s="5" t="str">
        <f t="shared" si="107"/>
        <v>202320</v>
      </c>
      <c r="B6181" s="5" t="str">
        <f>"23085050926"</f>
        <v>23085050926</v>
      </c>
      <c r="C6181" s="6">
        <v>99</v>
      </c>
      <c r="D6181" s="6">
        <v>106</v>
      </c>
      <c r="E6181" s="6">
        <v>205</v>
      </c>
      <c r="F6181" s="11"/>
    </row>
    <row r="6182" spans="1:6">
      <c r="A6182" s="5" t="str">
        <f t="shared" si="107"/>
        <v>202320</v>
      </c>
      <c r="B6182" s="5" t="str">
        <f>"23085052222"</f>
        <v>23085052222</v>
      </c>
      <c r="C6182" s="6">
        <v>91.5</v>
      </c>
      <c r="D6182" s="6">
        <v>113</v>
      </c>
      <c r="E6182" s="6">
        <v>204.5</v>
      </c>
      <c r="F6182" s="11"/>
    </row>
    <row r="6183" spans="1:6">
      <c r="A6183" s="5" t="str">
        <f t="shared" si="107"/>
        <v>202320</v>
      </c>
      <c r="B6183" s="5" t="str">
        <f>"23085051126"</f>
        <v>23085051126</v>
      </c>
      <c r="C6183" s="6">
        <v>88.5</v>
      </c>
      <c r="D6183" s="6">
        <v>116</v>
      </c>
      <c r="E6183" s="6">
        <v>204.5</v>
      </c>
      <c r="F6183" s="11"/>
    </row>
    <row r="6184" spans="1:6">
      <c r="A6184" s="5" t="str">
        <f t="shared" si="107"/>
        <v>202320</v>
      </c>
      <c r="B6184" s="5" t="str">
        <f>"23085050808"</f>
        <v>23085050808</v>
      </c>
      <c r="C6184" s="6">
        <v>84</v>
      </c>
      <c r="D6184" s="6">
        <v>120</v>
      </c>
      <c r="E6184" s="6">
        <v>204</v>
      </c>
      <c r="F6184" s="11"/>
    </row>
    <row r="6185" spans="1:6">
      <c r="A6185" s="5" t="str">
        <f t="shared" si="107"/>
        <v>202320</v>
      </c>
      <c r="B6185" s="5" t="str">
        <f>"23085051711"</f>
        <v>23085051711</v>
      </c>
      <c r="C6185" s="6">
        <v>91.5</v>
      </c>
      <c r="D6185" s="6">
        <v>112.5</v>
      </c>
      <c r="E6185" s="6">
        <v>204</v>
      </c>
      <c r="F6185" s="11"/>
    </row>
    <row r="6186" spans="1:6">
      <c r="A6186" s="5" t="str">
        <f t="shared" si="107"/>
        <v>202320</v>
      </c>
      <c r="B6186" s="5" t="str">
        <f>"23085050703"</f>
        <v>23085050703</v>
      </c>
      <c r="C6186" s="6">
        <v>93</v>
      </c>
      <c r="D6186" s="6">
        <v>111</v>
      </c>
      <c r="E6186" s="6">
        <v>204</v>
      </c>
      <c r="F6186" s="11"/>
    </row>
    <row r="6187" spans="1:6">
      <c r="A6187" s="5" t="str">
        <f t="shared" si="107"/>
        <v>202320</v>
      </c>
      <c r="B6187" s="5" t="str">
        <f>"23085052307"</f>
        <v>23085052307</v>
      </c>
      <c r="C6187" s="6">
        <v>91.5</v>
      </c>
      <c r="D6187" s="6">
        <v>112</v>
      </c>
      <c r="E6187" s="6">
        <v>203.5</v>
      </c>
      <c r="F6187" s="11"/>
    </row>
    <row r="6188" spans="1:6">
      <c r="A6188" s="5" t="str">
        <f t="shared" si="107"/>
        <v>202320</v>
      </c>
      <c r="B6188" s="5" t="str">
        <f>"23085052015"</f>
        <v>23085052015</v>
      </c>
      <c r="C6188" s="6">
        <v>85.5</v>
      </c>
      <c r="D6188" s="6">
        <v>118</v>
      </c>
      <c r="E6188" s="6">
        <v>203.5</v>
      </c>
      <c r="F6188" s="11"/>
    </row>
    <row r="6189" spans="1:6">
      <c r="A6189" s="5" t="str">
        <f t="shared" si="107"/>
        <v>202320</v>
      </c>
      <c r="B6189" s="5" t="str">
        <f>"23085052514"</f>
        <v>23085052514</v>
      </c>
      <c r="C6189" s="6">
        <v>91.5</v>
      </c>
      <c r="D6189" s="6">
        <v>112</v>
      </c>
      <c r="E6189" s="6">
        <v>203.5</v>
      </c>
      <c r="F6189" s="11"/>
    </row>
    <row r="6190" spans="1:6">
      <c r="A6190" s="5" t="str">
        <f t="shared" si="107"/>
        <v>202320</v>
      </c>
      <c r="B6190" s="5" t="str">
        <f>"23085050526"</f>
        <v>23085050526</v>
      </c>
      <c r="C6190" s="6">
        <v>82.5</v>
      </c>
      <c r="D6190" s="6">
        <v>121</v>
      </c>
      <c r="E6190" s="6">
        <v>203.5</v>
      </c>
      <c r="F6190" s="11"/>
    </row>
    <row r="6191" spans="1:6">
      <c r="A6191" s="5" t="str">
        <f t="shared" si="107"/>
        <v>202320</v>
      </c>
      <c r="B6191" s="5" t="str">
        <f>"23085052202"</f>
        <v>23085052202</v>
      </c>
      <c r="C6191" s="6">
        <v>93</v>
      </c>
      <c r="D6191" s="6">
        <v>110.5</v>
      </c>
      <c r="E6191" s="6">
        <v>203.5</v>
      </c>
      <c r="F6191" s="11"/>
    </row>
    <row r="6192" spans="1:6">
      <c r="A6192" s="5" t="str">
        <f t="shared" si="107"/>
        <v>202320</v>
      </c>
      <c r="B6192" s="5" t="str">
        <f>"23085050728"</f>
        <v>23085050728</v>
      </c>
      <c r="C6192" s="6">
        <v>96</v>
      </c>
      <c r="D6192" s="6">
        <v>107</v>
      </c>
      <c r="E6192" s="6">
        <v>203</v>
      </c>
      <c r="F6192" s="11"/>
    </row>
    <row r="6193" spans="1:6">
      <c r="A6193" s="5" t="str">
        <f t="shared" si="107"/>
        <v>202320</v>
      </c>
      <c r="B6193" s="5" t="str">
        <f>"23085050914"</f>
        <v>23085050914</v>
      </c>
      <c r="C6193" s="6">
        <v>81</v>
      </c>
      <c r="D6193" s="6">
        <v>122</v>
      </c>
      <c r="E6193" s="6">
        <v>203</v>
      </c>
      <c r="F6193" s="11"/>
    </row>
    <row r="6194" spans="1:6">
      <c r="A6194" s="5" t="str">
        <f t="shared" si="107"/>
        <v>202320</v>
      </c>
      <c r="B6194" s="5" t="str">
        <f>"23085051129"</f>
        <v>23085051129</v>
      </c>
      <c r="C6194" s="6">
        <v>88.5</v>
      </c>
      <c r="D6194" s="6">
        <v>114.5</v>
      </c>
      <c r="E6194" s="6">
        <v>203</v>
      </c>
      <c r="F6194" s="11"/>
    </row>
    <row r="6195" spans="1:6">
      <c r="A6195" s="5" t="str">
        <f t="shared" si="107"/>
        <v>202320</v>
      </c>
      <c r="B6195" s="5" t="str">
        <f>"23085051325"</f>
        <v>23085051325</v>
      </c>
      <c r="C6195" s="6">
        <v>93</v>
      </c>
      <c r="D6195" s="6">
        <v>110</v>
      </c>
      <c r="E6195" s="6">
        <v>203</v>
      </c>
      <c r="F6195" s="11"/>
    </row>
    <row r="6196" spans="1:6">
      <c r="A6196" s="5" t="str">
        <f t="shared" si="107"/>
        <v>202320</v>
      </c>
      <c r="B6196" s="5" t="str">
        <f>"23085050608"</f>
        <v>23085050608</v>
      </c>
      <c r="C6196" s="6">
        <v>90</v>
      </c>
      <c r="D6196" s="6">
        <v>113</v>
      </c>
      <c r="E6196" s="6">
        <v>203</v>
      </c>
      <c r="F6196" s="11"/>
    </row>
    <row r="6197" spans="1:6">
      <c r="A6197" s="5" t="str">
        <f t="shared" si="107"/>
        <v>202320</v>
      </c>
      <c r="B6197" s="5" t="str">
        <f>"23085050729"</f>
        <v>23085050729</v>
      </c>
      <c r="C6197" s="6">
        <v>96</v>
      </c>
      <c r="D6197" s="6">
        <v>107</v>
      </c>
      <c r="E6197" s="6">
        <v>203</v>
      </c>
      <c r="F6197" s="11"/>
    </row>
    <row r="6198" spans="1:6">
      <c r="A6198" s="5" t="str">
        <f t="shared" si="107"/>
        <v>202320</v>
      </c>
      <c r="B6198" s="5" t="str">
        <f>"23085051926"</f>
        <v>23085051926</v>
      </c>
      <c r="C6198" s="6">
        <v>87</v>
      </c>
      <c r="D6198" s="6">
        <v>115.5</v>
      </c>
      <c r="E6198" s="6">
        <v>202.5</v>
      </c>
      <c r="F6198" s="11"/>
    </row>
    <row r="6199" spans="1:6">
      <c r="A6199" s="5" t="str">
        <f t="shared" si="107"/>
        <v>202320</v>
      </c>
      <c r="B6199" s="5" t="str">
        <f>"23085052406"</f>
        <v>23085052406</v>
      </c>
      <c r="C6199" s="6">
        <v>91.5</v>
      </c>
      <c r="D6199" s="6">
        <v>111</v>
      </c>
      <c r="E6199" s="6">
        <v>202.5</v>
      </c>
      <c r="F6199" s="11"/>
    </row>
    <row r="6200" spans="1:6">
      <c r="A6200" s="5" t="str">
        <f t="shared" si="107"/>
        <v>202320</v>
      </c>
      <c r="B6200" s="5" t="str">
        <f>"23085052215"</f>
        <v>23085052215</v>
      </c>
      <c r="C6200" s="6">
        <v>88.5</v>
      </c>
      <c r="D6200" s="6">
        <v>114</v>
      </c>
      <c r="E6200" s="6">
        <v>202.5</v>
      </c>
      <c r="F6200" s="11"/>
    </row>
    <row r="6201" spans="1:6">
      <c r="A6201" s="5" t="str">
        <f t="shared" si="107"/>
        <v>202320</v>
      </c>
      <c r="B6201" s="5" t="str">
        <f>"23085052523"</f>
        <v>23085052523</v>
      </c>
      <c r="C6201" s="6">
        <v>81</v>
      </c>
      <c r="D6201" s="6">
        <v>121.5</v>
      </c>
      <c r="E6201" s="6">
        <v>202.5</v>
      </c>
      <c r="F6201" s="11"/>
    </row>
    <row r="6202" spans="1:6">
      <c r="A6202" s="5" t="str">
        <f t="shared" si="107"/>
        <v>202320</v>
      </c>
      <c r="B6202" s="5" t="str">
        <f>"23085052020"</f>
        <v>23085052020</v>
      </c>
      <c r="C6202" s="6">
        <v>87</v>
      </c>
      <c r="D6202" s="6">
        <v>115</v>
      </c>
      <c r="E6202" s="6">
        <v>202</v>
      </c>
      <c r="F6202" s="11"/>
    </row>
    <row r="6203" spans="1:6">
      <c r="A6203" s="5" t="str">
        <f t="shared" si="107"/>
        <v>202320</v>
      </c>
      <c r="B6203" s="5" t="str">
        <f>"23085052027"</f>
        <v>23085052027</v>
      </c>
      <c r="C6203" s="6">
        <v>87</v>
      </c>
      <c r="D6203" s="6">
        <v>115</v>
      </c>
      <c r="E6203" s="6">
        <v>202</v>
      </c>
      <c r="F6203" s="11"/>
    </row>
    <row r="6204" spans="1:6">
      <c r="A6204" s="5" t="str">
        <f t="shared" si="107"/>
        <v>202320</v>
      </c>
      <c r="B6204" s="5" t="str">
        <f>"23085051815"</f>
        <v>23085051815</v>
      </c>
      <c r="C6204" s="6">
        <v>94.5</v>
      </c>
      <c r="D6204" s="6">
        <v>107.5</v>
      </c>
      <c r="E6204" s="6">
        <v>202</v>
      </c>
      <c r="F6204" s="11"/>
    </row>
    <row r="6205" spans="1:6">
      <c r="A6205" s="5" t="str">
        <f t="shared" si="107"/>
        <v>202320</v>
      </c>
      <c r="B6205" s="5" t="str">
        <f>"23085051214"</f>
        <v>23085051214</v>
      </c>
      <c r="C6205" s="6">
        <v>84</v>
      </c>
      <c r="D6205" s="6">
        <v>118</v>
      </c>
      <c r="E6205" s="6">
        <v>202</v>
      </c>
      <c r="F6205" s="11"/>
    </row>
    <row r="6206" spans="1:6">
      <c r="A6206" s="5" t="str">
        <f t="shared" si="107"/>
        <v>202320</v>
      </c>
      <c r="B6206" s="5" t="str">
        <f>"23085051620"</f>
        <v>23085051620</v>
      </c>
      <c r="C6206" s="6">
        <v>87</v>
      </c>
      <c r="D6206" s="6">
        <v>115</v>
      </c>
      <c r="E6206" s="6">
        <v>202</v>
      </c>
      <c r="F6206" s="11"/>
    </row>
    <row r="6207" spans="1:6">
      <c r="A6207" s="5" t="str">
        <f t="shared" si="107"/>
        <v>202320</v>
      </c>
      <c r="B6207" s="5" t="str">
        <f>"23085052327"</f>
        <v>23085052327</v>
      </c>
      <c r="C6207" s="6">
        <v>88.5</v>
      </c>
      <c r="D6207" s="6">
        <v>113</v>
      </c>
      <c r="E6207" s="6">
        <v>201.5</v>
      </c>
      <c r="F6207" s="11"/>
    </row>
    <row r="6208" spans="1:6">
      <c r="A6208" s="5" t="str">
        <f t="shared" si="107"/>
        <v>202320</v>
      </c>
      <c r="B6208" s="5" t="str">
        <f>"23085051223"</f>
        <v>23085051223</v>
      </c>
      <c r="C6208" s="6">
        <v>96</v>
      </c>
      <c r="D6208" s="6">
        <v>105.5</v>
      </c>
      <c r="E6208" s="6">
        <v>201.5</v>
      </c>
      <c r="F6208" s="11"/>
    </row>
    <row r="6209" spans="1:6">
      <c r="A6209" s="5" t="str">
        <f t="shared" si="107"/>
        <v>202320</v>
      </c>
      <c r="B6209" s="5" t="str">
        <f>"23085051906"</f>
        <v>23085051906</v>
      </c>
      <c r="C6209" s="6">
        <v>97.5</v>
      </c>
      <c r="D6209" s="6">
        <v>104</v>
      </c>
      <c r="E6209" s="6">
        <v>201.5</v>
      </c>
      <c r="F6209" s="11"/>
    </row>
    <row r="6210" spans="1:6">
      <c r="A6210" s="5" t="str">
        <f t="shared" si="107"/>
        <v>202320</v>
      </c>
      <c r="B6210" s="5" t="str">
        <f>"23085051226"</f>
        <v>23085051226</v>
      </c>
      <c r="C6210" s="6">
        <v>82.5</v>
      </c>
      <c r="D6210" s="6">
        <v>119</v>
      </c>
      <c r="E6210" s="6">
        <v>201.5</v>
      </c>
      <c r="F6210" s="11"/>
    </row>
    <row r="6211" spans="1:6">
      <c r="A6211" s="5" t="str">
        <f t="shared" si="107"/>
        <v>202320</v>
      </c>
      <c r="B6211" s="5" t="str">
        <f>"23085052007"</f>
        <v>23085052007</v>
      </c>
      <c r="C6211" s="6">
        <v>90</v>
      </c>
      <c r="D6211" s="6">
        <v>111.5</v>
      </c>
      <c r="E6211" s="6">
        <v>201.5</v>
      </c>
      <c r="F6211" s="11"/>
    </row>
    <row r="6212" spans="1:6">
      <c r="A6212" s="5" t="str">
        <f t="shared" si="107"/>
        <v>202320</v>
      </c>
      <c r="B6212" s="5" t="str">
        <f>"23085050603"</f>
        <v>23085050603</v>
      </c>
      <c r="C6212" s="6">
        <v>84</v>
      </c>
      <c r="D6212" s="6">
        <v>117</v>
      </c>
      <c r="E6212" s="6">
        <v>201</v>
      </c>
      <c r="F6212" s="11"/>
    </row>
    <row r="6213" spans="1:6">
      <c r="A6213" s="5" t="str">
        <f t="shared" si="107"/>
        <v>202320</v>
      </c>
      <c r="B6213" s="5" t="str">
        <f>"23085050501"</f>
        <v>23085050501</v>
      </c>
      <c r="C6213" s="6">
        <v>93</v>
      </c>
      <c r="D6213" s="6">
        <v>108</v>
      </c>
      <c r="E6213" s="6">
        <v>201</v>
      </c>
      <c r="F6213" s="11"/>
    </row>
    <row r="6214" spans="1:6">
      <c r="A6214" s="5" t="str">
        <f t="shared" si="107"/>
        <v>202320</v>
      </c>
      <c r="B6214" s="5" t="str">
        <f>"23085050623"</f>
        <v>23085050623</v>
      </c>
      <c r="C6214" s="6">
        <v>100.5</v>
      </c>
      <c r="D6214" s="6">
        <v>100.5</v>
      </c>
      <c r="E6214" s="6">
        <v>201</v>
      </c>
      <c r="F6214" s="11"/>
    </row>
    <row r="6215" spans="1:6">
      <c r="A6215" s="5" t="str">
        <f t="shared" si="107"/>
        <v>202320</v>
      </c>
      <c r="B6215" s="5" t="str">
        <f>"23085051215"</f>
        <v>23085051215</v>
      </c>
      <c r="C6215" s="6">
        <v>93</v>
      </c>
      <c r="D6215" s="6">
        <v>108</v>
      </c>
      <c r="E6215" s="6">
        <v>201</v>
      </c>
      <c r="F6215" s="11"/>
    </row>
    <row r="6216" spans="1:6">
      <c r="A6216" s="5" t="str">
        <f t="shared" si="107"/>
        <v>202320</v>
      </c>
      <c r="B6216" s="5" t="str">
        <f>"23085052318"</f>
        <v>23085052318</v>
      </c>
      <c r="C6216" s="6">
        <v>90</v>
      </c>
      <c r="D6216" s="6">
        <v>110.5</v>
      </c>
      <c r="E6216" s="6">
        <v>200.5</v>
      </c>
      <c r="F6216" s="11"/>
    </row>
    <row r="6217" spans="1:6">
      <c r="A6217" s="5" t="str">
        <f t="shared" si="107"/>
        <v>202320</v>
      </c>
      <c r="B6217" s="5" t="str">
        <f>"23085051020"</f>
        <v>23085051020</v>
      </c>
      <c r="C6217" s="6">
        <v>87</v>
      </c>
      <c r="D6217" s="6">
        <v>113.5</v>
      </c>
      <c r="E6217" s="6">
        <v>200.5</v>
      </c>
      <c r="F6217" s="11"/>
    </row>
    <row r="6218" spans="1:6">
      <c r="A6218" s="5" t="str">
        <f t="shared" si="107"/>
        <v>202320</v>
      </c>
      <c r="B6218" s="5" t="str">
        <f>"23085050420"</f>
        <v>23085050420</v>
      </c>
      <c r="C6218" s="6">
        <v>82.5</v>
      </c>
      <c r="D6218" s="6">
        <v>118</v>
      </c>
      <c r="E6218" s="6">
        <v>200.5</v>
      </c>
      <c r="F6218" s="11"/>
    </row>
    <row r="6219" spans="1:6">
      <c r="A6219" s="5" t="str">
        <f t="shared" si="107"/>
        <v>202320</v>
      </c>
      <c r="B6219" s="5" t="str">
        <f>"23085051213"</f>
        <v>23085051213</v>
      </c>
      <c r="C6219" s="6">
        <v>85.5</v>
      </c>
      <c r="D6219" s="6">
        <v>115</v>
      </c>
      <c r="E6219" s="6">
        <v>200.5</v>
      </c>
      <c r="F6219" s="11"/>
    </row>
    <row r="6220" spans="1:6">
      <c r="A6220" s="5" t="str">
        <f t="shared" si="107"/>
        <v>202320</v>
      </c>
      <c r="B6220" s="5" t="str">
        <f>"23085050909"</f>
        <v>23085050909</v>
      </c>
      <c r="C6220" s="6">
        <v>85.5</v>
      </c>
      <c r="D6220" s="6">
        <v>114.5</v>
      </c>
      <c r="E6220" s="6">
        <v>200</v>
      </c>
      <c r="F6220" s="11"/>
    </row>
    <row r="6221" spans="1:6">
      <c r="A6221" s="5" t="str">
        <f t="shared" si="107"/>
        <v>202320</v>
      </c>
      <c r="B6221" s="5" t="str">
        <f>"23085050918"</f>
        <v>23085050918</v>
      </c>
      <c r="C6221" s="6">
        <v>84</v>
      </c>
      <c r="D6221" s="6">
        <v>116</v>
      </c>
      <c r="E6221" s="6">
        <v>200</v>
      </c>
      <c r="F6221" s="11"/>
    </row>
    <row r="6222" spans="1:6">
      <c r="A6222" s="5" t="str">
        <f t="shared" si="107"/>
        <v>202320</v>
      </c>
      <c r="B6222" s="5" t="str">
        <f>"23085051110"</f>
        <v>23085051110</v>
      </c>
      <c r="C6222" s="6">
        <v>93</v>
      </c>
      <c r="D6222" s="6">
        <v>107</v>
      </c>
      <c r="E6222" s="6">
        <v>200</v>
      </c>
      <c r="F6222" s="11"/>
    </row>
    <row r="6223" spans="1:6">
      <c r="A6223" s="5" t="str">
        <f t="shared" si="107"/>
        <v>202320</v>
      </c>
      <c r="B6223" s="5" t="str">
        <f>"23085050908"</f>
        <v>23085050908</v>
      </c>
      <c r="C6223" s="6">
        <v>88.5</v>
      </c>
      <c r="D6223" s="6">
        <v>111.5</v>
      </c>
      <c r="E6223" s="6">
        <v>200</v>
      </c>
      <c r="F6223" s="11"/>
    </row>
    <row r="6224" spans="1:6">
      <c r="A6224" s="5" t="str">
        <f t="shared" si="107"/>
        <v>202320</v>
      </c>
      <c r="B6224" s="5" t="str">
        <f>"23085052513"</f>
        <v>23085052513</v>
      </c>
      <c r="C6224" s="6">
        <v>87</v>
      </c>
      <c r="D6224" s="6">
        <v>113</v>
      </c>
      <c r="E6224" s="6">
        <v>200</v>
      </c>
      <c r="F6224" s="11"/>
    </row>
    <row r="6225" spans="1:6">
      <c r="A6225" s="5" t="str">
        <f t="shared" si="107"/>
        <v>202320</v>
      </c>
      <c r="B6225" s="5" t="str">
        <f>"23085050607"</f>
        <v>23085050607</v>
      </c>
      <c r="C6225" s="6">
        <v>87</v>
      </c>
      <c r="D6225" s="6">
        <v>113</v>
      </c>
      <c r="E6225" s="6">
        <v>200</v>
      </c>
      <c r="F6225" s="11"/>
    </row>
    <row r="6226" spans="1:6">
      <c r="A6226" s="5" t="str">
        <f t="shared" si="107"/>
        <v>202320</v>
      </c>
      <c r="B6226" s="5" t="str">
        <f>"23085052418"</f>
        <v>23085052418</v>
      </c>
      <c r="C6226" s="6">
        <v>85.5</v>
      </c>
      <c r="D6226" s="6">
        <v>114.5</v>
      </c>
      <c r="E6226" s="6">
        <v>200</v>
      </c>
      <c r="F6226" s="11"/>
    </row>
    <row r="6227" spans="1:6">
      <c r="A6227" s="5" t="str">
        <f t="shared" si="107"/>
        <v>202320</v>
      </c>
      <c r="B6227" s="5" t="str">
        <f>"23085052017"</f>
        <v>23085052017</v>
      </c>
      <c r="C6227" s="6">
        <v>82.5</v>
      </c>
      <c r="D6227" s="6">
        <v>117.5</v>
      </c>
      <c r="E6227" s="6">
        <v>200</v>
      </c>
      <c r="F6227" s="11"/>
    </row>
    <row r="6228" spans="1:6">
      <c r="A6228" s="5" t="str">
        <f t="shared" si="107"/>
        <v>202320</v>
      </c>
      <c r="B6228" s="5" t="str">
        <f>"23085052004"</f>
        <v>23085052004</v>
      </c>
      <c r="C6228" s="6">
        <v>81</v>
      </c>
      <c r="D6228" s="6">
        <v>118.5</v>
      </c>
      <c r="E6228" s="6">
        <v>199.5</v>
      </c>
      <c r="F6228" s="11"/>
    </row>
    <row r="6229" spans="1:6">
      <c r="A6229" s="5" t="str">
        <f t="shared" si="107"/>
        <v>202320</v>
      </c>
      <c r="B6229" s="5" t="str">
        <f>"23085051423"</f>
        <v>23085051423</v>
      </c>
      <c r="C6229" s="6">
        <v>85.5</v>
      </c>
      <c r="D6229" s="6">
        <v>114</v>
      </c>
      <c r="E6229" s="6">
        <v>199.5</v>
      </c>
      <c r="F6229" s="11"/>
    </row>
    <row r="6230" spans="1:6">
      <c r="A6230" s="5" t="str">
        <f t="shared" si="107"/>
        <v>202320</v>
      </c>
      <c r="B6230" s="5" t="str">
        <f>"23085051721"</f>
        <v>23085051721</v>
      </c>
      <c r="C6230" s="6">
        <v>90</v>
      </c>
      <c r="D6230" s="6">
        <v>109.5</v>
      </c>
      <c r="E6230" s="6">
        <v>199.5</v>
      </c>
      <c r="F6230" s="11"/>
    </row>
    <row r="6231" spans="1:6">
      <c r="A6231" s="5" t="str">
        <f t="shared" si="107"/>
        <v>202320</v>
      </c>
      <c r="B6231" s="5" t="str">
        <f>"23085051503"</f>
        <v>23085051503</v>
      </c>
      <c r="C6231" s="6">
        <v>81</v>
      </c>
      <c r="D6231" s="6">
        <v>118.5</v>
      </c>
      <c r="E6231" s="6">
        <v>199.5</v>
      </c>
      <c r="F6231" s="11"/>
    </row>
    <row r="6232" spans="1:6">
      <c r="A6232" s="5" t="str">
        <f t="shared" si="107"/>
        <v>202320</v>
      </c>
      <c r="B6232" s="5" t="str">
        <f>"23085051418"</f>
        <v>23085051418</v>
      </c>
      <c r="C6232" s="6">
        <v>84</v>
      </c>
      <c r="D6232" s="6">
        <v>115</v>
      </c>
      <c r="E6232" s="6">
        <v>199</v>
      </c>
      <c r="F6232" s="11"/>
    </row>
    <row r="6233" spans="1:6">
      <c r="A6233" s="5" t="str">
        <f t="shared" si="107"/>
        <v>202320</v>
      </c>
      <c r="B6233" s="5" t="str">
        <f>"23085050621"</f>
        <v>23085050621</v>
      </c>
      <c r="C6233" s="6">
        <v>79.5</v>
      </c>
      <c r="D6233" s="6">
        <v>119.5</v>
      </c>
      <c r="E6233" s="6">
        <v>199</v>
      </c>
      <c r="F6233" s="11"/>
    </row>
    <row r="6234" spans="1:6">
      <c r="A6234" s="5" t="str">
        <f t="shared" si="107"/>
        <v>202320</v>
      </c>
      <c r="B6234" s="5" t="str">
        <f>"23085051128"</f>
        <v>23085051128</v>
      </c>
      <c r="C6234" s="6">
        <v>93</v>
      </c>
      <c r="D6234" s="6">
        <v>106</v>
      </c>
      <c r="E6234" s="6">
        <v>199</v>
      </c>
      <c r="F6234" s="11"/>
    </row>
    <row r="6235" spans="1:6">
      <c r="A6235" s="5" t="str">
        <f t="shared" si="107"/>
        <v>202320</v>
      </c>
      <c r="B6235" s="5" t="str">
        <f>"23085051023"</f>
        <v>23085051023</v>
      </c>
      <c r="C6235" s="6">
        <v>81</v>
      </c>
      <c r="D6235" s="6">
        <v>118</v>
      </c>
      <c r="E6235" s="6">
        <v>199</v>
      </c>
      <c r="F6235" s="11"/>
    </row>
    <row r="6236" spans="1:6">
      <c r="A6236" s="5" t="str">
        <f t="shared" si="107"/>
        <v>202320</v>
      </c>
      <c r="B6236" s="5" t="str">
        <f>"23085051720"</f>
        <v>23085051720</v>
      </c>
      <c r="C6236" s="6">
        <v>78</v>
      </c>
      <c r="D6236" s="6">
        <v>120.5</v>
      </c>
      <c r="E6236" s="6">
        <v>198.5</v>
      </c>
      <c r="F6236" s="11"/>
    </row>
    <row r="6237" spans="1:6">
      <c r="A6237" s="5" t="str">
        <f t="shared" si="107"/>
        <v>202320</v>
      </c>
      <c r="B6237" s="5" t="str">
        <f>"23085052410"</f>
        <v>23085052410</v>
      </c>
      <c r="C6237" s="6">
        <v>84</v>
      </c>
      <c r="D6237" s="6">
        <v>114.5</v>
      </c>
      <c r="E6237" s="6">
        <v>198.5</v>
      </c>
      <c r="F6237" s="11"/>
    </row>
    <row r="6238" spans="1:6">
      <c r="A6238" s="5" t="str">
        <f t="shared" si="107"/>
        <v>202320</v>
      </c>
      <c r="B6238" s="5" t="str">
        <f>"23085051009"</f>
        <v>23085051009</v>
      </c>
      <c r="C6238" s="6">
        <v>81</v>
      </c>
      <c r="D6238" s="6">
        <v>117.5</v>
      </c>
      <c r="E6238" s="6">
        <v>198.5</v>
      </c>
      <c r="F6238" s="11"/>
    </row>
    <row r="6239" spans="1:6">
      <c r="A6239" s="5" t="str">
        <f t="shared" ref="A6239:A6302" si="108">"202320"</f>
        <v>202320</v>
      </c>
      <c r="B6239" s="5" t="str">
        <f>"23085052218"</f>
        <v>23085052218</v>
      </c>
      <c r="C6239" s="6">
        <v>81</v>
      </c>
      <c r="D6239" s="6">
        <v>117.5</v>
      </c>
      <c r="E6239" s="6">
        <v>198.5</v>
      </c>
      <c r="F6239" s="11"/>
    </row>
    <row r="6240" spans="1:6">
      <c r="A6240" s="5" t="str">
        <f t="shared" si="108"/>
        <v>202320</v>
      </c>
      <c r="B6240" s="5" t="str">
        <f>"23085050717"</f>
        <v>23085050717</v>
      </c>
      <c r="C6240" s="6">
        <v>87</v>
      </c>
      <c r="D6240" s="6">
        <v>111.5</v>
      </c>
      <c r="E6240" s="6">
        <v>198.5</v>
      </c>
      <c r="F6240" s="11"/>
    </row>
    <row r="6241" spans="1:6">
      <c r="A6241" s="5" t="str">
        <f t="shared" si="108"/>
        <v>202320</v>
      </c>
      <c r="B6241" s="5" t="str">
        <f>"23085052427"</f>
        <v>23085052427</v>
      </c>
      <c r="C6241" s="6">
        <v>97.5</v>
      </c>
      <c r="D6241" s="6">
        <v>101</v>
      </c>
      <c r="E6241" s="6">
        <v>198.5</v>
      </c>
      <c r="F6241" s="11"/>
    </row>
    <row r="6242" spans="1:6">
      <c r="A6242" s="5" t="str">
        <f t="shared" si="108"/>
        <v>202320</v>
      </c>
      <c r="B6242" s="5" t="str">
        <f>"23085052411"</f>
        <v>23085052411</v>
      </c>
      <c r="C6242" s="6">
        <v>84</v>
      </c>
      <c r="D6242" s="6">
        <v>114.5</v>
      </c>
      <c r="E6242" s="6">
        <v>198.5</v>
      </c>
      <c r="F6242" s="11"/>
    </row>
    <row r="6243" spans="1:6">
      <c r="A6243" s="5" t="str">
        <f t="shared" si="108"/>
        <v>202320</v>
      </c>
      <c r="B6243" s="5" t="str">
        <f>"23085051627"</f>
        <v>23085051627</v>
      </c>
      <c r="C6243" s="6">
        <v>97.5</v>
      </c>
      <c r="D6243" s="6">
        <v>101</v>
      </c>
      <c r="E6243" s="6">
        <v>198.5</v>
      </c>
      <c r="F6243" s="11"/>
    </row>
    <row r="6244" spans="1:6">
      <c r="A6244" s="5" t="str">
        <f t="shared" si="108"/>
        <v>202320</v>
      </c>
      <c r="B6244" s="5" t="str">
        <f>"23085052303"</f>
        <v>23085052303</v>
      </c>
      <c r="C6244" s="6">
        <v>81</v>
      </c>
      <c r="D6244" s="6">
        <v>117.5</v>
      </c>
      <c r="E6244" s="6">
        <v>198.5</v>
      </c>
      <c r="F6244" s="11"/>
    </row>
    <row r="6245" spans="1:6">
      <c r="A6245" s="5" t="str">
        <f t="shared" si="108"/>
        <v>202320</v>
      </c>
      <c r="B6245" s="5" t="str">
        <f>"23085051505"</f>
        <v>23085051505</v>
      </c>
      <c r="C6245" s="6">
        <v>88.5</v>
      </c>
      <c r="D6245" s="6">
        <v>110</v>
      </c>
      <c r="E6245" s="6">
        <v>198.5</v>
      </c>
      <c r="F6245" s="11"/>
    </row>
    <row r="6246" spans="1:6">
      <c r="A6246" s="5" t="str">
        <f t="shared" si="108"/>
        <v>202320</v>
      </c>
      <c r="B6246" s="5" t="str">
        <f>"23085050508"</f>
        <v>23085050508</v>
      </c>
      <c r="C6246" s="6">
        <v>84</v>
      </c>
      <c r="D6246" s="6">
        <v>114.5</v>
      </c>
      <c r="E6246" s="6">
        <v>198.5</v>
      </c>
      <c r="F6246" s="11"/>
    </row>
    <row r="6247" spans="1:6">
      <c r="A6247" s="5" t="str">
        <f t="shared" si="108"/>
        <v>202320</v>
      </c>
      <c r="B6247" s="5" t="str">
        <f>"23085051429"</f>
        <v>23085051429</v>
      </c>
      <c r="C6247" s="6">
        <v>85.5</v>
      </c>
      <c r="D6247" s="6">
        <v>112.5</v>
      </c>
      <c r="E6247" s="6">
        <v>198</v>
      </c>
      <c r="F6247" s="11"/>
    </row>
    <row r="6248" spans="1:6">
      <c r="A6248" s="5" t="str">
        <f t="shared" si="108"/>
        <v>202320</v>
      </c>
      <c r="B6248" s="5" t="str">
        <f>"23085051901"</f>
        <v>23085051901</v>
      </c>
      <c r="C6248" s="6">
        <v>78</v>
      </c>
      <c r="D6248" s="6">
        <v>120</v>
      </c>
      <c r="E6248" s="6">
        <v>198</v>
      </c>
      <c r="F6248" s="11"/>
    </row>
    <row r="6249" spans="1:6">
      <c r="A6249" s="5" t="str">
        <f t="shared" si="108"/>
        <v>202320</v>
      </c>
      <c r="B6249" s="5" t="str">
        <f>"23085050614"</f>
        <v>23085050614</v>
      </c>
      <c r="C6249" s="6">
        <v>85.5</v>
      </c>
      <c r="D6249" s="6">
        <v>112.5</v>
      </c>
      <c r="E6249" s="6">
        <v>198</v>
      </c>
      <c r="F6249" s="11"/>
    </row>
    <row r="6250" spans="1:6">
      <c r="A6250" s="5" t="str">
        <f t="shared" si="108"/>
        <v>202320</v>
      </c>
      <c r="B6250" s="5" t="str">
        <f>"23085051809"</f>
        <v>23085051809</v>
      </c>
      <c r="C6250" s="6">
        <v>84</v>
      </c>
      <c r="D6250" s="6">
        <v>114</v>
      </c>
      <c r="E6250" s="6">
        <v>198</v>
      </c>
      <c r="F6250" s="11"/>
    </row>
    <row r="6251" spans="1:6">
      <c r="A6251" s="5" t="str">
        <f t="shared" si="108"/>
        <v>202320</v>
      </c>
      <c r="B6251" s="5" t="str">
        <f>"23085051821"</f>
        <v>23085051821</v>
      </c>
      <c r="C6251" s="6">
        <v>76.5</v>
      </c>
      <c r="D6251" s="6">
        <v>121</v>
      </c>
      <c r="E6251" s="6">
        <v>197.5</v>
      </c>
      <c r="F6251" s="11"/>
    </row>
    <row r="6252" spans="1:6">
      <c r="A6252" s="5" t="str">
        <f t="shared" si="108"/>
        <v>202320</v>
      </c>
      <c r="B6252" s="5" t="str">
        <f>"23085050424"</f>
        <v>23085050424</v>
      </c>
      <c r="C6252" s="6">
        <v>88.5</v>
      </c>
      <c r="D6252" s="6">
        <v>109</v>
      </c>
      <c r="E6252" s="6">
        <v>197.5</v>
      </c>
      <c r="F6252" s="11"/>
    </row>
    <row r="6253" spans="1:6">
      <c r="A6253" s="5" t="str">
        <f t="shared" si="108"/>
        <v>202320</v>
      </c>
      <c r="B6253" s="5" t="str">
        <f>"23085050715"</f>
        <v>23085050715</v>
      </c>
      <c r="C6253" s="6">
        <v>82.5</v>
      </c>
      <c r="D6253" s="6">
        <v>114.5</v>
      </c>
      <c r="E6253" s="6">
        <v>197</v>
      </c>
      <c r="F6253" s="11"/>
    </row>
    <row r="6254" spans="1:6">
      <c r="A6254" s="5" t="str">
        <f t="shared" si="108"/>
        <v>202320</v>
      </c>
      <c r="B6254" s="5" t="str">
        <f>"23085051118"</f>
        <v>23085051118</v>
      </c>
      <c r="C6254" s="6">
        <v>94.5</v>
      </c>
      <c r="D6254" s="6">
        <v>102.5</v>
      </c>
      <c r="E6254" s="6">
        <v>197</v>
      </c>
      <c r="F6254" s="11"/>
    </row>
    <row r="6255" spans="1:6">
      <c r="A6255" s="5" t="str">
        <f t="shared" si="108"/>
        <v>202320</v>
      </c>
      <c r="B6255" s="5" t="str">
        <f>"23085051925"</f>
        <v>23085051925</v>
      </c>
      <c r="C6255" s="6">
        <v>81</v>
      </c>
      <c r="D6255" s="6">
        <v>116</v>
      </c>
      <c r="E6255" s="6">
        <v>197</v>
      </c>
      <c r="F6255" s="11"/>
    </row>
    <row r="6256" spans="1:6">
      <c r="A6256" s="5" t="str">
        <f t="shared" si="108"/>
        <v>202320</v>
      </c>
      <c r="B6256" s="5" t="str">
        <f>"23085050810"</f>
        <v>23085050810</v>
      </c>
      <c r="C6256" s="6">
        <v>94.5</v>
      </c>
      <c r="D6256" s="6">
        <v>102.5</v>
      </c>
      <c r="E6256" s="6">
        <v>197</v>
      </c>
      <c r="F6256" s="11"/>
    </row>
    <row r="6257" spans="1:6">
      <c r="A6257" s="5" t="str">
        <f t="shared" si="108"/>
        <v>202320</v>
      </c>
      <c r="B6257" s="5" t="str">
        <f>"23085052413"</f>
        <v>23085052413</v>
      </c>
      <c r="C6257" s="6">
        <v>88.5</v>
      </c>
      <c r="D6257" s="6">
        <v>108</v>
      </c>
      <c r="E6257" s="6">
        <v>196.5</v>
      </c>
      <c r="F6257" s="11"/>
    </row>
    <row r="6258" spans="1:6">
      <c r="A6258" s="5" t="str">
        <f t="shared" si="108"/>
        <v>202320</v>
      </c>
      <c r="B6258" s="5" t="str">
        <f>"23085051629"</f>
        <v>23085051629</v>
      </c>
      <c r="C6258" s="6">
        <v>79.5</v>
      </c>
      <c r="D6258" s="6">
        <v>116.5</v>
      </c>
      <c r="E6258" s="6">
        <v>196</v>
      </c>
      <c r="F6258" s="11"/>
    </row>
    <row r="6259" spans="1:6">
      <c r="A6259" s="5" t="str">
        <f t="shared" si="108"/>
        <v>202320</v>
      </c>
      <c r="B6259" s="5" t="str">
        <f>"23085051719"</f>
        <v>23085051719</v>
      </c>
      <c r="C6259" s="6">
        <v>88.5</v>
      </c>
      <c r="D6259" s="6">
        <v>107.5</v>
      </c>
      <c r="E6259" s="6">
        <v>196</v>
      </c>
      <c r="F6259" s="11"/>
    </row>
    <row r="6260" spans="1:6">
      <c r="A6260" s="5" t="str">
        <f t="shared" si="108"/>
        <v>202320</v>
      </c>
      <c r="B6260" s="5" t="str">
        <f>"23085051209"</f>
        <v>23085051209</v>
      </c>
      <c r="C6260" s="6">
        <v>76.5</v>
      </c>
      <c r="D6260" s="6">
        <v>119.5</v>
      </c>
      <c r="E6260" s="6">
        <v>196</v>
      </c>
      <c r="F6260" s="11"/>
    </row>
    <row r="6261" spans="1:6">
      <c r="A6261" s="5" t="str">
        <f t="shared" si="108"/>
        <v>202320</v>
      </c>
      <c r="B6261" s="5" t="str">
        <f>"23085051021"</f>
        <v>23085051021</v>
      </c>
      <c r="C6261" s="6">
        <v>81</v>
      </c>
      <c r="D6261" s="6">
        <v>115</v>
      </c>
      <c r="E6261" s="6">
        <v>196</v>
      </c>
      <c r="F6261" s="11"/>
    </row>
    <row r="6262" spans="1:6">
      <c r="A6262" s="5" t="str">
        <f t="shared" si="108"/>
        <v>202320</v>
      </c>
      <c r="B6262" s="5" t="str">
        <f>"23085052128"</f>
        <v>23085052128</v>
      </c>
      <c r="C6262" s="6">
        <v>85.5</v>
      </c>
      <c r="D6262" s="6">
        <v>110.5</v>
      </c>
      <c r="E6262" s="6">
        <v>196</v>
      </c>
      <c r="F6262" s="11"/>
    </row>
    <row r="6263" spans="1:6">
      <c r="A6263" s="5" t="str">
        <f t="shared" si="108"/>
        <v>202320</v>
      </c>
      <c r="B6263" s="5" t="str">
        <f>"23085051905"</f>
        <v>23085051905</v>
      </c>
      <c r="C6263" s="6">
        <v>78</v>
      </c>
      <c r="D6263" s="6">
        <v>117.5</v>
      </c>
      <c r="E6263" s="6">
        <v>195.5</v>
      </c>
      <c r="F6263" s="11"/>
    </row>
    <row r="6264" spans="1:6">
      <c r="A6264" s="5" t="str">
        <f t="shared" si="108"/>
        <v>202320</v>
      </c>
      <c r="B6264" s="5" t="str">
        <f>"23085051216"</f>
        <v>23085051216</v>
      </c>
      <c r="C6264" s="6">
        <v>91.5</v>
      </c>
      <c r="D6264" s="6">
        <v>104</v>
      </c>
      <c r="E6264" s="6">
        <v>195.5</v>
      </c>
      <c r="F6264" s="11"/>
    </row>
    <row r="6265" spans="1:6">
      <c r="A6265" s="5" t="str">
        <f t="shared" si="108"/>
        <v>202320</v>
      </c>
      <c r="B6265" s="5" t="str">
        <f>"23085051702"</f>
        <v>23085051702</v>
      </c>
      <c r="C6265" s="6">
        <v>87</v>
      </c>
      <c r="D6265" s="6">
        <v>108.5</v>
      </c>
      <c r="E6265" s="6">
        <v>195.5</v>
      </c>
      <c r="F6265" s="11"/>
    </row>
    <row r="6266" spans="1:6">
      <c r="A6266" s="5" t="str">
        <f t="shared" si="108"/>
        <v>202320</v>
      </c>
      <c r="B6266" s="5" t="str">
        <f>"23085052424"</f>
        <v>23085052424</v>
      </c>
      <c r="C6266" s="6">
        <v>75</v>
      </c>
      <c r="D6266" s="6">
        <v>120.5</v>
      </c>
      <c r="E6266" s="6">
        <v>195.5</v>
      </c>
      <c r="F6266" s="11"/>
    </row>
    <row r="6267" spans="1:6">
      <c r="A6267" s="5" t="str">
        <f t="shared" si="108"/>
        <v>202320</v>
      </c>
      <c r="B6267" s="5" t="str">
        <f>"23085050708"</f>
        <v>23085050708</v>
      </c>
      <c r="C6267" s="6">
        <v>82.5</v>
      </c>
      <c r="D6267" s="6">
        <v>113</v>
      </c>
      <c r="E6267" s="6">
        <v>195.5</v>
      </c>
      <c r="F6267" s="11"/>
    </row>
    <row r="6268" spans="1:6">
      <c r="A6268" s="5" t="str">
        <f t="shared" si="108"/>
        <v>202320</v>
      </c>
      <c r="B6268" s="5" t="str">
        <f>"23085052118"</f>
        <v>23085052118</v>
      </c>
      <c r="C6268" s="6">
        <v>84</v>
      </c>
      <c r="D6268" s="6">
        <v>111.5</v>
      </c>
      <c r="E6268" s="6">
        <v>195.5</v>
      </c>
      <c r="F6268" s="11"/>
    </row>
    <row r="6269" spans="1:6">
      <c r="A6269" s="5" t="str">
        <f t="shared" si="108"/>
        <v>202320</v>
      </c>
      <c r="B6269" s="5" t="str">
        <f>"23085050605"</f>
        <v>23085050605</v>
      </c>
      <c r="C6269" s="6">
        <v>103.5</v>
      </c>
      <c r="D6269" s="6">
        <v>92</v>
      </c>
      <c r="E6269" s="6">
        <v>195.5</v>
      </c>
      <c r="F6269" s="11"/>
    </row>
    <row r="6270" spans="1:6">
      <c r="A6270" s="5" t="str">
        <f t="shared" si="108"/>
        <v>202320</v>
      </c>
      <c r="B6270" s="5" t="str">
        <f>"23085052405"</f>
        <v>23085052405</v>
      </c>
      <c r="C6270" s="6">
        <v>76.5</v>
      </c>
      <c r="D6270" s="6">
        <v>118.5</v>
      </c>
      <c r="E6270" s="6">
        <v>195</v>
      </c>
      <c r="F6270" s="11"/>
    </row>
    <row r="6271" spans="1:6">
      <c r="A6271" s="5" t="str">
        <f t="shared" si="108"/>
        <v>202320</v>
      </c>
      <c r="B6271" s="5" t="str">
        <f>"23085052209"</f>
        <v>23085052209</v>
      </c>
      <c r="C6271" s="6">
        <v>85.5</v>
      </c>
      <c r="D6271" s="6">
        <v>109.5</v>
      </c>
      <c r="E6271" s="6">
        <v>195</v>
      </c>
      <c r="F6271" s="11"/>
    </row>
    <row r="6272" spans="1:6">
      <c r="A6272" s="5" t="str">
        <f t="shared" si="108"/>
        <v>202320</v>
      </c>
      <c r="B6272" s="5" t="str">
        <f>"23085051508"</f>
        <v>23085051508</v>
      </c>
      <c r="C6272" s="6">
        <v>79.5</v>
      </c>
      <c r="D6272" s="6">
        <v>115.5</v>
      </c>
      <c r="E6272" s="6">
        <v>195</v>
      </c>
      <c r="F6272" s="11"/>
    </row>
    <row r="6273" spans="1:6">
      <c r="A6273" s="5" t="str">
        <f t="shared" si="108"/>
        <v>202320</v>
      </c>
      <c r="B6273" s="5" t="str">
        <f>"23085052601"</f>
        <v>23085052601</v>
      </c>
      <c r="C6273" s="6">
        <v>78</v>
      </c>
      <c r="D6273" s="6">
        <v>116.5</v>
      </c>
      <c r="E6273" s="6">
        <v>194.5</v>
      </c>
      <c r="F6273" s="11"/>
    </row>
    <row r="6274" spans="1:6">
      <c r="A6274" s="5" t="str">
        <f t="shared" si="108"/>
        <v>202320</v>
      </c>
      <c r="B6274" s="5" t="str">
        <f>"23085050423"</f>
        <v>23085050423</v>
      </c>
      <c r="C6274" s="6">
        <v>78</v>
      </c>
      <c r="D6274" s="6">
        <v>116.5</v>
      </c>
      <c r="E6274" s="6">
        <v>194.5</v>
      </c>
      <c r="F6274" s="11"/>
    </row>
    <row r="6275" spans="1:6">
      <c r="A6275" s="5" t="str">
        <f t="shared" si="108"/>
        <v>202320</v>
      </c>
      <c r="B6275" s="5" t="str">
        <f>"23085051803"</f>
        <v>23085051803</v>
      </c>
      <c r="C6275" s="6">
        <v>78</v>
      </c>
      <c r="D6275" s="6">
        <v>116.5</v>
      </c>
      <c r="E6275" s="6">
        <v>194.5</v>
      </c>
      <c r="F6275" s="11"/>
    </row>
    <row r="6276" spans="1:6">
      <c r="A6276" s="5" t="str">
        <f t="shared" si="108"/>
        <v>202320</v>
      </c>
      <c r="B6276" s="5" t="str">
        <f>"23085051025"</f>
        <v>23085051025</v>
      </c>
      <c r="C6276" s="6">
        <v>87</v>
      </c>
      <c r="D6276" s="6">
        <v>107.5</v>
      </c>
      <c r="E6276" s="6">
        <v>194.5</v>
      </c>
      <c r="F6276" s="11"/>
    </row>
    <row r="6277" spans="1:6">
      <c r="A6277" s="5" t="str">
        <f t="shared" si="108"/>
        <v>202320</v>
      </c>
      <c r="B6277" s="5" t="str">
        <f>"23085052315"</f>
        <v>23085052315</v>
      </c>
      <c r="C6277" s="6">
        <v>81</v>
      </c>
      <c r="D6277" s="6">
        <v>113.5</v>
      </c>
      <c r="E6277" s="6">
        <v>194.5</v>
      </c>
      <c r="F6277" s="11"/>
    </row>
    <row r="6278" spans="1:6">
      <c r="A6278" s="5" t="str">
        <f t="shared" si="108"/>
        <v>202320</v>
      </c>
      <c r="B6278" s="5" t="str">
        <f>"23085051413"</f>
        <v>23085051413</v>
      </c>
      <c r="C6278" s="6">
        <v>85.5</v>
      </c>
      <c r="D6278" s="6">
        <v>109</v>
      </c>
      <c r="E6278" s="6">
        <v>194.5</v>
      </c>
      <c r="F6278" s="11"/>
    </row>
    <row r="6279" spans="1:6">
      <c r="A6279" s="5" t="str">
        <f t="shared" si="108"/>
        <v>202320</v>
      </c>
      <c r="B6279" s="5" t="str">
        <f>"23085051320"</f>
        <v>23085051320</v>
      </c>
      <c r="C6279" s="6">
        <v>81</v>
      </c>
      <c r="D6279" s="6">
        <v>113.5</v>
      </c>
      <c r="E6279" s="6">
        <v>194.5</v>
      </c>
      <c r="F6279" s="11"/>
    </row>
    <row r="6280" spans="1:6">
      <c r="A6280" s="5" t="str">
        <f t="shared" si="108"/>
        <v>202320</v>
      </c>
      <c r="B6280" s="5" t="str">
        <f>"23085050819"</f>
        <v>23085050819</v>
      </c>
      <c r="C6280" s="6">
        <v>76.5</v>
      </c>
      <c r="D6280" s="6">
        <v>118</v>
      </c>
      <c r="E6280" s="6">
        <v>194.5</v>
      </c>
      <c r="F6280" s="11"/>
    </row>
    <row r="6281" spans="1:6">
      <c r="A6281" s="5" t="str">
        <f t="shared" si="108"/>
        <v>202320</v>
      </c>
      <c r="B6281" s="5" t="str">
        <f>"23085050801"</f>
        <v>23085050801</v>
      </c>
      <c r="C6281" s="6">
        <v>81</v>
      </c>
      <c r="D6281" s="6">
        <v>113</v>
      </c>
      <c r="E6281" s="6">
        <v>194</v>
      </c>
      <c r="F6281" s="11"/>
    </row>
    <row r="6282" spans="1:6">
      <c r="A6282" s="5" t="str">
        <f t="shared" si="108"/>
        <v>202320</v>
      </c>
      <c r="B6282" s="5" t="str">
        <f>"23085051507"</f>
        <v>23085051507</v>
      </c>
      <c r="C6282" s="6">
        <v>75</v>
      </c>
      <c r="D6282" s="6">
        <v>119</v>
      </c>
      <c r="E6282" s="6">
        <v>194</v>
      </c>
      <c r="F6282" s="11"/>
    </row>
    <row r="6283" spans="1:6">
      <c r="A6283" s="5" t="str">
        <f t="shared" si="108"/>
        <v>202320</v>
      </c>
      <c r="B6283" s="5" t="str">
        <f>"23085051927"</f>
        <v>23085051927</v>
      </c>
      <c r="C6283" s="6">
        <v>81</v>
      </c>
      <c r="D6283" s="6">
        <v>113</v>
      </c>
      <c r="E6283" s="6">
        <v>194</v>
      </c>
      <c r="F6283" s="11"/>
    </row>
    <row r="6284" spans="1:6">
      <c r="A6284" s="5" t="str">
        <f t="shared" si="108"/>
        <v>202320</v>
      </c>
      <c r="B6284" s="5" t="str">
        <f>"23085052322"</f>
        <v>23085052322</v>
      </c>
      <c r="C6284" s="6">
        <v>79.5</v>
      </c>
      <c r="D6284" s="6">
        <v>114.5</v>
      </c>
      <c r="E6284" s="6">
        <v>194</v>
      </c>
      <c r="F6284" s="11"/>
    </row>
    <row r="6285" spans="1:6">
      <c r="A6285" s="5" t="str">
        <f t="shared" si="108"/>
        <v>202320</v>
      </c>
      <c r="B6285" s="5" t="str">
        <f>"23085051517"</f>
        <v>23085051517</v>
      </c>
      <c r="C6285" s="6">
        <v>72</v>
      </c>
      <c r="D6285" s="6">
        <v>122</v>
      </c>
      <c r="E6285" s="6">
        <v>194</v>
      </c>
      <c r="F6285" s="11"/>
    </row>
    <row r="6286" spans="1:6">
      <c r="A6286" s="5" t="str">
        <f t="shared" si="108"/>
        <v>202320</v>
      </c>
      <c r="B6286" s="5" t="str">
        <f>"23085051102"</f>
        <v>23085051102</v>
      </c>
      <c r="C6286" s="6">
        <v>78</v>
      </c>
      <c r="D6286" s="6">
        <v>116</v>
      </c>
      <c r="E6286" s="6">
        <v>194</v>
      </c>
      <c r="F6286" s="11"/>
    </row>
    <row r="6287" spans="1:6">
      <c r="A6287" s="5" t="str">
        <f t="shared" si="108"/>
        <v>202320</v>
      </c>
      <c r="B6287" s="5" t="str">
        <f>"23085052425"</f>
        <v>23085052425</v>
      </c>
      <c r="C6287" s="6">
        <v>84</v>
      </c>
      <c r="D6287" s="6">
        <v>110</v>
      </c>
      <c r="E6287" s="6">
        <v>194</v>
      </c>
      <c r="F6287" s="11"/>
    </row>
    <row r="6288" spans="1:6">
      <c r="A6288" s="5" t="str">
        <f t="shared" si="108"/>
        <v>202320</v>
      </c>
      <c r="B6288" s="5" t="str">
        <f>"23085051005"</f>
        <v>23085051005</v>
      </c>
      <c r="C6288" s="6">
        <v>87</v>
      </c>
      <c r="D6288" s="6">
        <v>107</v>
      </c>
      <c r="E6288" s="6">
        <v>194</v>
      </c>
      <c r="F6288" s="11"/>
    </row>
    <row r="6289" spans="1:6">
      <c r="A6289" s="5" t="str">
        <f t="shared" si="108"/>
        <v>202320</v>
      </c>
      <c r="B6289" s="5" t="str">
        <f>"23085050606"</f>
        <v>23085050606</v>
      </c>
      <c r="C6289" s="6">
        <v>87</v>
      </c>
      <c r="D6289" s="6">
        <v>106.5</v>
      </c>
      <c r="E6289" s="6">
        <v>193.5</v>
      </c>
      <c r="F6289" s="11"/>
    </row>
    <row r="6290" spans="1:6">
      <c r="A6290" s="5" t="str">
        <f t="shared" si="108"/>
        <v>202320</v>
      </c>
      <c r="B6290" s="5" t="str">
        <f>"23085052023"</f>
        <v>23085052023</v>
      </c>
      <c r="C6290" s="6">
        <v>78</v>
      </c>
      <c r="D6290" s="6">
        <v>115.5</v>
      </c>
      <c r="E6290" s="6">
        <v>193.5</v>
      </c>
      <c r="F6290" s="11"/>
    </row>
    <row r="6291" spans="1:6">
      <c r="A6291" s="5" t="str">
        <f t="shared" si="108"/>
        <v>202320</v>
      </c>
      <c r="B6291" s="5" t="str">
        <f>"23085051306"</f>
        <v>23085051306</v>
      </c>
      <c r="C6291" s="6">
        <v>81</v>
      </c>
      <c r="D6291" s="6">
        <v>112.5</v>
      </c>
      <c r="E6291" s="6">
        <v>193.5</v>
      </c>
      <c r="F6291" s="11"/>
    </row>
    <row r="6292" spans="1:6">
      <c r="A6292" s="5" t="str">
        <f t="shared" si="108"/>
        <v>202320</v>
      </c>
      <c r="B6292" s="5" t="str">
        <f>"23085052025"</f>
        <v>23085052025</v>
      </c>
      <c r="C6292" s="6">
        <v>81</v>
      </c>
      <c r="D6292" s="6">
        <v>112.5</v>
      </c>
      <c r="E6292" s="6">
        <v>193.5</v>
      </c>
      <c r="F6292" s="11"/>
    </row>
    <row r="6293" spans="1:6">
      <c r="A6293" s="5" t="str">
        <f t="shared" si="108"/>
        <v>202320</v>
      </c>
      <c r="B6293" s="5" t="str">
        <f>"23085050530"</f>
        <v>23085050530</v>
      </c>
      <c r="C6293" s="6">
        <v>72</v>
      </c>
      <c r="D6293" s="6">
        <v>121</v>
      </c>
      <c r="E6293" s="6">
        <v>193</v>
      </c>
      <c r="F6293" s="11"/>
    </row>
    <row r="6294" spans="1:6">
      <c r="A6294" s="5" t="str">
        <f t="shared" si="108"/>
        <v>202320</v>
      </c>
      <c r="B6294" s="5" t="str">
        <f>"23085052402"</f>
        <v>23085052402</v>
      </c>
      <c r="C6294" s="6">
        <v>90</v>
      </c>
      <c r="D6294" s="6">
        <v>103</v>
      </c>
      <c r="E6294" s="6">
        <v>193</v>
      </c>
      <c r="F6294" s="11"/>
    </row>
    <row r="6295" spans="1:6">
      <c r="A6295" s="5" t="str">
        <f t="shared" si="108"/>
        <v>202320</v>
      </c>
      <c r="B6295" s="5" t="str">
        <f>"23085052423"</f>
        <v>23085052423</v>
      </c>
      <c r="C6295" s="6">
        <v>85.5</v>
      </c>
      <c r="D6295" s="6">
        <v>107.5</v>
      </c>
      <c r="E6295" s="6">
        <v>193</v>
      </c>
      <c r="F6295" s="11"/>
    </row>
    <row r="6296" spans="1:6">
      <c r="A6296" s="5" t="str">
        <f t="shared" si="108"/>
        <v>202320</v>
      </c>
      <c r="B6296" s="5" t="str">
        <f>"23085052314"</f>
        <v>23085052314</v>
      </c>
      <c r="C6296" s="6">
        <v>79.5</v>
      </c>
      <c r="D6296" s="6">
        <v>113.5</v>
      </c>
      <c r="E6296" s="6">
        <v>193</v>
      </c>
      <c r="F6296" s="11"/>
    </row>
    <row r="6297" spans="1:6">
      <c r="A6297" s="5" t="str">
        <f t="shared" si="108"/>
        <v>202320</v>
      </c>
      <c r="B6297" s="5" t="str">
        <f>"23085052213"</f>
        <v>23085052213</v>
      </c>
      <c r="C6297" s="6">
        <v>103.5</v>
      </c>
      <c r="D6297" s="6">
        <v>89.5</v>
      </c>
      <c r="E6297" s="6">
        <v>193</v>
      </c>
      <c r="F6297" s="11"/>
    </row>
    <row r="6298" spans="1:6">
      <c r="A6298" s="5" t="str">
        <f t="shared" si="108"/>
        <v>202320</v>
      </c>
      <c r="B6298" s="5" t="str">
        <f>"23085052208"</f>
        <v>23085052208</v>
      </c>
      <c r="C6298" s="6">
        <v>78</v>
      </c>
      <c r="D6298" s="6">
        <v>115</v>
      </c>
      <c r="E6298" s="6">
        <v>193</v>
      </c>
      <c r="F6298" s="11"/>
    </row>
    <row r="6299" spans="1:6">
      <c r="A6299" s="5" t="str">
        <f t="shared" si="108"/>
        <v>202320</v>
      </c>
      <c r="B6299" s="5" t="str">
        <f>"23085051806"</f>
        <v>23085051806</v>
      </c>
      <c r="C6299" s="6">
        <v>88.5</v>
      </c>
      <c r="D6299" s="6">
        <v>104.5</v>
      </c>
      <c r="E6299" s="6">
        <v>193</v>
      </c>
      <c r="F6299" s="11"/>
    </row>
    <row r="6300" spans="1:6">
      <c r="A6300" s="5" t="str">
        <f t="shared" si="108"/>
        <v>202320</v>
      </c>
      <c r="B6300" s="5" t="str">
        <f>"23085051718"</f>
        <v>23085051718</v>
      </c>
      <c r="C6300" s="6">
        <v>73.5</v>
      </c>
      <c r="D6300" s="6">
        <v>119.5</v>
      </c>
      <c r="E6300" s="6">
        <v>193</v>
      </c>
      <c r="F6300" s="11"/>
    </row>
    <row r="6301" spans="1:6">
      <c r="A6301" s="5" t="str">
        <f t="shared" si="108"/>
        <v>202320</v>
      </c>
      <c r="B6301" s="5" t="str">
        <f>"23085052419"</f>
        <v>23085052419</v>
      </c>
      <c r="C6301" s="6">
        <v>91.5</v>
      </c>
      <c r="D6301" s="6">
        <v>101.5</v>
      </c>
      <c r="E6301" s="6">
        <v>193</v>
      </c>
      <c r="F6301" s="11"/>
    </row>
    <row r="6302" spans="1:6">
      <c r="A6302" s="5" t="str">
        <f t="shared" si="108"/>
        <v>202320</v>
      </c>
      <c r="B6302" s="5" t="str">
        <f>"23085051525"</f>
        <v>23085051525</v>
      </c>
      <c r="C6302" s="6">
        <v>91.5</v>
      </c>
      <c r="D6302" s="6">
        <v>101</v>
      </c>
      <c r="E6302" s="6">
        <v>192.5</v>
      </c>
      <c r="F6302" s="11"/>
    </row>
    <row r="6303" spans="1:6">
      <c r="A6303" s="5" t="str">
        <f t="shared" ref="A6303:A6366" si="109">"202320"</f>
        <v>202320</v>
      </c>
      <c r="B6303" s="5" t="str">
        <f>"23085051706"</f>
        <v>23085051706</v>
      </c>
      <c r="C6303" s="6">
        <v>72</v>
      </c>
      <c r="D6303" s="6">
        <v>120.5</v>
      </c>
      <c r="E6303" s="6">
        <v>192.5</v>
      </c>
      <c r="F6303" s="11"/>
    </row>
    <row r="6304" spans="1:6">
      <c r="A6304" s="5" t="str">
        <f t="shared" si="109"/>
        <v>202320</v>
      </c>
      <c r="B6304" s="5" t="str">
        <f>"23085052122"</f>
        <v>23085052122</v>
      </c>
      <c r="C6304" s="6">
        <v>94.5</v>
      </c>
      <c r="D6304" s="6">
        <v>98</v>
      </c>
      <c r="E6304" s="6">
        <v>192.5</v>
      </c>
      <c r="F6304" s="11"/>
    </row>
    <row r="6305" spans="1:6">
      <c r="A6305" s="5" t="str">
        <f t="shared" si="109"/>
        <v>202320</v>
      </c>
      <c r="B6305" s="5" t="str">
        <f>"23085051723"</f>
        <v>23085051723</v>
      </c>
      <c r="C6305" s="6">
        <v>82.5</v>
      </c>
      <c r="D6305" s="6">
        <v>109.5</v>
      </c>
      <c r="E6305" s="6">
        <v>192</v>
      </c>
      <c r="F6305" s="11"/>
    </row>
    <row r="6306" spans="1:6">
      <c r="A6306" s="5" t="str">
        <f t="shared" si="109"/>
        <v>202320</v>
      </c>
      <c r="B6306" s="5" t="str">
        <f>"23085052301"</f>
        <v>23085052301</v>
      </c>
      <c r="C6306" s="6">
        <v>82.5</v>
      </c>
      <c r="D6306" s="6">
        <v>109.5</v>
      </c>
      <c r="E6306" s="6">
        <v>192</v>
      </c>
      <c r="F6306" s="11"/>
    </row>
    <row r="6307" spans="1:6">
      <c r="A6307" s="5" t="str">
        <f t="shared" si="109"/>
        <v>202320</v>
      </c>
      <c r="B6307" s="5" t="str">
        <f>"23085052507"</f>
        <v>23085052507</v>
      </c>
      <c r="C6307" s="6">
        <v>70.5</v>
      </c>
      <c r="D6307" s="6">
        <v>121.5</v>
      </c>
      <c r="E6307" s="6">
        <v>192</v>
      </c>
      <c r="F6307" s="11"/>
    </row>
    <row r="6308" spans="1:6">
      <c r="A6308" s="5" t="str">
        <f t="shared" si="109"/>
        <v>202320</v>
      </c>
      <c r="B6308" s="5" t="str">
        <f>"23085051704"</f>
        <v>23085051704</v>
      </c>
      <c r="C6308" s="6">
        <v>94.5</v>
      </c>
      <c r="D6308" s="6">
        <v>97.5</v>
      </c>
      <c r="E6308" s="6">
        <v>192</v>
      </c>
      <c r="F6308" s="11"/>
    </row>
    <row r="6309" spans="1:6">
      <c r="A6309" s="5" t="str">
        <f t="shared" si="109"/>
        <v>202320</v>
      </c>
      <c r="B6309" s="5" t="str">
        <f>"23085052204"</f>
        <v>23085052204</v>
      </c>
      <c r="C6309" s="6">
        <v>79.5</v>
      </c>
      <c r="D6309" s="6">
        <v>112.5</v>
      </c>
      <c r="E6309" s="6">
        <v>192</v>
      </c>
      <c r="F6309" s="11"/>
    </row>
    <row r="6310" spans="1:6">
      <c r="A6310" s="5" t="str">
        <f t="shared" si="109"/>
        <v>202320</v>
      </c>
      <c r="B6310" s="5" t="str">
        <f>"23085051612"</f>
        <v>23085051612</v>
      </c>
      <c r="C6310" s="6">
        <v>85.5</v>
      </c>
      <c r="D6310" s="6">
        <v>106.5</v>
      </c>
      <c r="E6310" s="6">
        <v>192</v>
      </c>
      <c r="F6310" s="11"/>
    </row>
    <row r="6311" spans="1:6">
      <c r="A6311" s="5" t="str">
        <f t="shared" si="109"/>
        <v>202320</v>
      </c>
      <c r="B6311" s="5" t="str">
        <f>"23085052205"</f>
        <v>23085052205</v>
      </c>
      <c r="C6311" s="6">
        <v>79.5</v>
      </c>
      <c r="D6311" s="6">
        <v>112.5</v>
      </c>
      <c r="E6311" s="6">
        <v>192</v>
      </c>
      <c r="F6311" s="11"/>
    </row>
    <row r="6312" spans="1:6">
      <c r="A6312" s="5" t="str">
        <f t="shared" si="109"/>
        <v>202320</v>
      </c>
      <c r="B6312" s="5" t="str">
        <f>"23085051103"</f>
        <v>23085051103</v>
      </c>
      <c r="C6312" s="6">
        <v>85.5</v>
      </c>
      <c r="D6312" s="6">
        <v>106</v>
      </c>
      <c r="E6312" s="6">
        <v>191.5</v>
      </c>
      <c r="F6312" s="11"/>
    </row>
    <row r="6313" spans="1:6">
      <c r="A6313" s="5" t="str">
        <f t="shared" si="109"/>
        <v>202320</v>
      </c>
      <c r="B6313" s="5" t="str">
        <f>"23085050616"</f>
        <v>23085050616</v>
      </c>
      <c r="C6313" s="6">
        <v>72</v>
      </c>
      <c r="D6313" s="6">
        <v>119.5</v>
      </c>
      <c r="E6313" s="6">
        <v>191.5</v>
      </c>
      <c r="F6313" s="11"/>
    </row>
    <row r="6314" spans="1:6">
      <c r="A6314" s="5" t="str">
        <f t="shared" si="109"/>
        <v>202320</v>
      </c>
      <c r="B6314" s="5" t="str">
        <f>"23085051710"</f>
        <v>23085051710</v>
      </c>
      <c r="C6314" s="6">
        <v>72</v>
      </c>
      <c r="D6314" s="6">
        <v>119.5</v>
      </c>
      <c r="E6314" s="6">
        <v>191.5</v>
      </c>
      <c r="F6314" s="11"/>
    </row>
    <row r="6315" spans="1:6">
      <c r="A6315" s="5" t="str">
        <f t="shared" si="109"/>
        <v>202320</v>
      </c>
      <c r="B6315" s="5" t="str">
        <f>"23085051430"</f>
        <v>23085051430</v>
      </c>
      <c r="C6315" s="6">
        <v>82.5</v>
      </c>
      <c r="D6315" s="6">
        <v>108.5</v>
      </c>
      <c r="E6315" s="6">
        <v>191</v>
      </c>
      <c r="F6315" s="11"/>
    </row>
    <row r="6316" spans="1:6">
      <c r="A6316" s="5" t="str">
        <f t="shared" si="109"/>
        <v>202320</v>
      </c>
      <c r="B6316" s="5" t="str">
        <f>"23085051428"</f>
        <v>23085051428</v>
      </c>
      <c r="C6316" s="6">
        <v>79.5</v>
      </c>
      <c r="D6316" s="6">
        <v>111.5</v>
      </c>
      <c r="E6316" s="6">
        <v>191</v>
      </c>
      <c r="F6316" s="11"/>
    </row>
    <row r="6317" spans="1:6">
      <c r="A6317" s="5" t="str">
        <f t="shared" si="109"/>
        <v>202320</v>
      </c>
      <c r="B6317" s="5" t="str">
        <f>"23085051902"</f>
        <v>23085051902</v>
      </c>
      <c r="C6317" s="6">
        <v>76.5</v>
      </c>
      <c r="D6317" s="6">
        <v>114</v>
      </c>
      <c r="E6317" s="6">
        <v>190.5</v>
      </c>
      <c r="F6317" s="11"/>
    </row>
    <row r="6318" spans="1:6">
      <c r="A6318" s="5" t="str">
        <f t="shared" si="109"/>
        <v>202320</v>
      </c>
      <c r="B6318" s="5" t="str">
        <f>"23085051210"</f>
        <v>23085051210</v>
      </c>
      <c r="C6318" s="6">
        <v>82.5</v>
      </c>
      <c r="D6318" s="6">
        <v>108</v>
      </c>
      <c r="E6318" s="6">
        <v>190.5</v>
      </c>
      <c r="F6318" s="11"/>
    </row>
    <row r="6319" spans="1:6">
      <c r="A6319" s="5" t="str">
        <f t="shared" si="109"/>
        <v>202320</v>
      </c>
      <c r="B6319" s="5" t="str">
        <f>"23085050515"</f>
        <v>23085050515</v>
      </c>
      <c r="C6319" s="6">
        <v>103.5</v>
      </c>
      <c r="D6319" s="6">
        <v>86.5</v>
      </c>
      <c r="E6319" s="6">
        <v>190</v>
      </c>
      <c r="F6319" s="11"/>
    </row>
    <row r="6320" spans="1:6">
      <c r="A6320" s="5" t="str">
        <f t="shared" si="109"/>
        <v>202320</v>
      </c>
      <c r="B6320" s="5" t="str">
        <f>"23085052120"</f>
        <v>23085052120</v>
      </c>
      <c r="C6320" s="6">
        <v>82.5</v>
      </c>
      <c r="D6320" s="6">
        <v>107.5</v>
      </c>
      <c r="E6320" s="6">
        <v>190</v>
      </c>
      <c r="F6320" s="11"/>
    </row>
    <row r="6321" spans="1:6">
      <c r="A6321" s="5" t="str">
        <f t="shared" si="109"/>
        <v>202320</v>
      </c>
      <c r="B6321" s="5" t="str">
        <f>"23085050701"</f>
        <v>23085050701</v>
      </c>
      <c r="C6321" s="6">
        <v>81</v>
      </c>
      <c r="D6321" s="6">
        <v>109</v>
      </c>
      <c r="E6321" s="6">
        <v>190</v>
      </c>
      <c r="F6321" s="11"/>
    </row>
    <row r="6322" spans="1:6">
      <c r="A6322" s="5" t="str">
        <f t="shared" si="109"/>
        <v>202320</v>
      </c>
      <c r="B6322" s="5" t="str">
        <f>"23085050619"</f>
        <v>23085050619</v>
      </c>
      <c r="C6322" s="6">
        <v>76.5</v>
      </c>
      <c r="D6322" s="6">
        <v>113.5</v>
      </c>
      <c r="E6322" s="6">
        <v>190</v>
      </c>
      <c r="F6322" s="11"/>
    </row>
    <row r="6323" spans="1:6">
      <c r="A6323" s="5" t="str">
        <f t="shared" si="109"/>
        <v>202320</v>
      </c>
      <c r="B6323" s="5" t="str">
        <f>"23085051514"</f>
        <v>23085051514</v>
      </c>
      <c r="C6323" s="6">
        <v>67.5</v>
      </c>
      <c r="D6323" s="6">
        <v>122</v>
      </c>
      <c r="E6323" s="6">
        <v>189.5</v>
      </c>
      <c r="F6323" s="11"/>
    </row>
    <row r="6324" spans="1:6">
      <c r="A6324" s="5" t="str">
        <f t="shared" si="109"/>
        <v>202320</v>
      </c>
      <c r="B6324" s="5" t="str">
        <f>"23085052116"</f>
        <v>23085052116</v>
      </c>
      <c r="C6324" s="6">
        <v>70.5</v>
      </c>
      <c r="D6324" s="6">
        <v>119</v>
      </c>
      <c r="E6324" s="6">
        <v>189.5</v>
      </c>
      <c r="F6324" s="11"/>
    </row>
    <row r="6325" spans="1:6">
      <c r="A6325" s="5" t="str">
        <f t="shared" si="109"/>
        <v>202320</v>
      </c>
      <c r="B6325" s="5" t="str">
        <f>"23085052415"</f>
        <v>23085052415</v>
      </c>
      <c r="C6325" s="6">
        <v>79.5</v>
      </c>
      <c r="D6325" s="6">
        <v>110</v>
      </c>
      <c r="E6325" s="6">
        <v>189.5</v>
      </c>
      <c r="F6325" s="11"/>
    </row>
    <row r="6326" spans="1:6">
      <c r="A6326" s="5" t="str">
        <f t="shared" si="109"/>
        <v>202320</v>
      </c>
      <c r="B6326" s="5" t="str">
        <f>"23085051120"</f>
        <v>23085051120</v>
      </c>
      <c r="C6326" s="6">
        <v>72</v>
      </c>
      <c r="D6326" s="6">
        <v>117.5</v>
      </c>
      <c r="E6326" s="6">
        <v>189.5</v>
      </c>
      <c r="F6326" s="11"/>
    </row>
    <row r="6327" spans="1:6">
      <c r="A6327" s="5" t="str">
        <f t="shared" si="109"/>
        <v>202320</v>
      </c>
      <c r="B6327" s="5" t="str">
        <f>"23085050919"</f>
        <v>23085050919</v>
      </c>
      <c r="C6327" s="6">
        <v>88.5</v>
      </c>
      <c r="D6327" s="6">
        <v>101</v>
      </c>
      <c r="E6327" s="6">
        <v>189.5</v>
      </c>
      <c r="F6327" s="11"/>
    </row>
    <row r="6328" spans="1:6">
      <c r="A6328" s="5" t="str">
        <f t="shared" si="109"/>
        <v>202320</v>
      </c>
      <c r="B6328" s="5" t="str">
        <f>"23085050805"</f>
        <v>23085050805</v>
      </c>
      <c r="C6328" s="6">
        <v>84</v>
      </c>
      <c r="D6328" s="6">
        <v>105.5</v>
      </c>
      <c r="E6328" s="6">
        <v>189.5</v>
      </c>
      <c r="F6328" s="11"/>
    </row>
    <row r="6329" spans="1:6">
      <c r="A6329" s="5" t="str">
        <f t="shared" si="109"/>
        <v>202320</v>
      </c>
      <c r="B6329" s="5" t="str">
        <f>"23085051227"</f>
        <v>23085051227</v>
      </c>
      <c r="C6329" s="6">
        <v>78</v>
      </c>
      <c r="D6329" s="6">
        <v>111.5</v>
      </c>
      <c r="E6329" s="6">
        <v>189.5</v>
      </c>
      <c r="F6329" s="11"/>
    </row>
    <row r="6330" spans="1:6">
      <c r="A6330" s="5" t="str">
        <f t="shared" si="109"/>
        <v>202320</v>
      </c>
      <c r="B6330" s="5" t="str">
        <f>"23085050512"</f>
        <v>23085050512</v>
      </c>
      <c r="C6330" s="6">
        <v>78</v>
      </c>
      <c r="D6330" s="6">
        <v>111</v>
      </c>
      <c r="E6330" s="6">
        <v>189</v>
      </c>
      <c r="F6330" s="11"/>
    </row>
    <row r="6331" spans="1:6">
      <c r="A6331" s="5" t="str">
        <f t="shared" si="109"/>
        <v>202320</v>
      </c>
      <c r="B6331" s="5" t="str">
        <f>"23085052525"</f>
        <v>23085052525</v>
      </c>
      <c r="C6331" s="6">
        <v>85.5</v>
      </c>
      <c r="D6331" s="6">
        <v>103.5</v>
      </c>
      <c r="E6331" s="6">
        <v>189</v>
      </c>
      <c r="F6331" s="11"/>
    </row>
    <row r="6332" spans="1:6">
      <c r="A6332" s="5" t="str">
        <f t="shared" si="109"/>
        <v>202320</v>
      </c>
      <c r="B6332" s="5" t="str">
        <f>"23085051327"</f>
        <v>23085051327</v>
      </c>
      <c r="C6332" s="6">
        <v>79.5</v>
      </c>
      <c r="D6332" s="6">
        <v>109.5</v>
      </c>
      <c r="E6332" s="6">
        <v>189</v>
      </c>
      <c r="F6332" s="11"/>
    </row>
    <row r="6333" spans="1:6">
      <c r="A6333" s="5" t="str">
        <f t="shared" si="109"/>
        <v>202320</v>
      </c>
      <c r="B6333" s="5" t="str">
        <f>"23085051914"</f>
        <v>23085051914</v>
      </c>
      <c r="C6333" s="6">
        <v>70.5</v>
      </c>
      <c r="D6333" s="6">
        <v>118.5</v>
      </c>
      <c r="E6333" s="6">
        <v>189</v>
      </c>
      <c r="F6333" s="11"/>
    </row>
    <row r="6334" spans="1:6">
      <c r="A6334" s="5" t="str">
        <f t="shared" si="109"/>
        <v>202320</v>
      </c>
      <c r="B6334" s="5" t="str">
        <f>"23085052522"</f>
        <v>23085052522</v>
      </c>
      <c r="C6334" s="6">
        <v>75</v>
      </c>
      <c r="D6334" s="6">
        <v>114</v>
      </c>
      <c r="E6334" s="6">
        <v>189</v>
      </c>
      <c r="F6334" s="11"/>
    </row>
    <row r="6335" spans="1:6">
      <c r="A6335" s="5" t="str">
        <f t="shared" si="109"/>
        <v>202320</v>
      </c>
      <c r="B6335" s="5" t="str">
        <f>"23085051529"</f>
        <v>23085051529</v>
      </c>
      <c r="C6335" s="6">
        <v>76.5</v>
      </c>
      <c r="D6335" s="6">
        <v>112</v>
      </c>
      <c r="E6335" s="6">
        <v>188.5</v>
      </c>
      <c r="F6335" s="11"/>
    </row>
    <row r="6336" spans="1:6">
      <c r="A6336" s="5" t="str">
        <f t="shared" si="109"/>
        <v>202320</v>
      </c>
      <c r="B6336" s="5" t="str">
        <f>"23085052124"</f>
        <v>23085052124</v>
      </c>
      <c r="C6336" s="6">
        <v>72</v>
      </c>
      <c r="D6336" s="6">
        <v>116.5</v>
      </c>
      <c r="E6336" s="6">
        <v>188.5</v>
      </c>
      <c r="F6336" s="11"/>
    </row>
    <row r="6337" spans="1:6">
      <c r="A6337" s="5" t="str">
        <f t="shared" si="109"/>
        <v>202320</v>
      </c>
      <c r="B6337" s="5" t="str">
        <f>"23085052401"</f>
        <v>23085052401</v>
      </c>
      <c r="C6337" s="6">
        <v>85.5</v>
      </c>
      <c r="D6337" s="6">
        <v>103</v>
      </c>
      <c r="E6337" s="6">
        <v>188.5</v>
      </c>
      <c r="F6337" s="11"/>
    </row>
    <row r="6338" spans="1:6">
      <c r="A6338" s="5" t="str">
        <f t="shared" si="109"/>
        <v>202320</v>
      </c>
      <c r="B6338" s="5" t="str">
        <f>"23085052219"</f>
        <v>23085052219</v>
      </c>
      <c r="C6338" s="6">
        <v>75</v>
      </c>
      <c r="D6338" s="6">
        <v>113.5</v>
      </c>
      <c r="E6338" s="6">
        <v>188.5</v>
      </c>
      <c r="F6338" s="11"/>
    </row>
    <row r="6339" spans="1:6">
      <c r="A6339" s="5" t="str">
        <f t="shared" si="109"/>
        <v>202320</v>
      </c>
      <c r="B6339" s="5" t="str">
        <f>"23085050923"</f>
        <v>23085050923</v>
      </c>
      <c r="C6339" s="6">
        <v>79.5</v>
      </c>
      <c r="D6339" s="6">
        <v>109</v>
      </c>
      <c r="E6339" s="6">
        <v>188.5</v>
      </c>
      <c r="F6339" s="11"/>
    </row>
    <row r="6340" spans="1:6">
      <c r="A6340" s="5" t="str">
        <f t="shared" si="109"/>
        <v>202320</v>
      </c>
      <c r="B6340" s="5" t="str">
        <f>"23085052003"</f>
        <v>23085052003</v>
      </c>
      <c r="C6340" s="6">
        <v>72</v>
      </c>
      <c r="D6340" s="6">
        <v>116</v>
      </c>
      <c r="E6340" s="6">
        <v>188</v>
      </c>
      <c r="F6340" s="11"/>
    </row>
    <row r="6341" spans="1:6">
      <c r="A6341" s="5" t="str">
        <f t="shared" si="109"/>
        <v>202320</v>
      </c>
      <c r="B6341" s="5" t="str">
        <f>"23085050906"</f>
        <v>23085050906</v>
      </c>
      <c r="C6341" s="6">
        <v>70.5</v>
      </c>
      <c r="D6341" s="6">
        <v>117.5</v>
      </c>
      <c r="E6341" s="6">
        <v>188</v>
      </c>
      <c r="F6341" s="11"/>
    </row>
    <row r="6342" spans="1:6">
      <c r="A6342" s="5" t="str">
        <f t="shared" si="109"/>
        <v>202320</v>
      </c>
      <c r="B6342" s="5" t="str">
        <f>"23085051316"</f>
        <v>23085051316</v>
      </c>
      <c r="C6342" s="6">
        <v>67.5</v>
      </c>
      <c r="D6342" s="6">
        <v>120</v>
      </c>
      <c r="E6342" s="6">
        <v>187.5</v>
      </c>
      <c r="F6342" s="11"/>
    </row>
    <row r="6343" spans="1:6">
      <c r="A6343" s="5" t="str">
        <f t="shared" si="109"/>
        <v>202320</v>
      </c>
      <c r="B6343" s="5" t="str">
        <f>"23085052013"</f>
        <v>23085052013</v>
      </c>
      <c r="C6343" s="6">
        <v>72</v>
      </c>
      <c r="D6343" s="6">
        <v>115.5</v>
      </c>
      <c r="E6343" s="6">
        <v>187.5</v>
      </c>
      <c r="F6343" s="11"/>
    </row>
    <row r="6344" spans="1:6">
      <c r="A6344" s="5" t="str">
        <f t="shared" si="109"/>
        <v>202320</v>
      </c>
      <c r="B6344" s="5" t="str">
        <f>"23085052325"</f>
        <v>23085052325</v>
      </c>
      <c r="C6344" s="6">
        <v>69</v>
      </c>
      <c r="D6344" s="6">
        <v>118.5</v>
      </c>
      <c r="E6344" s="6">
        <v>187.5</v>
      </c>
      <c r="F6344" s="11"/>
    </row>
    <row r="6345" spans="1:6">
      <c r="A6345" s="5" t="str">
        <f t="shared" si="109"/>
        <v>202320</v>
      </c>
      <c r="B6345" s="5" t="str">
        <f>"23085050901"</f>
        <v>23085050901</v>
      </c>
      <c r="C6345" s="6">
        <v>73.5</v>
      </c>
      <c r="D6345" s="6">
        <v>114</v>
      </c>
      <c r="E6345" s="6">
        <v>187.5</v>
      </c>
      <c r="F6345" s="11"/>
    </row>
    <row r="6346" spans="1:6">
      <c r="A6346" s="5" t="str">
        <f t="shared" si="109"/>
        <v>202320</v>
      </c>
      <c r="B6346" s="5" t="str">
        <f>"23085050416"</f>
        <v>23085050416</v>
      </c>
      <c r="C6346" s="6">
        <v>69</v>
      </c>
      <c r="D6346" s="6">
        <v>118</v>
      </c>
      <c r="E6346" s="6">
        <v>187</v>
      </c>
      <c r="F6346" s="11"/>
    </row>
    <row r="6347" spans="1:6">
      <c r="A6347" s="5" t="str">
        <f t="shared" si="109"/>
        <v>202320</v>
      </c>
      <c r="B6347" s="5" t="str">
        <f>"23085051911"</f>
        <v>23085051911</v>
      </c>
      <c r="C6347" s="6">
        <v>75</v>
      </c>
      <c r="D6347" s="6">
        <v>112</v>
      </c>
      <c r="E6347" s="6">
        <v>187</v>
      </c>
      <c r="F6347" s="11"/>
    </row>
    <row r="6348" spans="1:6">
      <c r="A6348" s="5" t="str">
        <f t="shared" si="109"/>
        <v>202320</v>
      </c>
      <c r="B6348" s="5" t="str">
        <f>"23085052527"</f>
        <v>23085052527</v>
      </c>
      <c r="C6348" s="6">
        <v>72</v>
      </c>
      <c r="D6348" s="6">
        <v>115</v>
      </c>
      <c r="E6348" s="6">
        <v>187</v>
      </c>
      <c r="F6348" s="11"/>
    </row>
    <row r="6349" spans="1:6">
      <c r="A6349" s="5" t="str">
        <f t="shared" si="109"/>
        <v>202320</v>
      </c>
      <c r="B6349" s="5" t="str">
        <f>"23085052518"</f>
        <v>23085052518</v>
      </c>
      <c r="C6349" s="6">
        <v>72</v>
      </c>
      <c r="D6349" s="6">
        <v>115</v>
      </c>
      <c r="E6349" s="6">
        <v>187</v>
      </c>
      <c r="F6349" s="11"/>
    </row>
    <row r="6350" spans="1:6">
      <c r="A6350" s="5" t="str">
        <f t="shared" si="109"/>
        <v>202320</v>
      </c>
      <c r="B6350" s="5" t="str">
        <f>"23085050518"</f>
        <v>23085050518</v>
      </c>
      <c r="C6350" s="6">
        <v>91.5</v>
      </c>
      <c r="D6350" s="6">
        <v>95.5</v>
      </c>
      <c r="E6350" s="6">
        <v>187</v>
      </c>
      <c r="F6350" s="11"/>
    </row>
    <row r="6351" spans="1:6">
      <c r="A6351" s="5" t="str">
        <f t="shared" si="109"/>
        <v>202320</v>
      </c>
      <c r="B6351" s="5" t="str">
        <f>"23085050428"</f>
        <v>23085050428</v>
      </c>
      <c r="C6351" s="6">
        <v>69</v>
      </c>
      <c r="D6351" s="6">
        <v>117.5</v>
      </c>
      <c r="E6351" s="6">
        <v>186.5</v>
      </c>
      <c r="F6351" s="11"/>
    </row>
    <row r="6352" spans="1:6">
      <c r="A6352" s="5" t="str">
        <f t="shared" si="109"/>
        <v>202320</v>
      </c>
      <c r="B6352" s="5" t="str">
        <f>"23085050705"</f>
        <v>23085050705</v>
      </c>
      <c r="C6352" s="6">
        <v>78</v>
      </c>
      <c r="D6352" s="6">
        <v>108.5</v>
      </c>
      <c r="E6352" s="6">
        <v>186.5</v>
      </c>
      <c r="F6352" s="11"/>
    </row>
    <row r="6353" spans="1:6">
      <c r="A6353" s="5" t="str">
        <f t="shared" si="109"/>
        <v>202320</v>
      </c>
      <c r="B6353" s="5" t="str">
        <f>"23085051411"</f>
        <v>23085051411</v>
      </c>
      <c r="C6353" s="6">
        <v>75</v>
      </c>
      <c r="D6353" s="6">
        <v>111</v>
      </c>
      <c r="E6353" s="6">
        <v>186</v>
      </c>
      <c r="F6353" s="11"/>
    </row>
    <row r="6354" spans="1:6">
      <c r="A6354" s="5" t="str">
        <f t="shared" si="109"/>
        <v>202320</v>
      </c>
      <c r="B6354" s="5" t="str">
        <f>"23085051603"</f>
        <v>23085051603</v>
      </c>
      <c r="C6354" s="6">
        <v>76.5</v>
      </c>
      <c r="D6354" s="6">
        <v>109.5</v>
      </c>
      <c r="E6354" s="6">
        <v>186</v>
      </c>
      <c r="F6354" s="11"/>
    </row>
    <row r="6355" spans="1:6">
      <c r="A6355" s="5" t="str">
        <f t="shared" si="109"/>
        <v>202320</v>
      </c>
      <c r="B6355" s="5" t="str">
        <f>"23085052123"</f>
        <v>23085052123</v>
      </c>
      <c r="C6355" s="6">
        <v>78</v>
      </c>
      <c r="D6355" s="6">
        <v>108</v>
      </c>
      <c r="E6355" s="6">
        <v>186</v>
      </c>
      <c r="F6355" s="11"/>
    </row>
    <row r="6356" spans="1:6">
      <c r="A6356" s="5" t="str">
        <f t="shared" si="109"/>
        <v>202320</v>
      </c>
      <c r="B6356" s="5" t="str">
        <f>"23085052420"</f>
        <v>23085052420</v>
      </c>
      <c r="C6356" s="6">
        <v>79.5</v>
      </c>
      <c r="D6356" s="6">
        <v>106.5</v>
      </c>
      <c r="E6356" s="6">
        <v>186</v>
      </c>
      <c r="F6356" s="11"/>
    </row>
    <row r="6357" spans="1:6">
      <c r="A6357" s="5" t="str">
        <f t="shared" si="109"/>
        <v>202320</v>
      </c>
      <c r="B6357" s="5" t="str">
        <f>"23085052308"</f>
        <v>23085052308</v>
      </c>
      <c r="C6357" s="6">
        <v>69</v>
      </c>
      <c r="D6357" s="6">
        <v>117</v>
      </c>
      <c r="E6357" s="6">
        <v>186</v>
      </c>
      <c r="F6357" s="11"/>
    </row>
    <row r="6358" spans="1:6">
      <c r="A6358" s="5" t="str">
        <f t="shared" si="109"/>
        <v>202320</v>
      </c>
      <c r="B6358" s="5" t="str">
        <f>"23085051615"</f>
        <v>23085051615</v>
      </c>
      <c r="C6358" s="6">
        <v>67.5</v>
      </c>
      <c r="D6358" s="6">
        <v>118.5</v>
      </c>
      <c r="E6358" s="6">
        <v>186</v>
      </c>
      <c r="F6358" s="11"/>
    </row>
    <row r="6359" spans="1:6">
      <c r="A6359" s="5" t="str">
        <f t="shared" si="109"/>
        <v>202320</v>
      </c>
      <c r="B6359" s="5" t="str">
        <f>"23085052313"</f>
        <v>23085052313</v>
      </c>
      <c r="C6359" s="6">
        <v>84</v>
      </c>
      <c r="D6359" s="6">
        <v>102</v>
      </c>
      <c r="E6359" s="6">
        <v>186</v>
      </c>
      <c r="F6359" s="11"/>
    </row>
    <row r="6360" spans="1:6">
      <c r="A6360" s="5" t="str">
        <f t="shared" si="109"/>
        <v>202320</v>
      </c>
      <c r="B6360" s="5" t="str">
        <f>"23085051308"</f>
        <v>23085051308</v>
      </c>
      <c r="C6360" s="6">
        <v>76.5</v>
      </c>
      <c r="D6360" s="6">
        <v>109.5</v>
      </c>
      <c r="E6360" s="6">
        <v>186</v>
      </c>
      <c r="F6360" s="11"/>
    </row>
    <row r="6361" spans="1:6">
      <c r="A6361" s="5" t="str">
        <f t="shared" si="109"/>
        <v>202320</v>
      </c>
      <c r="B6361" s="5" t="str">
        <f>"23085051201"</f>
        <v>23085051201</v>
      </c>
      <c r="C6361" s="6">
        <v>72</v>
      </c>
      <c r="D6361" s="6">
        <v>113.5</v>
      </c>
      <c r="E6361" s="6">
        <v>185.5</v>
      </c>
      <c r="F6361" s="11"/>
    </row>
    <row r="6362" spans="1:6">
      <c r="A6362" s="5" t="str">
        <f t="shared" si="109"/>
        <v>202320</v>
      </c>
      <c r="B6362" s="5" t="str">
        <f>"23085052501"</f>
        <v>23085052501</v>
      </c>
      <c r="C6362" s="6">
        <v>72</v>
      </c>
      <c r="D6362" s="6">
        <v>113.5</v>
      </c>
      <c r="E6362" s="6">
        <v>185.5</v>
      </c>
      <c r="F6362" s="11"/>
    </row>
    <row r="6363" spans="1:6">
      <c r="A6363" s="5" t="str">
        <f t="shared" si="109"/>
        <v>202320</v>
      </c>
      <c r="B6363" s="5" t="str">
        <f>"23085050814"</f>
        <v>23085050814</v>
      </c>
      <c r="C6363" s="6">
        <v>79.5</v>
      </c>
      <c r="D6363" s="6">
        <v>106</v>
      </c>
      <c r="E6363" s="6">
        <v>185.5</v>
      </c>
      <c r="F6363" s="11"/>
    </row>
    <row r="6364" spans="1:6">
      <c r="A6364" s="5" t="str">
        <f t="shared" si="109"/>
        <v>202320</v>
      </c>
      <c r="B6364" s="5" t="str">
        <f>"23085051608"</f>
        <v>23085051608</v>
      </c>
      <c r="C6364" s="6">
        <v>72</v>
      </c>
      <c r="D6364" s="6">
        <v>113.5</v>
      </c>
      <c r="E6364" s="6">
        <v>185.5</v>
      </c>
      <c r="F6364" s="11"/>
    </row>
    <row r="6365" spans="1:6">
      <c r="A6365" s="5" t="str">
        <f t="shared" si="109"/>
        <v>202320</v>
      </c>
      <c r="B6365" s="5" t="str">
        <f>"23085051913"</f>
        <v>23085051913</v>
      </c>
      <c r="C6365" s="6">
        <v>78</v>
      </c>
      <c r="D6365" s="6">
        <v>107</v>
      </c>
      <c r="E6365" s="6">
        <v>185</v>
      </c>
      <c r="F6365" s="11"/>
    </row>
    <row r="6366" spans="1:6">
      <c r="A6366" s="5" t="str">
        <f t="shared" si="109"/>
        <v>202320</v>
      </c>
      <c r="B6366" s="5" t="str">
        <f>"23085051106"</f>
        <v>23085051106</v>
      </c>
      <c r="C6366" s="6">
        <v>78</v>
      </c>
      <c r="D6366" s="6">
        <v>107</v>
      </c>
      <c r="E6366" s="6">
        <v>185</v>
      </c>
      <c r="F6366" s="11"/>
    </row>
    <row r="6367" spans="1:6">
      <c r="A6367" s="5" t="str">
        <f t="shared" ref="A6367:A6430" si="110">"202320"</f>
        <v>202320</v>
      </c>
      <c r="B6367" s="5" t="str">
        <f>"23085052328"</f>
        <v>23085052328</v>
      </c>
      <c r="C6367" s="6">
        <v>69</v>
      </c>
      <c r="D6367" s="6">
        <v>116</v>
      </c>
      <c r="E6367" s="6">
        <v>185</v>
      </c>
      <c r="F6367" s="11"/>
    </row>
    <row r="6368" spans="1:6">
      <c r="A6368" s="5" t="str">
        <f t="shared" si="110"/>
        <v>202320</v>
      </c>
      <c r="B6368" s="5" t="str">
        <f>"23085052309"</f>
        <v>23085052309</v>
      </c>
      <c r="C6368" s="6">
        <v>73.5</v>
      </c>
      <c r="D6368" s="6">
        <v>111.5</v>
      </c>
      <c r="E6368" s="6">
        <v>185</v>
      </c>
      <c r="F6368" s="11"/>
    </row>
    <row r="6369" spans="1:6">
      <c r="A6369" s="5" t="str">
        <f t="shared" si="110"/>
        <v>202320</v>
      </c>
      <c r="B6369" s="5" t="str">
        <f>"23085051008"</f>
        <v>23085051008</v>
      </c>
      <c r="C6369" s="6">
        <v>76.5</v>
      </c>
      <c r="D6369" s="6">
        <v>108</v>
      </c>
      <c r="E6369" s="6">
        <v>184.5</v>
      </c>
      <c r="F6369" s="11"/>
    </row>
    <row r="6370" spans="1:6">
      <c r="A6370" s="5" t="str">
        <f t="shared" si="110"/>
        <v>202320</v>
      </c>
      <c r="B6370" s="5" t="str">
        <f>"23085052421"</f>
        <v>23085052421</v>
      </c>
      <c r="C6370" s="6">
        <v>81</v>
      </c>
      <c r="D6370" s="6">
        <v>103.5</v>
      </c>
      <c r="E6370" s="6">
        <v>184.5</v>
      </c>
      <c r="F6370" s="11"/>
    </row>
    <row r="6371" spans="1:6">
      <c r="A6371" s="5" t="str">
        <f t="shared" si="110"/>
        <v>202320</v>
      </c>
      <c r="B6371" s="5" t="str">
        <f>"23085050828"</f>
        <v>23085050828</v>
      </c>
      <c r="C6371" s="6">
        <v>76.5</v>
      </c>
      <c r="D6371" s="6">
        <v>108</v>
      </c>
      <c r="E6371" s="6">
        <v>184.5</v>
      </c>
      <c r="F6371" s="11"/>
    </row>
    <row r="6372" spans="1:6">
      <c r="A6372" s="5" t="str">
        <f t="shared" si="110"/>
        <v>202320</v>
      </c>
      <c r="B6372" s="5" t="str">
        <f>"23085052504"</f>
        <v>23085052504</v>
      </c>
      <c r="C6372" s="6">
        <v>97.5</v>
      </c>
      <c r="D6372" s="6">
        <v>87</v>
      </c>
      <c r="E6372" s="6">
        <v>184.5</v>
      </c>
      <c r="F6372" s="11"/>
    </row>
    <row r="6373" spans="1:6">
      <c r="A6373" s="5" t="str">
        <f t="shared" si="110"/>
        <v>202320</v>
      </c>
      <c r="B6373" s="5" t="str">
        <f>"23085051825"</f>
        <v>23085051825</v>
      </c>
      <c r="C6373" s="6">
        <v>76.5</v>
      </c>
      <c r="D6373" s="6">
        <v>108</v>
      </c>
      <c r="E6373" s="6">
        <v>184.5</v>
      </c>
      <c r="F6373" s="11"/>
    </row>
    <row r="6374" spans="1:6">
      <c r="A6374" s="5" t="str">
        <f t="shared" si="110"/>
        <v>202320</v>
      </c>
      <c r="B6374" s="5" t="str">
        <f>"23085050626"</f>
        <v>23085050626</v>
      </c>
      <c r="C6374" s="6">
        <v>76.5</v>
      </c>
      <c r="D6374" s="6">
        <v>108</v>
      </c>
      <c r="E6374" s="6">
        <v>184.5</v>
      </c>
      <c r="F6374" s="11"/>
    </row>
    <row r="6375" spans="1:6">
      <c r="A6375" s="5" t="str">
        <f t="shared" si="110"/>
        <v>202320</v>
      </c>
      <c r="B6375" s="5" t="str">
        <f>"23085050415"</f>
        <v>23085050415</v>
      </c>
      <c r="C6375" s="6">
        <v>78</v>
      </c>
      <c r="D6375" s="6">
        <v>106.5</v>
      </c>
      <c r="E6375" s="6">
        <v>184.5</v>
      </c>
      <c r="F6375" s="11"/>
    </row>
    <row r="6376" spans="1:6">
      <c r="A6376" s="5" t="str">
        <f t="shared" si="110"/>
        <v>202320</v>
      </c>
      <c r="B6376" s="5" t="str">
        <f>"23085051919"</f>
        <v>23085051919</v>
      </c>
      <c r="C6376" s="6">
        <v>73.5</v>
      </c>
      <c r="D6376" s="6">
        <v>111</v>
      </c>
      <c r="E6376" s="6">
        <v>184.5</v>
      </c>
      <c r="F6376" s="11"/>
    </row>
    <row r="6377" spans="1:6">
      <c r="A6377" s="5" t="str">
        <f t="shared" si="110"/>
        <v>202320</v>
      </c>
      <c r="B6377" s="5" t="str">
        <f>"23085050514"</f>
        <v>23085050514</v>
      </c>
      <c r="C6377" s="6">
        <v>76.5</v>
      </c>
      <c r="D6377" s="6">
        <v>107.5</v>
      </c>
      <c r="E6377" s="6">
        <v>184</v>
      </c>
      <c r="F6377" s="11"/>
    </row>
    <row r="6378" spans="1:6">
      <c r="A6378" s="5" t="str">
        <f t="shared" si="110"/>
        <v>202320</v>
      </c>
      <c r="B6378" s="5" t="str">
        <f>"23085051622"</f>
        <v>23085051622</v>
      </c>
      <c r="C6378" s="6">
        <v>76.5</v>
      </c>
      <c r="D6378" s="6">
        <v>107</v>
      </c>
      <c r="E6378" s="6">
        <v>183.5</v>
      </c>
      <c r="F6378" s="11"/>
    </row>
    <row r="6379" spans="1:6">
      <c r="A6379" s="5" t="str">
        <f t="shared" si="110"/>
        <v>202320</v>
      </c>
      <c r="B6379" s="5" t="str">
        <f>"23085051304"</f>
        <v>23085051304</v>
      </c>
      <c r="C6379" s="6">
        <v>79.5</v>
      </c>
      <c r="D6379" s="6">
        <v>103.5</v>
      </c>
      <c r="E6379" s="6">
        <v>183</v>
      </c>
      <c r="F6379" s="11"/>
    </row>
    <row r="6380" spans="1:6">
      <c r="A6380" s="5" t="str">
        <f t="shared" si="110"/>
        <v>202320</v>
      </c>
      <c r="B6380" s="5" t="str">
        <f>"23085050602"</f>
        <v>23085050602</v>
      </c>
      <c r="C6380" s="6">
        <v>67.5</v>
      </c>
      <c r="D6380" s="6">
        <v>115.5</v>
      </c>
      <c r="E6380" s="6">
        <v>183</v>
      </c>
      <c r="F6380" s="11"/>
    </row>
    <row r="6381" spans="1:6">
      <c r="A6381" s="5" t="str">
        <f t="shared" si="110"/>
        <v>202320</v>
      </c>
      <c r="B6381" s="5" t="str">
        <f>"23085051419"</f>
        <v>23085051419</v>
      </c>
      <c r="C6381" s="6">
        <v>67.5</v>
      </c>
      <c r="D6381" s="6">
        <v>115.5</v>
      </c>
      <c r="E6381" s="6">
        <v>183</v>
      </c>
      <c r="F6381" s="11"/>
    </row>
    <row r="6382" spans="1:6">
      <c r="A6382" s="5" t="str">
        <f t="shared" si="110"/>
        <v>202320</v>
      </c>
      <c r="B6382" s="5" t="str">
        <f>"23085051917"</f>
        <v>23085051917</v>
      </c>
      <c r="C6382" s="6">
        <v>75</v>
      </c>
      <c r="D6382" s="6">
        <v>108</v>
      </c>
      <c r="E6382" s="6">
        <v>183</v>
      </c>
      <c r="F6382" s="11"/>
    </row>
    <row r="6383" spans="1:6">
      <c r="A6383" s="5" t="str">
        <f t="shared" si="110"/>
        <v>202320</v>
      </c>
      <c r="B6383" s="5" t="str">
        <f>"23085050709"</f>
        <v>23085050709</v>
      </c>
      <c r="C6383" s="6">
        <v>66</v>
      </c>
      <c r="D6383" s="6">
        <v>116.5</v>
      </c>
      <c r="E6383" s="6">
        <v>182.5</v>
      </c>
      <c r="F6383" s="11"/>
    </row>
    <row r="6384" spans="1:6">
      <c r="A6384" s="5" t="str">
        <f t="shared" si="110"/>
        <v>202320</v>
      </c>
      <c r="B6384" s="5" t="str">
        <f>"23085052530"</f>
        <v>23085052530</v>
      </c>
      <c r="C6384" s="6">
        <v>75</v>
      </c>
      <c r="D6384" s="6">
        <v>107.5</v>
      </c>
      <c r="E6384" s="6">
        <v>182.5</v>
      </c>
      <c r="F6384" s="11"/>
    </row>
    <row r="6385" spans="1:6">
      <c r="A6385" s="5" t="str">
        <f t="shared" si="110"/>
        <v>202320</v>
      </c>
      <c r="B6385" s="5" t="str">
        <f>"23085051801"</f>
        <v>23085051801</v>
      </c>
      <c r="C6385" s="6">
        <v>69</v>
      </c>
      <c r="D6385" s="6">
        <v>113.5</v>
      </c>
      <c r="E6385" s="6">
        <v>182.5</v>
      </c>
      <c r="F6385" s="11"/>
    </row>
    <row r="6386" spans="1:6">
      <c r="A6386" s="5" t="str">
        <f t="shared" si="110"/>
        <v>202320</v>
      </c>
      <c r="B6386" s="5" t="str">
        <f>"23085051604"</f>
        <v>23085051604</v>
      </c>
      <c r="C6386" s="6">
        <v>84</v>
      </c>
      <c r="D6386" s="6">
        <v>98.5</v>
      </c>
      <c r="E6386" s="6">
        <v>182.5</v>
      </c>
      <c r="F6386" s="11"/>
    </row>
    <row r="6387" spans="1:6">
      <c r="A6387" s="5" t="str">
        <f t="shared" si="110"/>
        <v>202320</v>
      </c>
      <c r="B6387" s="5" t="str">
        <f>"23085050519"</f>
        <v>23085050519</v>
      </c>
      <c r="C6387" s="6">
        <v>79.5</v>
      </c>
      <c r="D6387" s="6">
        <v>103</v>
      </c>
      <c r="E6387" s="6">
        <v>182.5</v>
      </c>
      <c r="F6387" s="11"/>
    </row>
    <row r="6388" spans="1:6">
      <c r="A6388" s="5" t="str">
        <f t="shared" si="110"/>
        <v>202320</v>
      </c>
      <c r="B6388" s="5" t="str">
        <f>"23085050922"</f>
        <v>23085050922</v>
      </c>
      <c r="C6388" s="6">
        <v>81</v>
      </c>
      <c r="D6388" s="6">
        <v>101.5</v>
      </c>
      <c r="E6388" s="6">
        <v>182.5</v>
      </c>
      <c r="F6388" s="11"/>
    </row>
    <row r="6389" spans="1:6">
      <c r="A6389" s="5" t="str">
        <f t="shared" si="110"/>
        <v>202320</v>
      </c>
      <c r="B6389" s="5" t="str">
        <f>"23085052225"</f>
        <v>23085052225</v>
      </c>
      <c r="C6389" s="6">
        <v>79.5</v>
      </c>
      <c r="D6389" s="6">
        <v>102.5</v>
      </c>
      <c r="E6389" s="6">
        <v>182</v>
      </c>
      <c r="F6389" s="11"/>
    </row>
    <row r="6390" spans="1:6">
      <c r="A6390" s="5" t="str">
        <f t="shared" si="110"/>
        <v>202320</v>
      </c>
      <c r="B6390" s="5" t="str">
        <f>"23085051309"</f>
        <v>23085051309</v>
      </c>
      <c r="C6390" s="6">
        <v>81</v>
      </c>
      <c r="D6390" s="6">
        <v>101</v>
      </c>
      <c r="E6390" s="6">
        <v>182</v>
      </c>
      <c r="F6390" s="11"/>
    </row>
    <row r="6391" spans="1:6">
      <c r="A6391" s="5" t="str">
        <f t="shared" si="110"/>
        <v>202320</v>
      </c>
      <c r="B6391" s="5" t="str">
        <f>"23085051708"</f>
        <v>23085051708</v>
      </c>
      <c r="C6391" s="6">
        <v>75</v>
      </c>
      <c r="D6391" s="6">
        <v>107</v>
      </c>
      <c r="E6391" s="6">
        <v>182</v>
      </c>
      <c r="F6391" s="11"/>
    </row>
    <row r="6392" spans="1:6">
      <c r="A6392" s="5" t="str">
        <f t="shared" si="110"/>
        <v>202320</v>
      </c>
      <c r="B6392" s="5" t="str">
        <f>"23085052101"</f>
        <v>23085052101</v>
      </c>
      <c r="C6392" s="6">
        <v>69</v>
      </c>
      <c r="D6392" s="6">
        <v>113</v>
      </c>
      <c r="E6392" s="6">
        <v>182</v>
      </c>
      <c r="F6392" s="11"/>
    </row>
    <row r="6393" spans="1:6">
      <c r="A6393" s="5" t="str">
        <f t="shared" si="110"/>
        <v>202320</v>
      </c>
      <c r="B6393" s="5" t="str">
        <f>"23085052412"</f>
        <v>23085052412</v>
      </c>
      <c r="C6393" s="6">
        <v>67.5</v>
      </c>
      <c r="D6393" s="6">
        <v>114</v>
      </c>
      <c r="E6393" s="6">
        <v>181.5</v>
      </c>
      <c r="F6393" s="11"/>
    </row>
    <row r="6394" spans="1:6">
      <c r="A6394" s="5" t="str">
        <f t="shared" si="110"/>
        <v>202320</v>
      </c>
      <c r="B6394" s="5" t="str">
        <f>"23085051516"</f>
        <v>23085051516</v>
      </c>
      <c r="C6394" s="6">
        <v>72</v>
      </c>
      <c r="D6394" s="6">
        <v>109.5</v>
      </c>
      <c r="E6394" s="6">
        <v>181.5</v>
      </c>
      <c r="F6394" s="11"/>
    </row>
    <row r="6395" spans="1:6">
      <c r="A6395" s="5" t="str">
        <f t="shared" si="110"/>
        <v>202320</v>
      </c>
      <c r="B6395" s="5" t="str">
        <f>"23085051122"</f>
        <v>23085051122</v>
      </c>
      <c r="C6395" s="6">
        <v>90</v>
      </c>
      <c r="D6395" s="6">
        <v>91.5</v>
      </c>
      <c r="E6395" s="6">
        <v>181.5</v>
      </c>
      <c r="F6395" s="11"/>
    </row>
    <row r="6396" spans="1:6">
      <c r="A6396" s="5" t="str">
        <f t="shared" si="110"/>
        <v>202320</v>
      </c>
      <c r="B6396" s="5" t="str">
        <f>"23085051426"</f>
        <v>23085051426</v>
      </c>
      <c r="C6396" s="6">
        <v>69</v>
      </c>
      <c r="D6396" s="6">
        <v>112.5</v>
      </c>
      <c r="E6396" s="6">
        <v>181.5</v>
      </c>
      <c r="F6396" s="11"/>
    </row>
    <row r="6397" spans="1:6">
      <c r="A6397" s="5" t="str">
        <f t="shared" si="110"/>
        <v>202320</v>
      </c>
      <c r="B6397" s="5" t="str">
        <f>"23085050520"</f>
        <v>23085050520</v>
      </c>
      <c r="C6397" s="6">
        <v>76.5</v>
      </c>
      <c r="D6397" s="6">
        <v>104.5</v>
      </c>
      <c r="E6397" s="6">
        <v>181</v>
      </c>
      <c r="F6397" s="11"/>
    </row>
    <row r="6398" spans="1:6">
      <c r="A6398" s="5" t="str">
        <f t="shared" si="110"/>
        <v>202320</v>
      </c>
      <c r="B6398" s="5" t="str">
        <f>"23085051220"</f>
        <v>23085051220</v>
      </c>
      <c r="C6398" s="6">
        <v>66</v>
      </c>
      <c r="D6398" s="6">
        <v>115</v>
      </c>
      <c r="E6398" s="6">
        <v>181</v>
      </c>
      <c r="F6398" s="11"/>
    </row>
    <row r="6399" spans="1:6">
      <c r="A6399" s="5" t="str">
        <f t="shared" si="110"/>
        <v>202320</v>
      </c>
      <c r="B6399" s="5" t="str">
        <f>"23085052414"</f>
        <v>23085052414</v>
      </c>
      <c r="C6399" s="6">
        <v>73.5</v>
      </c>
      <c r="D6399" s="6">
        <v>107.5</v>
      </c>
      <c r="E6399" s="6">
        <v>181</v>
      </c>
      <c r="F6399" s="11"/>
    </row>
    <row r="6400" spans="1:6">
      <c r="A6400" s="5" t="str">
        <f t="shared" si="110"/>
        <v>202320</v>
      </c>
      <c r="B6400" s="5" t="str">
        <f>"23085050521"</f>
        <v>23085050521</v>
      </c>
      <c r="C6400" s="6">
        <v>67.5</v>
      </c>
      <c r="D6400" s="6">
        <v>113.5</v>
      </c>
      <c r="E6400" s="6">
        <v>181</v>
      </c>
      <c r="F6400" s="11"/>
    </row>
    <row r="6401" spans="1:6">
      <c r="A6401" s="5" t="str">
        <f t="shared" si="110"/>
        <v>202320</v>
      </c>
      <c r="B6401" s="5" t="str">
        <f>"23085050707"</f>
        <v>23085050707</v>
      </c>
      <c r="C6401" s="6">
        <v>79.5</v>
      </c>
      <c r="D6401" s="6">
        <v>101.5</v>
      </c>
      <c r="E6401" s="6">
        <v>181</v>
      </c>
      <c r="F6401" s="11"/>
    </row>
    <row r="6402" spans="1:6">
      <c r="A6402" s="5" t="str">
        <f t="shared" si="110"/>
        <v>202320</v>
      </c>
      <c r="B6402" s="5" t="str">
        <f>"23085051907"</f>
        <v>23085051907</v>
      </c>
      <c r="C6402" s="6">
        <v>63</v>
      </c>
      <c r="D6402" s="6">
        <v>118</v>
      </c>
      <c r="E6402" s="6">
        <v>181</v>
      </c>
      <c r="F6402" s="11"/>
    </row>
    <row r="6403" spans="1:6">
      <c r="A6403" s="5" t="str">
        <f t="shared" si="110"/>
        <v>202320</v>
      </c>
      <c r="B6403" s="5" t="str">
        <f>"23085050714"</f>
        <v>23085050714</v>
      </c>
      <c r="C6403" s="6">
        <v>81</v>
      </c>
      <c r="D6403" s="6">
        <v>99.5</v>
      </c>
      <c r="E6403" s="6">
        <v>180.5</v>
      </c>
      <c r="F6403" s="11"/>
    </row>
    <row r="6404" spans="1:6">
      <c r="A6404" s="5" t="str">
        <f t="shared" si="110"/>
        <v>202320</v>
      </c>
      <c r="B6404" s="5" t="str">
        <f>"23085052214"</f>
        <v>23085052214</v>
      </c>
      <c r="C6404" s="6">
        <v>64.5</v>
      </c>
      <c r="D6404" s="6">
        <v>116</v>
      </c>
      <c r="E6404" s="6">
        <v>180.5</v>
      </c>
      <c r="F6404" s="11"/>
    </row>
    <row r="6405" spans="1:6">
      <c r="A6405" s="5" t="str">
        <f t="shared" si="110"/>
        <v>202320</v>
      </c>
      <c r="B6405" s="5" t="str">
        <f>"23085051211"</f>
        <v>23085051211</v>
      </c>
      <c r="C6405" s="6">
        <v>69</v>
      </c>
      <c r="D6405" s="6">
        <v>111</v>
      </c>
      <c r="E6405" s="6">
        <v>180</v>
      </c>
      <c r="F6405" s="11"/>
    </row>
    <row r="6406" spans="1:6">
      <c r="A6406" s="5" t="str">
        <f t="shared" si="110"/>
        <v>202320</v>
      </c>
      <c r="B6406" s="5" t="str">
        <f>"23085051317"</f>
        <v>23085051317</v>
      </c>
      <c r="C6406" s="6">
        <v>63</v>
      </c>
      <c r="D6406" s="6">
        <v>116.5</v>
      </c>
      <c r="E6406" s="6">
        <v>179.5</v>
      </c>
      <c r="F6406" s="11"/>
    </row>
    <row r="6407" spans="1:6">
      <c r="A6407" s="5" t="str">
        <f t="shared" si="110"/>
        <v>202320</v>
      </c>
      <c r="B6407" s="5" t="str">
        <f>"23085052326"</f>
        <v>23085052326</v>
      </c>
      <c r="C6407" s="6">
        <v>82.5</v>
      </c>
      <c r="D6407" s="6">
        <v>97</v>
      </c>
      <c r="E6407" s="6">
        <v>179.5</v>
      </c>
      <c r="F6407" s="11"/>
    </row>
    <row r="6408" spans="1:6">
      <c r="A6408" s="5" t="str">
        <f t="shared" si="110"/>
        <v>202320</v>
      </c>
      <c r="B6408" s="5" t="str">
        <f>"23085051715"</f>
        <v>23085051715</v>
      </c>
      <c r="C6408" s="6">
        <v>87</v>
      </c>
      <c r="D6408" s="6">
        <v>92.5</v>
      </c>
      <c r="E6408" s="6">
        <v>179.5</v>
      </c>
      <c r="F6408" s="11"/>
    </row>
    <row r="6409" spans="1:6">
      <c r="A6409" s="5" t="str">
        <f t="shared" si="110"/>
        <v>202320</v>
      </c>
      <c r="B6409" s="5" t="str">
        <f>"23085051928"</f>
        <v>23085051928</v>
      </c>
      <c r="C6409" s="6">
        <v>70.5</v>
      </c>
      <c r="D6409" s="6">
        <v>109</v>
      </c>
      <c r="E6409" s="6">
        <v>179.5</v>
      </c>
      <c r="F6409" s="11"/>
    </row>
    <row r="6410" spans="1:6">
      <c r="A6410" s="5" t="str">
        <f t="shared" si="110"/>
        <v>202320</v>
      </c>
      <c r="B6410" s="5" t="str">
        <f>"23085051628"</f>
        <v>23085051628</v>
      </c>
      <c r="C6410" s="6">
        <v>72</v>
      </c>
      <c r="D6410" s="6">
        <v>107.5</v>
      </c>
      <c r="E6410" s="6">
        <v>179.5</v>
      </c>
      <c r="F6410" s="11"/>
    </row>
    <row r="6411" spans="1:6">
      <c r="A6411" s="5" t="str">
        <f t="shared" si="110"/>
        <v>202320</v>
      </c>
      <c r="B6411" s="5" t="str">
        <f>"23085052001"</f>
        <v>23085052001</v>
      </c>
      <c r="C6411" s="6">
        <v>75</v>
      </c>
      <c r="D6411" s="6">
        <v>104</v>
      </c>
      <c r="E6411" s="6">
        <v>179</v>
      </c>
      <c r="F6411" s="11"/>
    </row>
    <row r="6412" spans="1:6">
      <c r="A6412" s="5" t="str">
        <f t="shared" si="110"/>
        <v>202320</v>
      </c>
      <c r="B6412" s="5" t="str">
        <f>"23085051017"</f>
        <v>23085051017</v>
      </c>
      <c r="C6412" s="6">
        <v>64.5</v>
      </c>
      <c r="D6412" s="6">
        <v>114</v>
      </c>
      <c r="E6412" s="6">
        <v>178.5</v>
      </c>
      <c r="F6412" s="11"/>
    </row>
    <row r="6413" spans="1:6">
      <c r="A6413" s="5" t="str">
        <f t="shared" si="110"/>
        <v>202320</v>
      </c>
      <c r="B6413" s="5" t="str">
        <f>"23085050927"</f>
        <v>23085050927</v>
      </c>
      <c r="C6413" s="6">
        <v>79.5</v>
      </c>
      <c r="D6413" s="6">
        <v>98.5</v>
      </c>
      <c r="E6413" s="6">
        <v>178</v>
      </c>
      <c r="F6413" s="11"/>
    </row>
    <row r="6414" spans="1:6">
      <c r="A6414" s="5" t="str">
        <f t="shared" si="110"/>
        <v>202320</v>
      </c>
      <c r="B6414" s="5" t="str">
        <f>"23085052011"</f>
        <v>23085052011</v>
      </c>
      <c r="C6414" s="6">
        <v>76.5</v>
      </c>
      <c r="D6414" s="6">
        <v>101.5</v>
      </c>
      <c r="E6414" s="6">
        <v>178</v>
      </c>
      <c r="F6414" s="11"/>
    </row>
    <row r="6415" spans="1:6">
      <c r="A6415" s="5" t="str">
        <f t="shared" si="110"/>
        <v>202320</v>
      </c>
      <c r="B6415" s="5" t="str">
        <f>"23085050529"</f>
        <v>23085050529</v>
      </c>
      <c r="C6415" s="6">
        <v>63</v>
      </c>
      <c r="D6415" s="6">
        <v>115</v>
      </c>
      <c r="E6415" s="6">
        <v>178</v>
      </c>
      <c r="F6415" s="11"/>
    </row>
    <row r="6416" spans="1:6">
      <c r="A6416" s="5" t="str">
        <f t="shared" si="110"/>
        <v>202320</v>
      </c>
      <c r="B6416" s="5" t="str">
        <f>"23085050825"</f>
        <v>23085050825</v>
      </c>
      <c r="C6416" s="6">
        <v>61.5</v>
      </c>
      <c r="D6416" s="6">
        <v>116</v>
      </c>
      <c r="E6416" s="6">
        <v>177.5</v>
      </c>
      <c r="F6416" s="11"/>
    </row>
    <row r="6417" spans="1:6">
      <c r="A6417" s="5" t="str">
        <f t="shared" si="110"/>
        <v>202320</v>
      </c>
      <c r="B6417" s="5" t="str">
        <f>"23085050516"</f>
        <v>23085050516</v>
      </c>
      <c r="C6417" s="6">
        <v>67.5</v>
      </c>
      <c r="D6417" s="6">
        <v>110</v>
      </c>
      <c r="E6417" s="6">
        <v>177.5</v>
      </c>
      <c r="F6417" s="11"/>
    </row>
    <row r="6418" spans="1:6">
      <c r="A6418" s="5" t="str">
        <f t="shared" si="110"/>
        <v>202320</v>
      </c>
      <c r="B6418" s="5" t="str">
        <f>"23085051230"</f>
        <v>23085051230</v>
      </c>
      <c r="C6418" s="6">
        <v>76.5</v>
      </c>
      <c r="D6418" s="6">
        <v>100.5</v>
      </c>
      <c r="E6418" s="6">
        <v>177</v>
      </c>
      <c r="F6418" s="11"/>
    </row>
    <row r="6419" spans="1:6">
      <c r="A6419" s="5" t="str">
        <f t="shared" si="110"/>
        <v>202320</v>
      </c>
      <c r="B6419" s="5" t="str">
        <f>"23085050823"</f>
        <v>23085050823</v>
      </c>
      <c r="C6419" s="6">
        <v>78</v>
      </c>
      <c r="D6419" s="6">
        <v>99</v>
      </c>
      <c r="E6419" s="6">
        <v>177</v>
      </c>
      <c r="F6419" s="11"/>
    </row>
    <row r="6420" spans="1:6">
      <c r="A6420" s="5" t="str">
        <f t="shared" si="110"/>
        <v>202320</v>
      </c>
      <c r="B6420" s="5" t="str">
        <f>"23085050911"</f>
        <v>23085050911</v>
      </c>
      <c r="C6420" s="6">
        <v>66</v>
      </c>
      <c r="D6420" s="6">
        <v>110.5</v>
      </c>
      <c r="E6420" s="6">
        <v>176.5</v>
      </c>
      <c r="F6420" s="11"/>
    </row>
    <row r="6421" spans="1:6">
      <c r="A6421" s="5" t="str">
        <f t="shared" si="110"/>
        <v>202320</v>
      </c>
      <c r="B6421" s="5" t="str">
        <f>"23085050830"</f>
        <v>23085050830</v>
      </c>
      <c r="C6421" s="6">
        <v>66</v>
      </c>
      <c r="D6421" s="6">
        <v>110.5</v>
      </c>
      <c r="E6421" s="6">
        <v>176.5</v>
      </c>
      <c r="F6421" s="11"/>
    </row>
    <row r="6422" spans="1:6">
      <c r="A6422" s="5" t="str">
        <f t="shared" si="110"/>
        <v>202320</v>
      </c>
      <c r="B6422" s="5" t="str">
        <f>"23085052515"</f>
        <v>23085052515</v>
      </c>
      <c r="C6422" s="6">
        <v>55.5</v>
      </c>
      <c r="D6422" s="6">
        <v>121</v>
      </c>
      <c r="E6422" s="6">
        <v>176.5</v>
      </c>
      <c r="F6422" s="11"/>
    </row>
    <row r="6423" spans="1:6">
      <c r="A6423" s="5" t="str">
        <f t="shared" si="110"/>
        <v>202320</v>
      </c>
      <c r="B6423" s="5" t="str">
        <f>"23085050625"</f>
        <v>23085050625</v>
      </c>
      <c r="C6423" s="6">
        <v>76.5</v>
      </c>
      <c r="D6423" s="6">
        <v>100</v>
      </c>
      <c r="E6423" s="6">
        <v>176.5</v>
      </c>
      <c r="F6423" s="11"/>
    </row>
    <row r="6424" spans="1:6">
      <c r="A6424" s="5" t="str">
        <f t="shared" si="110"/>
        <v>202320</v>
      </c>
      <c r="B6424" s="5" t="str">
        <f>"23085050421"</f>
        <v>23085050421</v>
      </c>
      <c r="C6424" s="6">
        <v>67.5</v>
      </c>
      <c r="D6424" s="6">
        <v>109</v>
      </c>
      <c r="E6424" s="6">
        <v>176.5</v>
      </c>
      <c r="F6424" s="11"/>
    </row>
    <row r="6425" spans="1:6">
      <c r="A6425" s="5" t="str">
        <f t="shared" si="110"/>
        <v>202320</v>
      </c>
      <c r="B6425" s="5" t="str">
        <f>"23085050803"</f>
        <v>23085050803</v>
      </c>
      <c r="C6425" s="6">
        <v>61.5</v>
      </c>
      <c r="D6425" s="6">
        <v>114.5</v>
      </c>
      <c r="E6425" s="6">
        <v>176</v>
      </c>
      <c r="F6425" s="11"/>
    </row>
    <row r="6426" spans="1:6">
      <c r="A6426" s="5" t="str">
        <f t="shared" si="110"/>
        <v>202320</v>
      </c>
      <c r="B6426" s="5" t="str">
        <f>"23085050904"</f>
        <v>23085050904</v>
      </c>
      <c r="C6426" s="6">
        <v>63</v>
      </c>
      <c r="D6426" s="6">
        <v>113</v>
      </c>
      <c r="E6426" s="6">
        <v>176</v>
      </c>
      <c r="F6426" s="11"/>
    </row>
    <row r="6427" spans="1:6">
      <c r="A6427" s="5" t="str">
        <f t="shared" si="110"/>
        <v>202320</v>
      </c>
      <c r="B6427" s="5" t="str">
        <f>"23085050813"</f>
        <v>23085050813</v>
      </c>
      <c r="C6427" s="6">
        <v>66</v>
      </c>
      <c r="D6427" s="6">
        <v>110</v>
      </c>
      <c r="E6427" s="6">
        <v>176</v>
      </c>
      <c r="F6427" s="11"/>
    </row>
    <row r="6428" spans="1:6">
      <c r="A6428" s="5" t="str">
        <f t="shared" si="110"/>
        <v>202320</v>
      </c>
      <c r="B6428" s="5" t="str">
        <f>"23085052422"</f>
        <v>23085052422</v>
      </c>
      <c r="C6428" s="6">
        <v>72</v>
      </c>
      <c r="D6428" s="6">
        <v>104</v>
      </c>
      <c r="E6428" s="6">
        <v>176</v>
      </c>
      <c r="F6428" s="11"/>
    </row>
    <row r="6429" spans="1:6">
      <c r="A6429" s="5" t="str">
        <f t="shared" si="110"/>
        <v>202320</v>
      </c>
      <c r="B6429" s="5" t="str">
        <f>"23085051222"</f>
        <v>23085051222</v>
      </c>
      <c r="C6429" s="6">
        <v>70.5</v>
      </c>
      <c r="D6429" s="6">
        <v>105</v>
      </c>
      <c r="E6429" s="6">
        <v>175.5</v>
      </c>
      <c r="F6429" s="11"/>
    </row>
    <row r="6430" spans="1:6">
      <c r="A6430" s="5" t="str">
        <f t="shared" si="110"/>
        <v>202320</v>
      </c>
      <c r="B6430" s="5" t="str">
        <f>"23085051218"</f>
        <v>23085051218</v>
      </c>
      <c r="C6430" s="6">
        <v>60</v>
      </c>
      <c r="D6430" s="6">
        <v>115.5</v>
      </c>
      <c r="E6430" s="6">
        <v>175.5</v>
      </c>
      <c r="F6430" s="11"/>
    </row>
    <row r="6431" spans="1:6">
      <c r="A6431" s="5" t="str">
        <f t="shared" ref="A6431:A6494" si="111">"202320"</f>
        <v>202320</v>
      </c>
      <c r="B6431" s="5" t="str">
        <f>"23085052526"</f>
        <v>23085052526</v>
      </c>
      <c r="C6431" s="6">
        <v>66</v>
      </c>
      <c r="D6431" s="6">
        <v>109.5</v>
      </c>
      <c r="E6431" s="6">
        <v>175.5</v>
      </c>
      <c r="F6431" s="11"/>
    </row>
    <row r="6432" spans="1:6">
      <c r="A6432" s="5" t="str">
        <f t="shared" si="111"/>
        <v>202320</v>
      </c>
      <c r="B6432" s="5" t="str">
        <f>"23085051502"</f>
        <v>23085051502</v>
      </c>
      <c r="C6432" s="6">
        <v>66</v>
      </c>
      <c r="D6432" s="6">
        <v>109.5</v>
      </c>
      <c r="E6432" s="6">
        <v>175.5</v>
      </c>
      <c r="F6432" s="11"/>
    </row>
    <row r="6433" spans="1:6">
      <c r="A6433" s="5" t="str">
        <f t="shared" si="111"/>
        <v>202320</v>
      </c>
      <c r="B6433" s="5" t="str">
        <f>"23085052521"</f>
        <v>23085052521</v>
      </c>
      <c r="C6433" s="6">
        <v>70.5</v>
      </c>
      <c r="D6433" s="6">
        <v>105</v>
      </c>
      <c r="E6433" s="6">
        <v>175.5</v>
      </c>
      <c r="F6433" s="11"/>
    </row>
    <row r="6434" spans="1:6">
      <c r="A6434" s="5" t="str">
        <f t="shared" si="111"/>
        <v>202320</v>
      </c>
      <c r="B6434" s="5" t="str">
        <f>"23085050725"</f>
        <v>23085050725</v>
      </c>
      <c r="C6434" s="6">
        <v>73.5</v>
      </c>
      <c r="D6434" s="6">
        <v>102</v>
      </c>
      <c r="E6434" s="6">
        <v>175.5</v>
      </c>
      <c r="F6434" s="11"/>
    </row>
    <row r="6435" spans="1:6">
      <c r="A6435" s="5" t="str">
        <f t="shared" si="111"/>
        <v>202320</v>
      </c>
      <c r="B6435" s="5" t="str">
        <f>"23085050502"</f>
        <v>23085050502</v>
      </c>
      <c r="C6435" s="6">
        <v>54</v>
      </c>
      <c r="D6435" s="6">
        <v>121</v>
      </c>
      <c r="E6435" s="6">
        <v>175</v>
      </c>
      <c r="F6435" s="11"/>
    </row>
    <row r="6436" spans="1:6">
      <c r="A6436" s="5" t="str">
        <f t="shared" si="111"/>
        <v>202320</v>
      </c>
      <c r="B6436" s="5" t="str">
        <f>"23085050511"</f>
        <v>23085050511</v>
      </c>
      <c r="C6436" s="6">
        <v>66</v>
      </c>
      <c r="D6436" s="6">
        <v>109</v>
      </c>
      <c r="E6436" s="6">
        <v>175</v>
      </c>
      <c r="F6436" s="11"/>
    </row>
    <row r="6437" spans="1:6">
      <c r="A6437" s="5" t="str">
        <f t="shared" si="111"/>
        <v>202320</v>
      </c>
      <c r="B6437" s="5" t="str">
        <f>"23085051404"</f>
        <v>23085051404</v>
      </c>
      <c r="C6437" s="6">
        <v>82.5</v>
      </c>
      <c r="D6437" s="6">
        <v>92</v>
      </c>
      <c r="E6437" s="6">
        <v>174.5</v>
      </c>
      <c r="F6437" s="11"/>
    </row>
    <row r="6438" spans="1:6">
      <c r="A6438" s="5" t="str">
        <f t="shared" si="111"/>
        <v>202320</v>
      </c>
      <c r="B6438" s="5" t="str">
        <f>"23085051713"</f>
        <v>23085051713</v>
      </c>
      <c r="C6438" s="6">
        <v>70.5</v>
      </c>
      <c r="D6438" s="6">
        <v>104</v>
      </c>
      <c r="E6438" s="6">
        <v>174.5</v>
      </c>
      <c r="F6438" s="11"/>
    </row>
    <row r="6439" spans="1:6">
      <c r="A6439" s="5" t="str">
        <f t="shared" si="111"/>
        <v>202320</v>
      </c>
      <c r="B6439" s="5" t="str">
        <f>"23085051004"</f>
        <v>23085051004</v>
      </c>
      <c r="C6439" s="6">
        <v>70.5</v>
      </c>
      <c r="D6439" s="6">
        <v>104</v>
      </c>
      <c r="E6439" s="6">
        <v>174.5</v>
      </c>
      <c r="F6439" s="11"/>
    </row>
    <row r="6440" spans="1:6">
      <c r="A6440" s="5" t="str">
        <f t="shared" si="111"/>
        <v>202320</v>
      </c>
      <c r="B6440" s="5" t="str">
        <f>"23085051024"</f>
        <v>23085051024</v>
      </c>
      <c r="C6440" s="6">
        <v>76.5</v>
      </c>
      <c r="D6440" s="6">
        <v>97.5</v>
      </c>
      <c r="E6440" s="6">
        <v>174</v>
      </c>
      <c r="F6440" s="11"/>
    </row>
    <row r="6441" spans="1:6">
      <c r="A6441" s="5" t="str">
        <f t="shared" si="111"/>
        <v>202320</v>
      </c>
      <c r="B6441" s="5" t="str">
        <f>"23085051221"</f>
        <v>23085051221</v>
      </c>
      <c r="C6441" s="6">
        <v>70.5</v>
      </c>
      <c r="D6441" s="6">
        <v>103.5</v>
      </c>
      <c r="E6441" s="6">
        <v>174</v>
      </c>
      <c r="F6441" s="11"/>
    </row>
    <row r="6442" spans="1:6">
      <c r="A6442" s="5" t="str">
        <f t="shared" si="111"/>
        <v>202320</v>
      </c>
      <c r="B6442" s="5" t="str">
        <f>"23085052228"</f>
        <v>23085052228</v>
      </c>
      <c r="C6442" s="6">
        <v>55.5</v>
      </c>
      <c r="D6442" s="6">
        <v>118.5</v>
      </c>
      <c r="E6442" s="6">
        <v>174</v>
      </c>
      <c r="F6442" s="11"/>
    </row>
    <row r="6443" spans="1:6">
      <c r="A6443" s="5" t="str">
        <f t="shared" si="111"/>
        <v>202320</v>
      </c>
      <c r="B6443" s="5" t="str">
        <f>"23085051015"</f>
        <v>23085051015</v>
      </c>
      <c r="C6443" s="6">
        <v>67.5</v>
      </c>
      <c r="D6443" s="6">
        <v>106.5</v>
      </c>
      <c r="E6443" s="6">
        <v>174</v>
      </c>
      <c r="F6443" s="11"/>
    </row>
    <row r="6444" spans="1:6">
      <c r="A6444" s="5" t="str">
        <f t="shared" si="111"/>
        <v>202320</v>
      </c>
      <c r="B6444" s="5" t="str">
        <f>"23085050528"</f>
        <v>23085050528</v>
      </c>
      <c r="C6444" s="6">
        <v>58.5</v>
      </c>
      <c r="D6444" s="6">
        <v>115.5</v>
      </c>
      <c r="E6444" s="6">
        <v>174</v>
      </c>
      <c r="F6444" s="11"/>
    </row>
    <row r="6445" spans="1:6">
      <c r="A6445" s="5" t="str">
        <f t="shared" si="111"/>
        <v>202320</v>
      </c>
      <c r="B6445" s="5" t="str">
        <f>"23085052517"</f>
        <v>23085052517</v>
      </c>
      <c r="C6445" s="6">
        <v>60</v>
      </c>
      <c r="D6445" s="6">
        <v>114</v>
      </c>
      <c r="E6445" s="6">
        <v>174</v>
      </c>
      <c r="F6445" s="11"/>
    </row>
    <row r="6446" spans="1:6">
      <c r="A6446" s="5" t="str">
        <f t="shared" si="111"/>
        <v>202320</v>
      </c>
      <c r="B6446" s="5" t="str">
        <f>"23085050504"</f>
        <v>23085050504</v>
      </c>
      <c r="C6446" s="6">
        <v>61.5</v>
      </c>
      <c r="D6446" s="6">
        <v>112</v>
      </c>
      <c r="E6446" s="6">
        <v>173.5</v>
      </c>
      <c r="F6446" s="11"/>
    </row>
    <row r="6447" spans="1:6">
      <c r="A6447" s="5" t="str">
        <f t="shared" si="111"/>
        <v>202320</v>
      </c>
      <c r="B6447" s="5" t="str">
        <f>"23085052516"</f>
        <v>23085052516</v>
      </c>
      <c r="C6447" s="6">
        <v>58.5</v>
      </c>
      <c r="D6447" s="6">
        <v>114.5</v>
      </c>
      <c r="E6447" s="6">
        <v>173</v>
      </c>
      <c r="F6447" s="11"/>
    </row>
    <row r="6448" spans="1:6">
      <c r="A6448" s="5" t="str">
        <f t="shared" si="111"/>
        <v>202320</v>
      </c>
      <c r="B6448" s="5" t="str">
        <f>"23085051701"</f>
        <v>23085051701</v>
      </c>
      <c r="C6448" s="6">
        <v>63</v>
      </c>
      <c r="D6448" s="6">
        <v>110</v>
      </c>
      <c r="E6448" s="6">
        <v>173</v>
      </c>
      <c r="F6448" s="11"/>
    </row>
    <row r="6449" spans="1:6">
      <c r="A6449" s="5" t="str">
        <f t="shared" si="111"/>
        <v>202320</v>
      </c>
      <c r="B6449" s="5" t="str">
        <f>"23085051904"</f>
        <v>23085051904</v>
      </c>
      <c r="C6449" s="6">
        <v>60</v>
      </c>
      <c r="D6449" s="6">
        <v>112.5</v>
      </c>
      <c r="E6449" s="6">
        <v>172.5</v>
      </c>
      <c r="F6449" s="11"/>
    </row>
    <row r="6450" spans="1:6">
      <c r="A6450" s="5" t="str">
        <f t="shared" si="111"/>
        <v>202320</v>
      </c>
      <c r="B6450" s="5" t="str">
        <f>"23085052102"</f>
        <v>23085052102</v>
      </c>
      <c r="C6450" s="6">
        <v>84</v>
      </c>
      <c r="D6450" s="6">
        <v>88.5</v>
      </c>
      <c r="E6450" s="6">
        <v>172.5</v>
      </c>
      <c r="F6450" s="11"/>
    </row>
    <row r="6451" spans="1:6">
      <c r="A6451" s="5" t="str">
        <f t="shared" si="111"/>
        <v>202320</v>
      </c>
      <c r="B6451" s="5" t="str">
        <f>"23085051709"</f>
        <v>23085051709</v>
      </c>
      <c r="C6451" s="6">
        <v>64.5</v>
      </c>
      <c r="D6451" s="6">
        <v>107.5</v>
      </c>
      <c r="E6451" s="6">
        <v>172</v>
      </c>
      <c r="F6451" s="11"/>
    </row>
    <row r="6452" spans="1:6">
      <c r="A6452" s="5" t="str">
        <f t="shared" si="111"/>
        <v>202320</v>
      </c>
      <c r="B6452" s="5" t="str">
        <f>"23085051812"</f>
        <v>23085051812</v>
      </c>
      <c r="C6452" s="6">
        <v>60</v>
      </c>
      <c r="D6452" s="6">
        <v>111.5</v>
      </c>
      <c r="E6452" s="6">
        <v>171.5</v>
      </c>
      <c r="F6452" s="11"/>
    </row>
    <row r="6453" spans="1:6">
      <c r="A6453" s="5" t="str">
        <f t="shared" si="111"/>
        <v>202320</v>
      </c>
      <c r="B6453" s="5" t="str">
        <f>"23085051329"</f>
        <v>23085051329</v>
      </c>
      <c r="C6453" s="6">
        <v>67.5</v>
      </c>
      <c r="D6453" s="6">
        <v>104</v>
      </c>
      <c r="E6453" s="6">
        <v>171.5</v>
      </c>
      <c r="F6453" s="11"/>
    </row>
    <row r="6454" spans="1:6">
      <c r="A6454" s="5" t="str">
        <f t="shared" si="111"/>
        <v>202320</v>
      </c>
      <c r="B6454" s="5" t="str">
        <f>"23085051001"</f>
        <v>23085051001</v>
      </c>
      <c r="C6454" s="6">
        <v>66</v>
      </c>
      <c r="D6454" s="6">
        <v>105.5</v>
      </c>
      <c r="E6454" s="6">
        <v>171.5</v>
      </c>
      <c r="F6454" s="11"/>
    </row>
    <row r="6455" spans="1:6">
      <c r="A6455" s="5" t="str">
        <f t="shared" si="111"/>
        <v>202320</v>
      </c>
      <c r="B6455" s="5" t="str">
        <f>"23085051326"</f>
        <v>23085051326</v>
      </c>
      <c r="C6455" s="6">
        <v>57</v>
      </c>
      <c r="D6455" s="6">
        <v>114</v>
      </c>
      <c r="E6455" s="6">
        <v>171</v>
      </c>
      <c r="F6455" s="11"/>
    </row>
    <row r="6456" spans="1:6">
      <c r="A6456" s="5" t="str">
        <f t="shared" si="111"/>
        <v>202320</v>
      </c>
      <c r="B6456" s="5" t="str">
        <f>"23085051810"</f>
        <v>23085051810</v>
      </c>
      <c r="C6456" s="6">
        <v>78</v>
      </c>
      <c r="D6456" s="6">
        <v>93</v>
      </c>
      <c r="E6456" s="6">
        <v>171</v>
      </c>
      <c r="F6456" s="11"/>
    </row>
    <row r="6457" spans="1:6">
      <c r="A6457" s="5" t="str">
        <f t="shared" si="111"/>
        <v>202320</v>
      </c>
      <c r="B6457" s="5" t="str">
        <f>"23085050522"</f>
        <v>23085050522</v>
      </c>
      <c r="C6457" s="6">
        <v>61.5</v>
      </c>
      <c r="D6457" s="6">
        <v>109.5</v>
      </c>
      <c r="E6457" s="6">
        <v>171</v>
      </c>
      <c r="F6457" s="11"/>
    </row>
    <row r="6458" spans="1:6">
      <c r="A6458" s="5" t="str">
        <f t="shared" si="111"/>
        <v>202320</v>
      </c>
      <c r="B6458" s="5" t="str">
        <f>"23085052125"</f>
        <v>23085052125</v>
      </c>
      <c r="C6458" s="6">
        <v>64.5</v>
      </c>
      <c r="D6458" s="6">
        <v>106</v>
      </c>
      <c r="E6458" s="6">
        <v>170.5</v>
      </c>
      <c r="F6458" s="11"/>
    </row>
    <row r="6459" spans="1:6">
      <c r="A6459" s="5" t="str">
        <f t="shared" si="111"/>
        <v>202320</v>
      </c>
      <c r="B6459" s="5" t="str">
        <f>"23085050429"</f>
        <v>23085050429</v>
      </c>
      <c r="C6459" s="6">
        <v>57</v>
      </c>
      <c r="D6459" s="6">
        <v>113.5</v>
      </c>
      <c r="E6459" s="6">
        <v>170.5</v>
      </c>
      <c r="F6459" s="11"/>
    </row>
    <row r="6460" spans="1:6">
      <c r="A6460" s="5" t="str">
        <f t="shared" si="111"/>
        <v>202320</v>
      </c>
      <c r="B6460" s="5" t="str">
        <f>"23085051802"</f>
        <v>23085051802</v>
      </c>
      <c r="C6460" s="6">
        <v>70.5</v>
      </c>
      <c r="D6460" s="6">
        <v>99.5</v>
      </c>
      <c r="E6460" s="6">
        <v>170</v>
      </c>
      <c r="F6460" s="11"/>
    </row>
    <row r="6461" spans="1:6">
      <c r="A6461" s="5" t="str">
        <f t="shared" si="111"/>
        <v>202320</v>
      </c>
      <c r="B6461" s="5" t="str">
        <f>"23085052107"</f>
        <v>23085052107</v>
      </c>
      <c r="C6461" s="6">
        <v>55.5</v>
      </c>
      <c r="D6461" s="6">
        <v>113.5</v>
      </c>
      <c r="E6461" s="6">
        <v>169</v>
      </c>
      <c r="F6461" s="11"/>
    </row>
    <row r="6462" spans="1:6">
      <c r="A6462" s="5" t="str">
        <f t="shared" si="111"/>
        <v>202320</v>
      </c>
      <c r="B6462" s="5" t="str">
        <f>"23085050727"</f>
        <v>23085050727</v>
      </c>
      <c r="C6462" s="6">
        <v>60</v>
      </c>
      <c r="D6462" s="6">
        <v>108.5</v>
      </c>
      <c r="E6462" s="6">
        <v>168.5</v>
      </c>
      <c r="F6462" s="11"/>
    </row>
    <row r="6463" spans="1:6">
      <c r="A6463" s="5" t="str">
        <f t="shared" si="111"/>
        <v>202320</v>
      </c>
      <c r="B6463" s="5" t="str">
        <f>"23085051908"</f>
        <v>23085051908</v>
      </c>
      <c r="C6463" s="6">
        <v>67.5</v>
      </c>
      <c r="D6463" s="6">
        <v>100.5</v>
      </c>
      <c r="E6463" s="6">
        <v>168</v>
      </c>
      <c r="F6463" s="11"/>
    </row>
    <row r="6464" spans="1:6">
      <c r="A6464" s="5" t="str">
        <f t="shared" si="111"/>
        <v>202320</v>
      </c>
      <c r="B6464" s="5" t="str">
        <f>"23085051823"</f>
        <v>23085051823</v>
      </c>
      <c r="C6464" s="6">
        <v>73.5</v>
      </c>
      <c r="D6464" s="6">
        <v>94.5</v>
      </c>
      <c r="E6464" s="6">
        <v>168</v>
      </c>
      <c r="F6464" s="11"/>
    </row>
    <row r="6465" spans="1:6">
      <c r="A6465" s="5" t="str">
        <f t="shared" si="111"/>
        <v>202320</v>
      </c>
      <c r="B6465" s="5" t="str">
        <f>"23085051224"</f>
        <v>23085051224</v>
      </c>
      <c r="C6465" s="6">
        <v>72</v>
      </c>
      <c r="D6465" s="6">
        <v>95.5</v>
      </c>
      <c r="E6465" s="6">
        <v>167.5</v>
      </c>
      <c r="F6465" s="11"/>
    </row>
    <row r="6466" spans="1:6">
      <c r="A6466" s="5" t="str">
        <f t="shared" si="111"/>
        <v>202320</v>
      </c>
      <c r="B6466" s="5" t="str">
        <f>"23085051427"</f>
        <v>23085051427</v>
      </c>
      <c r="C6466" s="6">
        <v>85.5</v>
      </c>
      <c r="D6466" s="6">
        <v>81</v>
      </c>
      <c r="E6466" s="6">
        <v>166.5</v>
      </c>
      <c r="F6466" s="11"/>
    </row>
    <row r="6467" spans="1:6">
      <c r="A6467" s="5" t="str">
        <f t="shared" si="111"/>
        <v>202320</v>
      </c>
      <c r="B6467" s="5" t="str">
        <f>"23085050422"</f>
        <v>23085050422</v>
      </c>
      <c r="C6467" s="6">
        <v>55.5</v>
      </c>
      <c r="D6467" s="6">
        <v>110.5</v>
      </c>
      <c r="E6467" s="6">
        <v>166</v>
      </c>
      <c r="F6467" s="11"/>
    </row>
    <row r="6468" spans="1:6">
      <c r="A6468" s="5" t="str">
        <f t="shared" si="111"/>
        <v>202320</v>
      </c>
      <c r="B6468" s="5" t="str">
        <f>"23085052408"</f>
        <v>23085052408</v>
      </c>
      <c r="C6468" s="6">
        <v>52.5</v>
      </c>
      <c r="D6468" s="6">
        <v>113.5</v>
      </c>
      <c r="E6468" s="6">
        <v>166</v>
      </c>
      <c r="F6468" s="11"/>
    </row>
    <row r="6469" spans="1:6">
      <c r="A6469" s="5" t="str">
        <f t="shared" si="111"/>
        <v>202320</v>
      </c>
      <c r="B6469" s="5" t="str">
        <f>"23085050724"</f>
        <v>23085050724</v>
      </c>
      <c r="C6469" s="6">
        <v>55.5</v>
      </c>
      <c r="D6469" s="6">
        <v>110.5</v>
      </c>
      <c r="E6469" s="6">
        <v>166</v>
      </c>
      <c r="F6469" s="11"/>
    </row>
    <row r="6470" spans="1:6">
      <c r="A6470" s="5" t="str">
        <f t="shared" si="111"/>
        <v>202320</v>
      </c>
      <c r="B6470" s="5" t="str">
        <f>"23085051111"</f>
        <v>23085051111</v>
      </c>
      <c r="C6470" s="6">
        <v>87</v>
      </c>
      <c r="D6470" s="6">
        <v>78.5</v>
      </c>
      <c r="E6470" s="6">
        <v>165.5</v>
      </c>
      <c r="F6470" s="11"/>
    </row>
    <row r="6471" spans="1:6">
      <c r="A6471" s="5" t="str">
        <f t="shared" si="111"/>
        <v>202320</v>
      </c>
      <c r="B6471" s="5" t="str">
        <f>"23085051202"</f>
        <v>23085051202</v>
      </c>
      <c r="C6471" s="6">
        <v>76.5</v>
      </c>
      <c r="D6471" s="6">
        <v>88.5</v>
      </c>
      <c r="E6471" s="6">
        <v>165</v>
      </c>
      <c r="F6471" s="11"/>
    </row>
    <row r="6472" spans="1:6">
      <c r="A6472" s="5" t="str">
        <f t="shared" si="111"/>
        <v>202320</v>
      </c>
      <c r="B6472" s="5" t="str">
        <f>"23085051530"</f>
        <v>23085051530</v>
      </c>
      <c r="C6472" s="6">
        <v>72</v>
      </c>
      <c r="D6472" s="6">
        <v>92.5</v>
      </c>
      <c r="E6472" s="6">
        <v>164.5</v>
      </c>
      <c r="F6472" s="11"/>
    </row>
    <row r="6473" spans="1:6">
      <c r="A6473" s="5" t="str">
        <f t="shared" si="111"/>
        <v>202320</v>
      </c>
      <c r="B6473" s="5" t="str">
        <f>"23085051515"</f>
        <v>23085051515</v>
      </c>
      <c r="C6473" s="6">
        <v>64.5</v>
      </c>
      <c r="D6473" s="6">
        <v>100</v>
      </c>
      <c r="E6473" s="6">
        <v>164.5</v>
      </c>
      <c r="F6473" s="11"/>
    </row>
    <row r="6474" spans="1:6">
      <c r="A6474" s="5" t="str">
        <f t="shared" si="111"/>
        <v>202320</v>
      </c>
      <c r="B6474" s="5" t="str">
        <f>"23085051829"</f>
        <v>23085051829</v>
      </c>
      <c r="C6474" s="6">
        <v>70.5</v>
      </c>
      <c r="D6474" s="6">
        <v>94</v>
      </c>
      <c r="E6474" s="6">
        <v>164.5</v>
      </c>
      <c r="F6474" s="11"/>
    </row>
    <row r="6475" spans="1:6">
      <c r="A6475" s="5" t="str">
        <f t="shared" si="111"/>
        <v>202320</v>
      </c>
      <c r="B6475" s="5" t="str">
        <f>"23085050811"</f>
        <v>23085050811</v>
      </c>
      <c r="C6475" s="6">
        <v>79.5</v>
      </c>
      <c r="D6475" s="6">
        <v>84.5</v>
      </c>
      <c r="E6475" s="6">
        <v>164</v>
      </c>
      <c r="F6475" s="11"/>
    </row>
    <row r="6476" spans="1:6">
      <c r="A6476" s="5" t="str">
        <f t="shared" si="111"/>
        <v>202320</v>
      </c>
      <c r="B6476" s="5" t="str">
        <f>"23085051302"</f>
        <v>23085051302</v>
      </c>
      <c r="C6476" s="6">
        <v>60</v>
      </c>
      <c r="D6476" s="6">
        <v>103.5</v>
      </c>
      <c r="E6476" s="6">
        <v>163.5</v>
      </c>
      <c r="F6476" s="11"/>
    </row>
    <row r="6477" spans="1:6">
      <c r="A6477" s="5" t="str">
        <f t="shared" si="111"/>
        <v>202320</v>
      </c>
      <c r="B6477" s="5" t="str">
        <f>"23085051124"</f>
        <v>23085051124</v>
      </c>
      <c r="C6477" s="6">
        <v>84</v>
      </c>
      <c r="D6477" s="6">
        <v>79.5</v>
      </c>
      <c r="E6477" s="6">
        <v>163.5</v>
      </c>
      <c r="F6477" s="11"/>
    </row>
    <row r="6478" spans="1:6">
      <c r="A6478" s="5" t="str">
        <f t="shared" si="111"/>
        <v>202320</v>
      </c>
      <c r="B6478" s="5" t="str">
        <f>"23085051303"</f>
        <v>23085051303</v>
      </c>
      <c r="C6478" s="6">
        <v>94.5</v>
      </c>
      <c r="D6478" s="6">
        <v>67.5</v>
      </c>
      <c r="E6478" s="6">
        <v>162</v>
      </c>
      <c r="F6478" s="11"/>
    </row>
    <row r="6479" spans="1:6">
      <c r="A6479" s="5" t="str">
        <f t="shared" si="111"/>
        <v>202320</v>
      </c>
      <c r="B6479" s="5" t="str">
        <f>"23085051119"</f>
        <v>23085051119</v>
      </c>
      <c r="C6479" s="6">
        <v>72</v>
      </c>
      <c r="D6479" s="6">
        <v>89.5</v>
      </c>
      <c r="E6479" s="6">
        <v>161.5</v>
      </c>
      <c r="F6479" s="11"/>
    </row>
    <row r="6480" spans="1:6">
      <c r="A6480" s="5" t="str">
        <f t="shared" si="111"/>
        <v>202320</v>
      </c>
      <c r="B6480" s="5" t="str">
        <f>"23085051109"</f>
        <v>23085051109</v>
      </c>
      <c r="C6480" s="6">
        <v>78</v>
      </c>
      <c r="D6480" s="6">
        <v>83.5</v>
      </c>
      <c r="E6480" s="6">
        <v>161.5</v>
      </c>
      <c r="F6480" s="11"/>
    </row>
    <row r="6481" spans="1:6">
      <c r="A6481" s="5" t="str">
        <f t="shared" si="111"/>
        <v>202320</v>
      </c>
      <c r="B6481" s="5" t="str">
        <f>"23085051421"</f>
        <v>23085051421</v>
      </c>
      <c r="C6481" s="6">
        <v>52.5</v>
      </c>
      <c r="D6481" s="6">
        <v>109</v>
      </c>
      <c r="E6481" s="6">
        <v>161.5</v>
      </c>
      <c r="F6481" s="11"/>
    </row>
    <row r="6482" spans="1:6">
      <c r="A6482" s="5" t="str">
        <f t="shared" si="111"/>
        <v>202320</v>
      </c>
      <c r="B6482" s="5" t="str">
        <f>"23085051618"</f>
        <v>23085051618</v>
      </c>
      <c r="C6482" s="6">
        <v>64.5</v>
      </c>
      <c r="D6482" s="6">
        <v>96</v>
      </c>
      <c r="E6482" s="6">
        <v>160.5</v>
      </c>
      <c r="F6482" s="11"/>
    </row>
    <row r="6483" spans="1:6">
      <c r="A6483" s="5" t="str">
        <f t="shared" si="111"/>
        <v>202320</v>
      </c>
      <c r="B6483" s="5" t="str">
        <f>"23085051827"</f>
        <v>23085051827</v>
      </c>
      <c r="C6483" s="6">
        <v>85.5</v>
      </c>
      <c r="D6483" s="6">
        <v>74.5</v>
      </c>
      <c r="E6483" s="6">
        <v>160</v>
      </c>
      <c r="F6483" s="11"/>
    </row>
    <row r="6484" spans="1:6">
      <c r="A6484" s="5" t="str">
        <f t="shared" si="111"/>
        <v>202320</v>
      </c>
      <c r="B6484" s="5" t="str">
        <f>"23085051726"</f>
        <v>23085051726</v>
      </c>
      <c r="C6484" s="6">
        <v>75</v>
      </c>
      <c r="D6484" s="6">
        <v>84.5</v>
      </c>
      <c r="E6484" s="6">
        <v>159.5</v>
      </c>
      <c r="F6484" s="11"/>
    </row>
    <row r="6485" spans="1:6">
      <c r="A6485" s="5" t="str">
        <f t="shared" si="111"/>
        <v>202320</v>
      </c>
      <c r="B6485" s="5" t="str">
        <f>"23085051807"</f>
        <v>23085051807</v>
      </c>
      <c r="C6485" s="6">
        <v>75</v>
      </c>
      <c r="D6485" s="6">
        <v>84.5</v>
      </c>
      <c r="E6485" s="6">
        <v>159.5</v>
      </c>
      <c r="F6485" s="11"/>
    </row>
    <row r="6486" spans="1:6">
      <c r="A6486" s="5" t="str">
        <f t="shared" si="111"/>
        <v>202320</v>
      </c>
      <c r="B6486" s="5" t="str">
        <f>"23085052114"</f>
        <v>23085052114</v>
      </c>
      <c r="C6486" s="6">
        <v>49.5</v>
      </c>
      <c r="D6486" s="6">
        <v>110</v>
      </c>
      <c r="E6486" s="6">
        <v>159.5</v>
      </c>
      <c r="F6486" s="11"/>
    </row>
    <row r="6487" spans="1:6">
      <c r="A6487" s="5" t="str">
        <f t="shared" si="111"/>
        <v>202320</v>
      </c>
      <c r="B6487" s="5" t="str">
        <f>"23085052416"</f>
        <v>23085052416</v>
      </c>
      <c r="C6487" s="6">
        <v>45</v>
      </c>
      <c r="D6487" s="6">
        <v>114</v>
      </c>
      <c r="E6487" s="6">
        <v>159</v>
      </c>
      <c r="F6487" s="11"/>
    </row>
    <row r="6488" spans="1:6">
      <c r="A6488" s="5" t="str">
        <f t="shared" si="111"/>
        <v>202320</v>
      </c>
      <c r="B6488" s="5" t="str">
        <f>"23085051006"</f>
        <v>23085051006</v>
      </c>
      <c r="C6488" s="6">
        <v>54</v>
      </c>
      <c r="D6488" s="6">
        <v>105</v>
      </c>
      <c r="E6488" s="6">
        <v>159</v>
      </c>
      <c r="F6488" s="11"/>
    </row>
    <row r="6489" spans="1:6">
      <c r="A6489" s="5" t="str">
        <f t="shared" si="111"/>
        <v>202320</v>
      </c>
      <c r="B6489" s="5" t="str">
        <f>"23085051225"</f>
        <v>23085051225</v>
      </c>
      <c r="C6489" s="6">
        <v>58.5</v>
      </c>
      <c r="D6489" s="6">
        <v>100</v>
      </c>
      <c r="E6489" s="6">
        <v>158.5</v>
      </c>
      <c r="F6489" s="11"/>
    </row>
    <row r="6490" spans="1:6">
      <c r="A6490" s="5" t="str">
        <f t="shared" si="111"/>
        <v>202320</v>
      </c>
      <c r="B6490" s="5" t="str">
        <f>"23085051527"</f>
        <v>23085051527</v>
      </c>
      <c r="C6490" s="6">
        <v>52.5</v>
      </c>
      <c r="D6490" s="6">
        <v>106</v>
      </c>
      <c r="E6490" s="6">
        <v>158.5</v>
      </c>
      <c r="F6490" s="11"/>
    </row>
    <row r="6491" spans="1:6">
      <c r="A6491" s="5" t="str">
        <f t="shared" si="111"/>
        <v>202320</v>
      </c>
      <c r="B6491" s="5" t="str">
        <f>"23085051417"</f>
        <v>23085051417</v>
      </c>
      <c r="C6491" s="6">
        <v>73.5</v>
      </c>
      <c r="D6491" s="6">
        <v>85</v>
      </c>
      <c r="E6491" s="6">
        <v>158.5</v>
      </c>
      <c r="F6491" s="11"/>
    </row>
    <row r="6492" spans="1:6">
      <c r="A6492" s="5" t="str">
        <f t="shared" si="111"/>
        <v>202320</v>
      </c>
      <c r="B6492" s="5" t="str">
        <f>"23085051916"</f>
        <v>23085051916</v>
      </c>
      <c r="C6492" s="6">
        <v>58.5</v>
      </c>
      <c r="D6492" s="6">
        <v>100</v>
      </c>
      <c r="E6492" s="6">
        <v>158.5</v>
      </c>
      <c r="F6492" s="11"/>
    </row>
    <row r="6493" spans="1:6">
      <c r="A6493" s="5" t="str">
        <f t="shared" si="111"/>
        <v>202320</v>
      </c>
      <c r="B6493" s="5" t="str">
        <f>"23085050905"</f>
        <v>23085050905</v>
      </c>
      <c r="C6493" s="6">
        <v>85.5</v>
      </c>
      <c r="D6493" s="6">
        <v>72</v>
      </c>
      <c r="E6493" s="6">
        <v>157.5</v>
      </c>
      <c r="F6493" s="11"/>
    </row>
    <row r="6494" spans="1:6">
      <c r="A6494" s="5" t="str">
        <f t="shared" si="111"/>
        <v>202320</v>
      </c>
      <c r="B6494" s="5" t="str">
        <f>"23085050930"</f>
        <v>23085050930</v>
      </c>
      <c r="C6494" s="6">
        <v>88.5</v>
      </c>
      <c r="D6494" s="6">
        <v>69</v>
      </c>
      <c r="E6494" s="6">
        <v>157.5</v>
      </c>
      <c r="F6494" s="11"/>
    </row>
    <row r="6495" spans="1:6">
      <c r="A6495" s="5" t="str">
        <f t="shared" ref="A6495:A6558" si="112">"202320"</f>
        <v>202320</v>
      </c>
      <c r="B6495" s="5" t="str">
        <f>"23085052005"</f>
        <v>23085052005</v>
      </c>
      <c r="C6495" s="6">
        <v>51</v>
      </c>
      <c r="D6495" s="6">
        <v>106</v>
      </c>
      <c r="E6495" s="6">
        <v>157</v>
      </c>
      <c r="F6495" s="11"/>
    </row>
    <row r="6496" spans="1:6">
      <c r="A6496" s="5" t="str">
        <f t="shared" si="112"/>
        <v>202320</v>
      </c>
      <c r="B6496" s="5" t="str">
        <f>"23085052217"</f>
        <v>23085052217</v>
      </c>
      <c r="C6496" s="6">
        <v>67.5</v>
      </c>
      <c r="D6496" s="6">
        <v>89.5</v>
      </c>
      <c r="E6496" s="6">
        <v>157</v>
      </c>
      <c r="F6496" s="11"/>
    </row>
    <row r="6497" spans="1:6">
      <c r="A6497" s="5" t="str">
        <f t="shared" si="112"/>
        <v>202320</v>
      </c>
      <c r="B6497" s="5" t="str">
        <f>"23085050712"</f>
        <v>23085050712</v>
      </c>
      <c r="C6497" s="6">
        <v>48</v>
      </c>
      <c r="D6497" s="6">
        <v>108.5</v>
      </c>
      <c r="E6497" s="6">
        <v>156.5</v>
      </c>
      <c r="F6497" s="11"/>
    </row>
    <row r="6498" spans="1:6">
      <c r="A6498" s="5" t="str">
        <f t="shared" si="112"/>
        <v>202320</v>
      </c>
      <c r="B6498" s="5" t="str">
        <f>"23085050817"</f>
        <v>23085050817</v>
      </c>
      <c r="C6498" s="6">
        <v>66</v>
      </c>
      <c r="D6498" s="6">
        <v>90</v>
      </c>
      <c r="E6498" s="6">
        <v>156</v>
      </c>
      <c r="F6498" s="11"/>
    </row>
    <row r="6499" spans="1:6">
      <c r="A6499" s="5" t="str">
        <f t="shared" si="112"/>
        <v>202320</v>
      </c>
      <c r="B6499" s="5" t="str">
        <f>"23085051013"</f>
        <v>23085051013</v>
      </c>
      <c r="C6499" s="6">
        <v>64.5</v>
      </c>
      <c r="D6499" s="6">
        <v>89.5</v>
      </c>
      <c r="E6499" s="6">
        <v>154</v>
      </c>
      <c r="F6499" s="11"/>
    </row>
    <row r="6500" spans="1:6">
      <c r="A6500" s="5" t="str">
        <f t="shared" si="112"/>
        <v>202320</v>
      </c>
      <c r="B6500" s="5" t="str">
        <f>"23085052014"</f>
        <v>23085052014</v>
      </c>
      <c r="C6500" s="6">
        <v>55.5</v>
      </c>
      <c r="D6500" s="6">
        <v>98.5</v>
      </c>
      <c r="E6500" s="6">
        <v>154</v>
      </c>
      <c r="F6500" s="11"/>
    </row>
    <row r="6501" spans="1:6">
      <c r="A6501" s="5" t="str">
        <f t="shared" si="112"/>
        <v>202320</v>
      </c>
      <c r="B6501" s="5" t="str">
        <f>"23085051506"</f>
        <v>23085051506</v>
      </c>
      <c r="C6501" s="6">
        <v>61.5</v>
      </c>
      <c r="D6501" s="6">
        <v>92</v>
      </c>
      <c r="E6501" s="6">
        <v>153.5</v>
      </c>
      <c r="F6501" s="11"/>
    </row>
    <row r="6502" spans="1:6">
      <c r="A6502" s="5" t="str">
        <f t="shared" si="112"/>
        <v>202320</v>
      </c>
      <c r="B6502" s="5" t="str">
        <f>"23085051401"</f>
        <v>23085051401</v>
      </c>
      <c r="C6502" s="6">
        <v>45</v>
      </c>
      <c r="D6502" s="6">
        <v>108</v>
      </c>
      <c r="E6502" s="6">
        <v>153</v>
      </c>
      <c r="F6502" s="11"/>
    </row>
    <row r="6503" spans="1:6">
      <c r="A6503" s="5" t="str">
        <f t="shared" si="112"/>
        <v>202320</v>
      </c>
      <c r="B6503" s="5" t="str">
        <f>"23085051409"</f>
        <v>23085051409</v>
      </c>
      <c r="C6503" s="6">
        <v>55.5</v>
      </c>
      <c r="D6503" s="6">
        <v>97</v>
      </c>
      <c r="E6503" s="6">
        <v>152.5</v>
      </c>
      <c r="F6503" s="11"/>
    </row>
    <row r="6504" spans="1:6">
      <c r="A6504" s="5" t="str">
        <f t="shared" si="112"/>
        <v>202320</v>
      </c>
      <c r="B6504" s="5" t="str">
        <f>"23085050425"</f>
        <v>23085050425</v>
      </c>
      <c r="C6504" s="6">
        <v>55.5</v>
      </c>
      <c r="D6504" s="6">
        <v>96</v>
      </c>
      <c r="E6504" s="6">
        <v>151.5</v>
      </c>
      <c r="F6504" s="11"/>
    </row>
    <row r="6505" spans="1:6">
      <c r="A6505" s="5" t="str">
        <f t="shared" si="112"/>
        <v>202320</v>
      </c>
      <c r="B6505" s="5" t="str">
        <f>"23085052019"</f>
        <v>23085052019</v>
      </c>
      <c r="C6505" s="6">
        <v>70.5</v>
      </c>
      <c r="D6505" s="6">
        <v>80</v>
      </c>
      <c r="E6505" s="6">
        <v>150.5</v>
      </c>
      <c r="F6505" s="11"/>
    </row>
    <row r="6506" spans="1:6">
      <c r="A6506" s="5" t="str">
        <f t="shared" si="112"/>
        <v>202320</v>
      </c>
      <c r="B6506" s="5" t="str">
        <f>"23085050827"</f>
        <v>23085050827</v>
      </c>
      <c r="C6506" s="6">
        <v>60</v>
      </c>
      <c r="D6506" s="6">
        <v>90.5</v>
      </c>
      <c r="E6506" s="6">
        <v>150.5</v>
      </c>
      <c r="F6506" s="11"/>
    </row>
    <row r="6507" spans="1:6">
      <c r="A6507" s="5" t="str">
        <f t="shared" si="112"/>
        <v>202320</v>
      </c>
      <c r="B6507" s="5" t="str">
        <f>"23085050812"</f>
        <v>23085050812</v>
      </c>
      <c r="C6507" s="6">
        <v>49.5</v>
      </c>
      <c r="D6507" s="6">
        <v>98</v>
      </c>
      <c r="E6507" s="6">
        <v>147.5</v>
      </c>
      <c r="F6507" s="11"/>
    </row>
    <row r="6508" spans="1:6">
      <c r="A6508" s="5" t="str">
        <f t="shared" si="112"/>
        <v>202320</v>
      </c>
      <c r="B6508" s="5" t="str">
        <f>"23085050925"</f>
        <v>23085050925</v>
      </c>
      <c r="C6508" s="6">
        <v>46.5</v>
      </c>
      <c r="D6508" s="6">
        <v>99</v>
      </c>
      <c r="E6508" s="6">
        <v>145.5</v>
      </c>
      <c r="F6508" s="11"/>
    </row>
    <row r="6509" spans="1:6">
      <c r="A6509" s="5" t="str">
        <f t="shared" si="112"/>
        <v>202320</v>
      </c>
      <c r="B6509" s="5" t="str">
        <f>"23085052229"</f>
        <v>23085052229</v>
      </c>
      <c r="C6509" s="6">
        <v>57</v>
      </c>
      <c r="D6509" s="6">
        <v>88</v>
      </c>
      <c r="E6509" s="6">
        <v>145</v>
      </c>
      <c r="F6509" s="11"/>
    </row>
    <row r="6510" spans="1:6">
      <c r="A6510" s="5" t="str">
        <f t="shared" si="112"/>
        <v>202320</v>
      </c>
      <c r="B6510" s="5" t="str">
        <f>"23085051824"</f>
        <v>23085051824</v>
      </c>
      <c r="C6510" s="6">
        <v>34.5</v>
      </c>
      <c r="D6510" s="6">
        <v>110</v>
      </c>
      <c r="E6510" s="6">
        <v>144.5</v>
      </c>
      <c r="F6510" s="11"/>
    </row>
    <row r="6511" spans="1:6">
      <c r="A6511" s="5" t="str">
        <f t="shared" si="112"/>
        <v>202320</v>
      </c>
      <c r="B6511" s="5" t="str">
        <f>"23085051319"</f>
        <v>23085051319</v>
      </c>
      <c r="C6511" s="6">
        <v>70.5</v>
      </c>
      <c r="D6511" s="6">
        <v>72.5</v>
      </c>
      <c r="E6511" s="6">
        <v>143</v>
      </c>
      <c r="F6511" s="11"/>
    </row>
    <row r="6512" spans="1:6">
      <c r="A6512" s="5" t="str">
        <f t="shared" si="112"/>
        <v>202320</v>
      </c>
      <c r="B6512" s="5" t="str">
        <f>"23085051029"</f>
        <v>23085051029</v>
      </c>
      <c r="C6512" s="6">
        <v>85.5</v>
      </c>
      <c r="D6512" s="6">
        <v>57</v>
      </c>
      <c r="E6512" s="6">
        <v>142.5</v>
      </c>
      <c r="F6512" s="11"/>
    </row>
    <row r="6513" spans="1:6">
      <c r="A6513" s="5" t="str">
        <f t="shared" si="112"/>
        <v>202320</v>
      </c>
      <c r="B6513" s="5" t="str">
        <f>"23085051123"</f>
        <v>23085051123</v>
      </c>
      <c r="C6513" s="6">
        <v>66</v>
      </c>
      <c r="D6513" s="6">
        <v>75.5</v>
      </c>
      <c r="E6513" s="6">
        <v>141.5</v>
      </c>
      <c r="F6513" s="11"/>
    </row>
    <row r="6514" spans="1:6">
      <c r="A6514" s="5" t="str">
        <f t="shared" si="112"/>
        <v>202320</v>
      </c>
      <c r="B6514" s="5" t="str">
        <f>"23085051207"</f>
        <v>23085051207</v>
      </c>
      <c r="C6514" s="6">
        <v>63</v>
      </c>
      <c r="D6514" s="6">
        <v>77.5</v>
      </c>
      <c r="E6514" s="6">
        <v>140.5</v>
      </c>
      <c r="F6514" s="11"/>
    </row>
    <row r="6515" spans="1:6">
      <c r="A6515" s="5" t="str">
        <f t="shared" si="112"/>
        <v>202320</v>
      </c>
      <c r="B6515" s="5" t="str">
        <f>"23085051204"</f>
        <v>23085051204</v>
      </c>
      <c r="C6515" s="6">
        <v>63</v>
      </c>
      <c r="D6515" s="6">
        <v>74.5</v>
      </c>
      <c r="E6515" s="6">
        <v>137.5</v>
      </c>
      <c r="F6515" s="11"/>
    </row>
    <row r="6516" spans="1:6">
      <c r="A6516" s="5" t="str">
        <f t="shared" si="112"/>
        <v>202320</v>
      </c>
      <c r="B6516" s="5" t="str">
        <f>"23085052115"</f>
        <v>23085052115</v>
      </c>
      <c r="C6516" s="6">
        <v>99</v>
      </c>
      <c r="D6516" s="6">
        <v>37</v>
      </c>
      <c r="E6516" s="6">
        <v>136</v>
      </c>
      <c r="F6516" s="11"/>
    </row>
    <row r="6517" spans="1:6">
      <c r="A6517" s="5" t="str">
        <f t="shared" si="112"/>
        <v>202320</v>
      </c>
      <c r="B6517" s="5" t="str">
        <f>"23085051121"</f>
        <v>23085051121</v>
      </c>
      <c r="C6517" s="6">
        <v>60</v>
      </c>
      <c r="D6517" s="6">
        <v>76</v>
      </c>
      <c r="E6517" s="6">
        <v>136</v>
      </c>
      <c r="F6517" s="11"/>
    </row>
    <row r="6518" spans="1:6">
      <c r="A6518" s="5" t="str">
        <f t="shared" si="112"/>
        <v>202320</v>
      </c>
      <c r="B6518" s="5" t="str">
        <f>"23085051822"</f>
        <v>23085051822</v>
      </c>
      <c r="C6518" s="6">
        <v>63</v>
      </c>
      <c r="D6518" s="6">
        <v>72.5</v>
      </c>
      <c r="E6518" s="6">
        <v>135.5</v>
      </c>
      <c r="F6518" s="11"/>
    </row>
    <row r="6519" spans="1:6">
      <c r="A6519" s="5" t="str">
        <f t="shared" si="112"/>
        <v>202320</v>
      </c>
      <c r="B6519" s="5" t="str">
        <f>"23085051727"</f>
        <v>23085051727</v>
      </c>
      <c r="C6519" s="6">
        <v>19.5</v>
      </c>
      <c r="D6519" s="6">
        <v>113</v>
      </c>
      <c r="E6519" s="6">
        <v>132.5</v>
      </c>
      <c r="F6519" s="11"/>
    </row>
    <row r="6520" spans="1:6">
      <c r="A6520" s="5" t="str">
        <f t="shared" si="112"/>
        <v>202320</v>
      </c>
      <c r="B6520" s="5" t="str">
        <f>"23085051323"</f>
        <v>23085051323</v>
      </c>
      <c r="C6520" s="6">
        <v>48</v>
      </c>
      <c r="D6520" s="6">
        <v>84.5</v>
      </c>
      <c r="E6520" s="6">
        <v>132.5</v>
      </c>
      <c r="F6520" s="11"/>
    </row>
    <row r="6521" spans="1:6">
      <c r="A6521" s="5" t="str">
        <f t="shared" si="112"/>
        <v>202320</v>
      </c>
      <c r="B6521" s="5" t="str">
        <f>"23085050629"</f>
        <v>23085050629</v>
      </c>
      <c r="C6521" s="6">
        <v>91.5</v>
      </c>
      <c r="D6521" s="6">
        <v>39.5</v>
      </c>
      <c r="E6521" s="6">
        <v>131</v>
      </c>
      <c r="F6521" s="11"/>
    </row>
    <row r="6522" spans="1:6">
      <c r="A6522" s="5" t="str">
        <f t="shared" si="112"/>
        <v>202320</v>
      </c>
      <c r="B6522" s="5" t="str">
        <f>"23085051228"</f>
        <v>23085051228</v>
      </c>
      <c r="C6522" s="6">
        <v>70.5</v>
      </c>
      <c r="D6522" s="6">
        <v>60</v>
      </c>
      <c r="E6522" s="6">
        <v>130.5</v>
      </c>
      <c r="F6522" s="11"/>
    </row>
    <row r="6523" spans="1:6">
      <c r="A6523" s="5" t="str">
        <f t="shared" si="112"/>
        <v>202320</v>
      </c>
      <c r="B6523" s="5" t="str">
        <f>"23085052323"</f>
        <v>23085052323</v>
      </c>
      <c r="C6523" s="6">
        <v>94.5</v>
      </c>
      <c r="D6523" s="6">
        <v>28.5</v>
      </c>
      <c r="E6523" s="6">
        <v>123</v>
      </c>
      <c r="F6523" s="11"/>
    </row>
    <row r="6524" spans="1:6">
      <c r="A6524" s="5" t="str">
        <f t="shared" si="112"/>
        <v>202320</v>
      </c>
      <c r="B6524" s="5" t="str">
        <f>"23085052106"</f>
        <v>23085052106</v>
      </c>
      <c r="C6524" s="6">
        <v>63</v>
      </c>
      <c r="D6524" s="6">
        <v>56.5</v>
      </c>
      <c r="E6524" s="6">
        <v>119.5</v>
      </c>
      <c r="F6524" s="11"/>
    </row>
    <row r="6525" spans="1:6">
      <c r="A6525" s="5" t="str">
        <f t="shared" si="112"/>
        <v>202320</v>
      </c>
      <c r="B6525" s="5" t="str">
        <f>"23085051923"</f>
        <v>23085051923</v>
      </c>
      <c r="C6525" s="6">
        <v>39</v>
      </c>
      <c r="D6525" s="6">
        <v>79.5</v>
      </c>
      <c r="E6525" s="6">
        <v>118.5</v>
      </c>
      <c r="F6525" s="11"/>
    </row>
    <row r="6526" spans="1:6">
      <c r="A6526" s="5" t="str">
        <f t="shared" si="112"/>
        <v>202320</v>
      </c>
      <c r="B6526" s="5" t="str">
        <f>"23085050506"</f>
        <v>23085050506</v>
      </c>
      <c r="C6526" s="6">
        <v>58.5</v>
      </c>
      <c r="D6526" s="6">
        <v>55</v>
      </c>
      <c r="E6526" s="6">
        <v>113.5</v>
      </c>
      <c r="F6526" s="11"/>
    </row>
    <row r="6527" spans="1:6">
      <c r="A6527" s="5" t="str">
        <f t="shared" si="112"/>
        <v>202320</v>
      </c>
      <c r="B6527" s="5" t="str">
        <f>"23085050726"</f>
        <v>23085050726</v>
      </c>
      <c r="C6527" s="6">
        <v>48</v>
      </c>
      <c r="D6527" s="6">
        <v>62.5</v>
      </c>
      <c r="E6527" s="6">
        <v>110.5</v>
      </c>
      <c r="F6527" s="11"/>
    </row>
    <row r="6528" spans="1:6">
      <c r="A6528" s="5" t="str">
        <f t="shared" si="112"/>
        <v>202320</v>
      </c>
      <c r="B6528" s="5" t="str">
        <f>"23085052026"</f>
        <v>23085052026</v>
      </c>
      <c r="C6528" s="6">
        <v>46.5</v>
      </c>
      <c r="D6528" s="6">
        <v>52.5</v>
      </c>
      <c r="E6528" s="6">
        <v>99</v>
      </c>
      <c r="F6528" s="11"/>
    </row>
    <row r="6529" spans="1:6">
      <c r="A6529" s="5" t="str">
        <f t="shared" si="112"/>
        <v>202320</v>
      </c>
      <c r="B6529" s="5" t="str">
        <f>"23085051707"</f>
        <v>23085051707</v>
      </c>
      <c r="C6529" s="6">
        <v>52.5</v>
      </c>
      <c r="D6529" s="6">
        <v>42</v>
      </c>
      <c r="E6529" s="6">
        <v>94.5</v>
      </c>
      <c r="F6529" s="11"/>
    </row>
    <row r="6530" spans="1:6">
      <c r="A6530" s="5" t="str">
        <f t="shared" si="112"/>
        <v>202320</v>
      </c>
      <c r="B6530" s="5" t="str">
        <f>"23085051703"</f>
        <v>23085051703</v>
      </c>
      <c r="C6530" s="6">
        <v>88.5</v>
      </c>
      <c r="D6530" s="6">
        <v>0</v>
      </c>
      <c r="E6530" s="6">
        <v>88.5</v>
      </c>
      <c r="F6530" s="11"/>
    </row>
    <row r="6531" spans="1:6">
      <c r="A6531" s="5" t="str">
        <f t="shared" si="112"/>
        <v>202320</v>
      </c>
      <c r="B6531" s="5" t="str">
        <f>"23085050723"</f>
        <v>23085050723</v>
      </c>
      <c r="C6531" s="6">
        <v>55.5</v>
      </c>
      <c r="D6531" s="6">
        <v>29</v>
      </c>
      <c r="E6531" s="6">
        <v>84.5</v>
      </c>
      <c r="F6531" s="11"/>
    </row>
    <row r="6532" spans="1:6">
      <c r="A6532" s="5" t="str">
        <f t="shared" si="112"/>
        <v>202320</v>
      </c>
      <c r="B6532" s="5" t="str">
        <f>"23085051107"</f>
        <v>23085051107</v>
      </c>
      <c r="C6532" s="6">
        <v>55.5</v>
      </c>
      <c r="D6532" s="6">
        <v>0</v>
      </c>
      <c r="E6532" s="6">
        <v>55.5</v>
      </c>
      <c r="F6532" s="11"/>
    </row>
    <row r="6533" spans="1:6">
      <c r="A6533" s="5" t="str">
        <f t="shared" si="112"/>
        <v>202320</v>
      </c>
      <c r="B6533" s="5" t="str">
        <f>"23085050913"</f>
        <v>23085050913</v>
      </c>
      <c r="C6533" s="6">
        <v>52.5</v>
      </c>
      <c r="D6533" s="6">
        <v>0</v>
      </c>
      <c r="E6533" s="6">
        <v>52.5</v>
      </c>
      <c r="F6533" s="11"/>
    </row>
    <row r="6534" spans="1:6">
      <c r="A6534" s="12" t="str">
        <f t="shared" si="112"/>
        <v>202320</v>
      </c>
      <c r="B6534" s="12" t="str">
        <f>"23085051826"</f>
        <v>23085051826</v>
      </c>
      <c r="C6534" s="6">
        <v>0</v>
      </c>
      <c r="D6534" s="6">
        <v>0</v>
      </c>
      <c r="E6534" s="6">
        <v>0</v>
      </c>
      <c r="F6534" s="11" t="s">
        <v>8</v>
      </c>
    </row>
    <row r="6535" spans="1:6">
      <c r="A6535" s="5" t="str">
        <f t="shared" si="112"/>
        <v>202320</v>
      </c>
      <c r="B6535" s="5" t="str">
        <f>"23085051108"</f>
        <v>23085051108</v>
      </c>
      <c r="C6535" s="6">
        <v>0</v>
      </c>
      <c r="D6535" s="6">
        <v>0</v>
      </c>
      <c r="E6535" s="6">
        <v>0</v>
      </c>
      <c r="F6535" s="11" t="s">
        <v>7</v>
      </c>
    </row>
    <row r="6536" spans="1:6">
      <c r="A6536" s="5" t="str">
        <f t="shared" si="112"/>
        <v>202320</v>
      </c>
      <c r="B6536" s="5" t="str">
        <f>"23085051922"</f>
        <v>23085051922</v>
      </c>
      <c r="C6536" s="6">
        <v>0</v>
      </c>
      <c r="D6536" s="6">
        <v>0</v>
      </c>
      <c r="E6536" s="6">
        <v>0</v>
      </c>
      <c r="F6536" s="11" t="s">
        <v>7</v>
      </c>
    </row>
    <row r="6537" spans="1:6">
      <c r="A6537" s="5" t="str">
        <f t="shared" si="112"/>
        <v>202320</v>
      </c>
      <c r="B6537" s="5" t="str">
        <f>"23085052509"</f>
        <v>23085052509</v>
      </c>
      <c r="C6537" s="6">
        <v>0</v>
      </c>
      <c r="D6537" s="6">
        <v>0</v>
      </c>
      <c r="E6537" s="6">
        <v>0</v>
      </c>
      <c r="F6537" s="11" t="s">
        <v>7</v>
      </c>
    </row>
    <row r="6538" spans="1:6">
      <c r="A6538" s="5" t="str">
        <f t="shared" si="112"/>
        <v>202320</v>
      </c>
      <c r="B6538" s="5" t="str">
        <f>"23085051729"</f>
        <v>23085051729</v>
      </c>
      <c r="C6538" s="6">
        <v>0</v>
      </c>
      <c r="D6538" s="6">
        <v>0</v>
      </c>
      <c r="E6538" s="6">
        <v>0</v>
      </c>
      <c r="F6538" s="11" t="s">
        <v>7</v>
      </c>
    </row>
    <row r="6539" spans="1:6">
      <c r="A6539" s="5" t="str">
        <f t="shared" si="112"/>
        <v>202320</v>
      </c>
      <c r="B6539" s="5" t="str">
        <f>"23085052127"</f>
        <v>23085052127</v>
      </c>
      <c r="C6539" s="6">
        <v>0</v>
      </c>
      <c r="D6539" s="6">
        <v>0</v>
      </c>
      <c r="E6539" s="6">
        <v>0</v>
      </c>
      <c r="F6539" s="11" t="s">
        <v>7</v>
      </c>
    </row>
    <row r="6540" spans="1:6">
      <c r="A6540" s="5" t="str">
        <f t="shared" si="112"/>
        <v>202320</v>
      </c>
      <c r="B6540" s="5" t="str">
        <f>"23085051817"</f>
        <v>23085051817</v>
      </c>
      <c r="C6540" s="6">
        <v>0</v>
      </c>
      <c r="D6540" s="6">
        <v>0</v>
      </c>
      <c r="E6540" s="6">
        <v>0</v>
      </c>
      <c r="F6540" s="11" t="s">
        <v>7</v>
      </c>
    </row>
    <row r="6541" spans="1:6">
      <c r="A6541" s="5" t="str">
        <f t="shared" si="112"/>
        <v>202320</v>
      </c>
      <c r="B6541" s="5" t="str">
        <f>"23085052223"</f>
        <v>23085052223</v>
      </c>
      <c r="C6541" s="6">
        <v>0</v>
      </c>
      <c r="D6541" s="6">
        <v>0</v>
      </c>
      <c r="E6541" s="6">
        <v>0</v>
      </c>
      <c r="F6541" s="11" t="s">
        <v>7</v>
      </c>
    </row>
    <row r="6542" spans="1:6">
      <c r="A6542" s="5" t="str">
        <f t="shared" si="112"/>
        <v>202320</v>
      </c>
      <c r="B6542" s="5" t="str">
        <f>"23085051820"</f>
        <v>23085051820</v>
      </c>
      <c r="C6542" s="6">
        <v>0</v>
      </c>
      <c r="D6542" s="6">
        <v>0</v>
      </c>
      <c r="E6542" s="6">
        <v>0</v>
      </c>
      <c r="F6542" s="11" t="s">
        <v>7</v>
      </c>
    </row>
    <row r="6543" spans="1:6">
      <c r="A6543" s="5" t="str">
        <f t="shared" si="112"/>
        <v>202320</v>
      </c>
      <c r="B6543" s="5" t="str">
        <f>"23085050618"</f>
        <v>23085050618</v>
      </c>
      <c r="C6543" s="6">
        <v>0</v>
      </c>
      <c r="D6543" s="6">
        <v>0</v>
      </c>
      <c r="E6543" s="6">
        <v>0</v>
      </c>
      <c r="F6543" s="11" t="s">
        <v>7</v>
      </c>
    </row>
    <row r="6544" spans="1:6">
      <c r="A6544" s="5" t="str">
        <f t="shared" si="112"/>
        <v>202320</v>
      </c>
      <c r="B6544" s="5" t="str">
        <f>"23085050829"</f>
        <v>23085050829</v>
      </c>
      <c r="C6544" s="6">
        <v>0</v>
      </c>
      <c r="D6544" s="6">
        <v>0</v>
      </c>
      <c r="E6544" s="6">
        <v>0</v>
      </c>
      <c r="F6544" s="11" t="s">
        <v>7</v>
      </c>
    </row>
    <row r="6545" spans="1:6">
      <c r="A6545" s="5" t="str">
        <f t="shared" si="112"/>
        <v>202320</v>
      </c>
      <c r="B6545" s="5" t="str">
        <f>"23085050807"</f>
        <v>23085050807</v>
      </c>
      <c r="C6545" s="6">
        <v>0</v>
      </c>
      <c r="D6545" s="6">
        <v>0</v>
      </c>
      <c r="E6545" s="6">
        <v>0</v>
      </c>
      <c r="F6545" s="11" t="s">
        <v>7</v>
      </c>
    </row>
    <row r="6546" spans="1:6">
      <c r="A6546" s="5" t="str">
        <f t="shared" si="112"/>
        <v>202320</v>
      </c>
      <c r="B6546" s="5" t="str">
        <f>"23085051616"</f>
        <v>23085051616</v>
      </c>
      <c r="C6546" s="6">
        <v>0</v>
      </c>
      <c r="D6546" s="6">
        <v>0</v>
      </c>
      <c r="E6546" s="6">
        <v>0</v>
      </c>
      <c r="F6546" s="11" t="s">
        <v>7</v>
      </c>
    </row>
    <row r="6547" spans="1:6">
      <c r="A6547" s="5" t="str">
        <f t="shared" si="112"/>
        <v>202320</v>
      </c>
      <c r="B6547" s="5" t="str">
        <f>"23085052008"</f>
        <v>23085052008</v>
      </c>
      <c r="C6547" s="6">
        <v>0</v>
      </c>
      <c r="D6547" s="6">
        <v>0</v>
      </c>
      <c r="E6547" s="6">
        <v>0</v>
      </c>
      <c r="F6547" s="11" t="s">
        <v>7</v>
      </c>
    </row>
    <row r="6548" spans="1:6">
      <c r="A6548" s="5" t="str">
        <f t="shared" si="112"/>
        <v>202320</v>
      </c>
      <c r="B6548" s="5" t="str">
        <f>"23085052329"</f>
        <v>23085052329</v>
      </c>
      <c r="C6548" s="6">
        <v>0</v>
      </c>
      <c r="D6548" s="6">
        <v>0</v>
      </c>
      <c r="E6548" s="6">
        <v>0</v>
      </c>
      <c r="F6548" s="11" t="s">
        <v>7</v>
      </c>
    </row>
    <row r="6549" spans="1:6">
      <c r="A6549" s="5" t="str">
        <f t="shared" si="112"/>
        <v>202320</v>
      </c>
      <c r="B6549" s="5" t="str">
        <f>"23085051208"</f>
        <v>23085051208</v>
      </c>
      <c r="C6549" s="6">
        <v>0</v>
      </c>
      <c r="D6549" s="6">
        <v>0</v>
      </c>
      <c r="E6549" s="6">
        <v>0</v>
      </c>
      <c r="F6549" s="11" t="s">
        <v>7</v>
      </c>
    </row>
    <row r="6550" spans="1:6">
      <c r="A6550" s="5" t="str">
        <f t="shared" si="112"/>
        <v>202320</v>
      </c>
      <c r="B6550" s="5" t="str">
        <f>"23085052110"</f>
        <v>23085052110</v>
      </c>
      <c r="C6550" s="6">
        <v>0</v>
      </c>
      <c r="D6550" s="6">
        <v>0</v>
      </c>
      <c r="E6550" s="6">
        <v>0</v>
      </c>
      <c r="F6550" s="11" t="s">
        <v>7</v>
      </c>
    </row>
    <row r="6551" spans="1:6">
      <c r="A6551" s="5" t="str">
        <f t="shared" si="112"/>
        <v>202320</v>
      </c>
      <c r="B6551" s="5" t="str">
        <f>"23085052508"</f>
        <v>23085052508</v>
      </c>
      <c r="C6551" s="6">
        <v>0</v>
      </c>
      <c r="D6551" s="6">
        <v>0</v>
      </c>
      <c r="E6551" s="6">
        <v>0</v>
      </c>
      <c r="F6551" s="11" t="s">
        <v>7</v>
      </c>
    </row>
    <row r="6552" spans="1:6">
      <c r="A6552" s="5" t="str">
        <f t="shared" si="112"/>
        <v>202320</v>
      </c>
      <c r="B6552" s="5" t="str">
        <f>"23085051412"</f>
        <v>23085051412</v>
      </c>
      <c r="C6552" s="6">
        <v>0</v>
      </c>
      <c r="D6552" s="6">
        <v>0</v>
      </c>
      <c r="E6552" s="6">
        <v>0</v>
      </c>
      <c r="F6552" s="11" t="s">
        <v>7</v>
      </c>
    </row>
    <row r="6553" spans="1:6">
      <c r="A6553" s="5" t="str">
        <f t="shared" si="112"/>
        <v>202320</v>
      </c>
      <c r="B6553" s="5" t="str">
        <f>"23085050612"</f>
        <v>23085050612</v>
      </c>
      <c r="C6553" s="6">
        <v>0</v>
      </c>
      <c r="D6553" s="6">
        <v>0</v>
      </c>
      <c r="E6553" s="6">
        <v>0</v>
      </c>
      <c r="F6553" s="11" t="s">
        <v>7</v>
      </c>
    </row>
    <row r="6554" spans="1:6">
      <c r="A6554" s="5" t="str">
        <f t="shared" si="112"/>
        <v>202320</v>
      </c>
      <c r="B6554" s="5" t="str">
        <f>"23085051524"</f>
        <v>23085051524</v>
      </c>
      <c r="C6554" s="6">
        <v>0</v>
      </c>
      <c r="D6554" s="6">
        <v>0</v>
      </c>
      <c r="E6554" s="6">
        <v>0</v>
      </c>
      <c r="F6554" s="11" t="s">
        <v>7</v>
      </c>
    </row>
    <row r="6555" spans="1:6">
      <c r="A6555" s="5" t="str">
        <f t="shared" si="112"/>
        <v>202320</v>
      </c>
      <c r="B6555" s="5" t="str">
        <f>"23085052207"</f>
        <v>23085052207</v>
      </c>
      <c r="C6555" s="6">
        <v>0</v>
      </c>
      <c r="D6555" s="6">
        <v>0</v>
      </c>
      <c r="E6555" s="6">
        <v>0</v>
      </c>
      <c r="F6555" s="11" t="s">
        <v>7</v>
      </c>
    </row>
    <row r="6556" spans="1:6">
      <c r="A6556" s="5" t="str">
        <f t="shared" si="112"/>
        <v>202320</v>
      </c>
      <c r="B6556" s="5" t="str">
        <f>"23085050910"</f>
        <v>23085050910</v>
      </c>
      <c r="C6556" s="6">
        <v>0</v>
      </c>
      <c r="D6556" s="6">
        <v>0</v>
      </c>
      <c r="E6556" s="6">
        <v>0</v>
      </c>
      <c r="F6556" s="11" t="s">
        <v>7</v>
      </c>
    </row>
    <row r="6557" spans="1:6">
      <c r="A6557" s="5" t="str">
        <f t="shared" si="112"/>
        <v>202320</v>
      </c>
      <c r="B6557" s="5" t="str">
        <f>"23085050720"</f>
        <v>23085050720</v>
      </c>
      <c r="C6557" s="6">
        <v>0</v>
      </c>
      <c r="D6557" s="6">
        <v>0</v>
      </c>
      <c r="E6557" s="6">
        <v>0</v>
      </c>
      <c r="F6557" s="11" t="s">
        <v>7</v>
      </c>
    </row>
    <row r="6558" spans="1:6">
      <c r="A6558" s="5" t="str">
        <f t="shared" si="112"/>
        <v>202320</v>
      </c>
      <c r="B6558" s="5" t="str">
        <f>"23085051804"</f>
        <v>23085051804</v>
      </c>
      <c r="C6558" s="6">
        <v>0</v>
      </c>
      <c r="D6558" s="6">
        <v>0</v>
      </c>
      <c r="E6558" s="6">
        <v>0</v>
      </c>
      <c r="F6558" s="11" t="s">
        <v>7</v>
      </c>
    </row>
    <row r="6559" spans="1:6">
      <c r="A6559" s="5" t="str">
        <f t="shared" ref="A6559:A6622" si="113">"202320"</f>
        <v>202320</v>
      </c>
      <c r="B6559" s="5" t="str">
        <f>"23085051105"</f>
        <v>23085051105</v>
      </c>
      <c r="C6559" s="6">
        <v>0</v>
      </c>
      <c r="D6559" s="6">
        <v>0</v>
      </c>
      <c r="E6559" s="6">
        <v>0</v>
      </c>
      <c r="F6559" s="11" t="s">
        <v>7</v>
      </c>
    </row>
    <row r="6560" spans="1:6">
      <c r="A6560" s="5" t="str">
        <f t="shared" si="113"/>
        <v>202320</v>
      </c>
      <c r="B6560" s="5" t="str">
        <f>"23085051026"</f>
        <v>23085051026</v>
      </c>
      <c r="C6560" s="6">
        <v>0</v>
      </c>
      <c r="D6560" s="6">
        <v>0</v>
      </c>
      <c r="E6560" s="6">
        <v>0</v>
      </c>
      <c r="F6560" s="11" t="s">
        <v>7</v>
      </c>
    </row>
    <row r="6561" spans="1:6">
      <c r="A6561" s="5" t="str">
        <f t="shared" si="113"/>
        <v>202320</v>
      </c>
      <c r="B6561" s="5" t="str">
        <f>"23085050426"</f>
        <v>23085050426</v>
      </c>
      <c r="C6561" s="6">
        <v>0</v>
      </c>
      <c r="D6561" s="6">
        <v>0</v>
      </c>
      <c r="E6561" s="6">
        <v>0</v>
      </c>
      <c r="F6561" s="11" t="s">
        <v>7</v>
      </c>
    </row>
    <row r="6562" spans="1:6">
      <c r="A6562" s="5" t="str">
        <f t="shared" si="113"/>
        <v>202320</v>
      </c>
      <c r="B6562" s="5" t="str">
        <f>"23085050523"</f>
        <v>23085050523</v>
      </c>
      <c r="C6562" s="6">
        <v>0</v>
      </c>
      <c r="D6562" s="6">
        <v>0</v>
      </c>
      <c r="E6562" s="6">
        <v>0</v>
      </c>
      <c r="F6562" s="11" t="s">
        <v>7</v>
      </c>
    </row>
    <row r="6563" spans="1:6">
      <c r="A6563" s="5" t="str">
        <f t="shared" si="113"/>
        <v>202320</v>
      </c>
      <c r="B6563" s="5" t="str">
        <f>"23085050622"</f>
        <v>23085050622</v>
      </c>
      <c r="C6563" s="6">
        <v>0</v>
      </c>
      <c r="D6563" s="6">
        <v>0</v>
      </c>
      <c r="E6563" s="6">
        <v>0</v>
      </c>
      <c r="F6563" s="11" t="s">
        <v>7</v>
      </c>
    </row>
    <row r="6564" spans="1:6">
      <c r="A6564" s="5" t="str">
        <f t="shared" si="113"/>
        <v>202320</v>
      </c>
      <c r="B6564" s="5" t="str">
        <f>"23085051712"</f>
        <v>23085051712</v>
      </c>
      <c r="C6564" s="6">
        <v>0</v>
      </c>
      <c r="D6564" s="6">
        <v>0</v>
      </c>
      <c r="E6564" s="6">
        <v>0</v>
      </c>
      <c r="F6564" s="11" t="s">
        <v>7</v>
      </c>
    </row>
    <row r="6565" spans="1:6">
      <c r="A6565" s="5" t="str">
        <f t="shared" si="113"/>
        <v>202320</v>
      </c>
      <c r="B6565" s="5" t="str">
        <f>"23085051929"</f>
        <v>23085051929</v>
      </c>
      <c r="C6565" s="6">
        <v>0</v>
      </c>
      <c r="D6565" s="6">
        <v>0</v>
      </c>
      <c r="E6565" s="6">
        <v>0</v>
      </c>
      <c r="F6565" s="11" t="s">
        <v>7</v>
      </c>
    </row>
    <row r="6566" spans="1:6">
      <c r="A6566" s="5" t="str">
        <f t="shared" si="113"/>
        <v>202320</v>
      </c>
      <c r="B6566" s="5" t="str">
        <f>"23085051811"</f>
        <v>23085051811</v>
      </c>
      <c r="C6566" s="6">
        <v>0</v>
      </c>
      <c r="D6566" s="6">
        <v>0</v>
      </c>
      <c r="E6566" s="6">
        <v>0</v>
      </c>
      <c r="F6566" s="11" t="s">
        <v>7</v>
      </c>
    </row>
    <row r="6567" spans="1:6">
      <c r="A6567" s="5" t="str">
        <f t="shared" si="113"/>
        <v>202320</v>
      </c>
      <c r="B6567" s="5" t="str">
        <f>"23085052111"</f>
        <v>23085052111</v>
      </c>
      <c r="C6567" s="6">
        <v>0</v>
      </c>
      <c r="D6567" s="6">
        <v>0</v>
      </c>
      <c r="E6567" s="6">
        <v>0</v>
      </c>
      <c r="F6567" s="11" t="s">
        <v>7</v>
      </c>
    </row>
    <row r="6568" spans="1:6">
      <c r="A6568" s="5" t="str">
        <f t="shared" si="113"/>
        <v>202320</v>
      </c>
      <c r="B6568" s="5" t="str">
        <f>"23085051614"</f>
        <v>23085051614</v>
      </c>
      <c r="C6568" s="6">
        <v>0</v>
      </c>
      <c r="D6568" s="6">
        <v>0</v>
      </c>
      <c r="E6568" s="6">
        <v>0</v>
      </c>
      <c r="F6568" s="11" t="s">
        <v>7</v>
      </c>
    </row>
    <row r="6569" spans="1:6">
      <c r="A6569" s="5" t="str">
        <f t="shared" si="113"/>
        <v>202320</v>
      </c>
      <c r="B6569" s="5" t="str">
        <f>"23085051528"</f>
        <v>23085051528</v>
      </c>
      <c r="C6569" s="6">
        <v>0</v>
      </c>
      <c r="D6569" s="6">
        <v>0</v>
      </c>
      <c r="E6569" s="6">
        <v>0</v>
      </c>
      <c r="F6569" s="11" t="s">
        <v>7</v>
      </c>
    </row>
    <row r="6570" spans="1:6">
      <c r="A6570" s="5" t="str">
        <f t="shared" si="113"/>
        <v>202320</v>
      </c>
      <c r="B6570" s="5" t="str">
        <f>"23085052212"</f>
        <v>23085052212</v>
      </c>
      <c r="C6570" s="6">
        <v>0</v>
      </c>
      <c r="D6570" s="6">
        <v>0</v>
      </c>
      <c r="E6570" s="6">
        <v>0</v>
      </c>
      <c r="F6570" s="11" t="s">
        <v>7</v>
      </c>
    </row>
    <row r="6571" spans="1:6">
      <c r="A6571" s="5" t="str">
        <f t="shared" si="113"/>
        <v>202320</v>
      </c>
      <c r="B6571" s="5" t="str">
        <f>"23085051611"</f>
        <v>23085051611</v>
      </c>
      <c r="C6571" s="6">
        <v>0</v>
      </c>
      <c r="D6571" s="6">
        <v>0</v>
      </c>
      <c r="E6571" s="6">
        <v>0</v>
      </c>
      <c r="F6571" s="11" t="s">
        <v>7</v>
      </c>
    </row>
    <row r="6572" spans="1:6">
      <c r="A6572" s="5" t="str">
        <f t="shared" si="113"/>
        <v>202320</v>
      </c>
      <c r="B6572" s="5" t="str">
        <f>"23085051814"</f>
        <v>23085051814</v>
      </c>
      <c r="C6572" s="6">
        <v>0</v>
      </c>
      <c r="D6572" s="6">
        <v>0</v>
      </c>
      <c r="E6572" s="6">
        <v>0</v>
      </c>
      <c r="F6572" s="11" t="s">
        <v>7</v>
      </c>
    </row>
    <row r="6573" spans="1:6">
      <c r="A6573" s="5" t="str">
        <f t="shared" si="113"/>
        <v>202320</v>
      </c>
      <c r="B6573" s="5" t="str">
        <f>"23085050826"</f>
        <v>23085050826</v>
      </c>
      <c r="C6573" s="6">
        <v>0</v>
      </c>
      <c r="D6573" s="6">
        <v>0</v>
      </c>
      <c r="E6573" s="6">
        <v>0</v>
      </c>
      <c r="F6573" s="11" t="s">
        <v>7</v>
      </c>
    </row>
    <row r="6574" spans="1:6">
      <c r="A6574" s="5" t="str">
        <f t="shared" si="113"/>
        <v>202320</v>
      </c>
      <c r="B6574" s="5" t="str">
        <f>"23085051912"</f>
        <v>23085051912</v>
      </c>
      <c r="C6574" s="6">
        <v>0</v>
      </c>
      <c r="D6574" s="6">
        <v>0</v>
      </c>
      <c r="E6574" s="6">
        <v>0</v>
      </c>
      <c r="F6574" s="11" t="s">
        <v>7</v>
      </c>
    </row>
    <row r="6575" spans="1:6">
      <c r="A6575" s="5" t="str">
        <f t="shared" si="113"/>
        <v>202320</v>
      </c>
      <c r="B6575" s="5" t="str">
        <f>"23085052520"</f>
        <v>23085052520</v>
      </c>
      <c r="C6575" s="6">
        <v>0</v>
      </c>
      <c r="D6575" s="6">
        <v>0</v>
      </c>
      <c r="E6575" s="6">
        <v>0</v>
      </c>
      <c r="F6575" s="11" t="s">
        <v>7</v>
      </c>
    </row>
    <row r="6576" spans="1:6">
      <c r="A6576" s="5" t="str">
        <f t="shared" si="113"/>
        <v>202320</v>
      </c>
      <c r="B6576" s="5" t="str">
        <f>"23085051022"</f>
        <v>23085051022</v>
      </c>
      <c r="C6576" s="6">
        <v>0</v>
      </c>
      <c r="D6576" s="6">
        <v>0</v>
      </c>
      <c r="E6576" s="6">
        <v>0</v>
      </c>
      <c r="F6576" s="11" t="s">
        <v>7</v>
      </c>
    </row>
    <row r="6577" spans="1:6">
      <c r="A6577" s="5" t="str">
        <f t="shared" si="113"/>
        <v>202320</v>
      </c>
      <c r="B6577" s="5" t="str">
        <f>"23085051816"</f>
        <v>23085051816</v>
      </c>
      <c r="C6577" s="6">
        <v>0</v>
      </c>
      <c r="D6577" s="6">
        <v>0</v>
      </c>
      <c r="E6577" s="6">
        <v>0</v>
      </c>
      <c r="F6577" s="11" t="s">
        <v>7</v>
      </c>
    </row>
    <row r="6578" spans="1:6">
      <c r="A6578" s="5" t="str">
        <f t="shared" si="113"/>
        <v>202320</v>
      </c>
      <c r="B6578" s="5" t="str">
        <f>"23085051513"</f>
        <v>23085051513</v>
      </c>
      <c r="C6578" s="6">
        <v>0</v>
      </c>
      <c r="D6578" s="6">
        <v>0</v>
      </c>
      <c r="E6578" s="6">
        <v>0</v>
      </c>
      <c r="F6578" s="11" t="s">
        <v>7</v>
      </c>
    </row>
    <row r="6579" spans="1:6">
      <c r="A6579" s="5" t="str">
        <f t="shared" si="113"/>
        <v>202320</v>
      </c>
      <c r="B6579" s="5" t="str">
        <f>"23085051420"</f>
        <v>23085051420</v>
      </c>
      <c r="C6579" s="6">
        <v>0</v>
      </c>
      <c r="D6579" s="6">
        <v>0</v>
      </c>
      <c r="E6579" s="6">
        <v>0</v>
      </c>
      <c r="F6579" s="11" t="s">
        <v>7</v>
      </c>
    </row>
    <row r="6580" spans="1:6">
      <c r="A6580" s="5" t="str">
        <f t="shared" si="113"/>
        <v>202320</v>
      </c>
      <c r="B6580" s="5" t="str">
        <f>"23085052505"</f>
        <v>23085052505</v>
      </c>
      <c r="C6580" s="6">
        <v>0</v>
      </c>
      <c r="D6580" s="6">
        <v>0</v>
      </c>
      <c r="E6580" s="6">
        <v>0</v>
      </c>
      <c r="F6580" s="11" t="s">
        <v>7</v>
      </c>
    </row>
    <row r="6581" spans="1:6">
      <c r="A6581" s="5" t="str">
        <f t="shared" si="113"/>
        <v>202320</v>
      </c>
      <c r="B6581" s="5" t="str">
        <f>"23085050419"</f>
        <v>23085050419</v>
      </c>
      <c r="C6581" s="6">
        <v>0</v>
      </c>
      <c r="D6581" s="6">
        <v>0</v>
      </c>
      <c r="E6581" s="6">
        <v>0</v>
      </c>
      <c r="F6581" s="11" t="s">
        <v>7</v>
      </c>
    </row>
    <row r="6582" spans="1:6">
      <c r="A6582" s="5" t="str">
        <f t="shared" si="113"/>
        <v>202320</v>
      </c>
      <c r="B6582" s="5" t="str">
        <f>"23085050704"</f>
        <v>23085050704</v>
      </c>
      <c r="C6582" s="6">
        <v>0</v>
      </c>
      <c r="D6582" s="6">
        <v>0</v>
      </c>
      <c r="E6582" s="6">
        <v>0</v>
      </c>
      <c r="F6582" s="11" t="s">
        <v>7</v>
      </c>
    </row>
    <row r="6583" spans="1:6">
      <c r="A6583" s="5" t="str">
        <f t="shared" si="113"/>
        <v>202320</v>
      </c>
      <c r="B6583" s="5" t="str">
        <f>"23085052018"</f>
        <v>23085052018</v>
      </c>
      <c r="C6583" s="6">
        <v>0</v>
      </c>
      <c r="D6583" s="6">
        <v>0</v>
      </c>
      <c r="E6583" s="6">
        <v>0</v>
      </c>
      <c r="F6583" s="11" t="s">
        <v>7</v>
      </c>
    </row>
    <row r="6584" spans="1:6">
      <c r="A6584" s="5" t="str">
        <f t="shared" si="113"/>
        <v>202320</v>
      </c>
      <c r="B6584" s="5" t="str">
        <f>"23085050628"</f>
        <v>23085050628</v>
      </c>
      <c r="C6584" s="6">
        <v>0</v>
      </c>
      <c r="D6584" s="6">
        <v>0</v>
      </c>
      <c r="E6584" s="6">
        <v>0</v>
      </c>
      <c r="F6584" s="11" t="s">
        <v>7</v>
      </c>
    </row>
    <row r="6585" spans="1:6">
      <c r="A6585" s="5" t="str">
        <f t="shared" si="113"/>
        <v>202320</v>
      </c>
      <c r="B6585" s="5" t="str">
        <f>"23085051830"</f>
        <v>23085051830</v>
      </c>
      <c r="C6585" s="6">
        <v>0</v>
      </c>
      <c r="D6585" s="6">
        <v>0</v>
      </c>
      <c r="E6585" s="6">
        <v>0</v>
      </c>
      <c r="F6585" s="11" t="s">
        <v>7</v>
      </c>
    </row>
    <row r="6586" spans="1:6">
      <c r="A6586" s="5" t="str">
        <f t="shared" si="113"/>
        <v>202320</v>
      </c>
      <c r="B6586" s="5" t="str">
        <f>"23085052510"</f>
        <v>23085052510</v>
      </c>
      <c r="C6586" s="6">
        <v>0</v>
      </c>
      <c r="D6586" s="6">
        <v>0</v>
      </c>
      <c r="E6586" s="6">
        <v>0</v>
      </c>
      <c r="F6586" s="11" t="s">
        <v>7</v>
      </c>
    </row>
    <row r="6587" spans="1:6">
      <c r="A6587" s="5" t="str">
        <f t="shared" si="113"/>
        <v>202320</v>
      </c>
      <c r="B6587" s="5" t="str">
        <f>"23085051510"</f>
        <v>23085051510</v>
      </c>
      <c r="C6587" s="6">
        <v>0</v>
      </c>
      <c r="D6587" s="6">
        <v>0</v>
      </c>
      <c r="E6587" s="6">
        <v>0</v>
      </c>
      <c r="F6587" s="11" t="s">
        <v>7</v>
      </c>
    </row>
    <row r="6588" spans="1:6">
      <c r="A6588" s="5" t="str">
        <f t="shared" si="113"/>
        <v>202320</v>
      </c>
      <c r="B6588" s="5" t="str">
        <f>"23085051617"</f>
        <v>23085051617</v>
      </c>
      <c r="C6588" s="6">
        <v>0</v>
      </c>
      <c r="D6588" s="6">
        <v>0</v>
      </c>
      <c r="E6588" s="6">
        <v>0</v>
      </c>
      <c r="F6588" s="11" t="s">
        <v>9</v>
      </c>
    </row>
    <row r="6589" spans="1:6">
      <c r="A6589" s="5" t="str">
        <f t="shared" si="113"/>
        <v>202320</v>
      </c>
      <c r="B6589" s="5" t="str">
        <f>"23085051313"</f>
        <v>23085051313</v>
      </c>
      <c r="C6589" s="6">
        <v>0</v>
      </c>
      <c r="D6589" s="6">
        <v>0</v>
      </c>
      <c r="E6589" s="6">
        <v>0</v>
      </c>
      <c r="F6589" s="11" t="s">
        <v>7</v>
      </c>
    </row>
    <row r="6590" spans="1:6">
      <c r="A6590" s="5" t="str">
        <f t="shared" si="113"/>
        <v>202320</v>
      </c>
      <c r="B6590" s="5" t="str">
        <f>"23085052012"</f>
        <v>23085052012</v>
      </c>
      <c r="C6590" s="6">
        <v>0</v>
      </c>
      <c r="D6590" s="6">
        <v>0</v>
      </c>
      <c r="E6590" s="6">
        <v>0</v>
      </c>
      <c r="F6590" s="11" t="s">
        <v>7</v>
      </c>
    </row>
    <row r="6591" spans="1:6">
      <c r="A6591" s="5" t="str">
        <f t="shared" si="113"/>
        <v>202320</v>
      </c>
      <c r="B6591" s="5" t="str">
        <f>"23085051011"</f>
        <v>23085051011</v>
      </c>
      <c r="C6591" s="6">
        <v>0</v>
      </c>
      <c r="D6591" s="6">
        <v>0</v>
      </c>
      <c r="E6591" s="6">
        <v>0</v>
      </c>
      <c r="F6591" s="11" t="s">
        <v>7</v>
      </c>
    </row>
    <row r="6592" spans="1:6">
      <c r="A6592" s="5" t="str">
        <f t="shared" si="113"/>
        <v>202320</v>
      </c>
      <c r="B6592" s="5" t="str">
        <f>"23085050624"</f>
        <v>23085050624</v>
      </c>
      <c r="C6592" s="6">
        <v>0</v>
      </c>
      <c r="D6592" s="6">
        <v>0</v>
      </c>
      <c r="E6592" s="6">
        <v>0</v>
      </c>
      <c r="F6592" s="11" t="s">
        <v>7</v>
      </c>
    </row>
    <row r="6593" spans="1:6">
      <c r="A6593" s="5" t="str">
        <f t="shared" si="113"/>
        <v>202320</v>
      </c>
      <c r="B6593" s="5" t="str">
        <f>"23085050921"</f>
        <v>23085050921</v>
      </c>
      <c r="C6593" s="6">
        <v>0</v>
      </c>
      <c r="D6593" s="6">
        <v>0</v>
      </c>
      <c r="E6593" s="6">
        <v>0</v>
      </c>
      <c r="F6593" s="11" t="s">
        <v>7</v>
      </c>
    </row>
    <row r="6594" spans="1:6">
      <c r="A6594" s="5" t="str">
        <f t="shared" si="113"/>
        <v>202320</v>
      </c>
      <c r="B6594" s="5" t="str">
        <f>"23085050610"</f>
        <v>23085050610</v>
      </c>
      <c r="C6594" s="6">
        <v>0</v>
      </c>
      <c r="D6594" s="6">
        <v>0</v>
      </c>
      <c r="E6594" s="6">
        <v>0</v>
      </c>
      <c r="F6594" s="11" t="s">
        <v>7</v>
      </c>
    </row>
    <row r="6595" spans="1:6">
      <c r="A6595" s="5" t="str">
        <f t="shared" si="113"/>
        <v>202320</v>
      </c>
      <c r="B6595" s="5" t="str">
        <f>"23085052016"</f>
        <v>23085052016</v>
      </c>
      <c r="C6595" s="6">
        <v>0</v>
      </c>
      <c r="D6595" s="6">
        <v>0</v>
      </c>
      <c r="E6595" s="6">
        <v>0</v>
      </c>
      <c r="F6595" s="11" t="s">
        <v>7</v>
      </c>
    </row>
    <row r="6596" spans="1:6">
      <c r="A6596" s="5" t="str">
        <f t="shared" si="113"/>
        <v>202320</v>
      </c>
      <c r="B6596" s="5" t="str">
        <f>"23085052130"</f>
        <v>23085052130</v>
      </c>
      <c r="C6596" s="6">
        <v>0</v>
      </c>
      <c r="D6596" s="6">
        <v>0</v>
      </c>
      <c r="E6596" s="6">
        <v>0</v>
      </c>
      <c r="F6596" s="11" t="s">
        <v>7</v>
      </c>
    </row>
    <row r="6597" spans="1:6">
      <c r="A6597" s="5" t="str">
        <f t="shared" si="113"/>
        <v>202320</v>
      </c>
      <c r="B6597" s="5" t="str">
        <f>"23085051601"</f>
        <v>23085051601</v>
      </c>
      <c r="C6597" s="6">
        <v>0</v>
      </c>
      <c r="D6597" s="6">
        <v>0</v>
      </c>
      <c r="E6597" s="6">
        <v>0</v>
      </c>
      <c r="F6597" s="11" t="s">
        <v>7</v>
      </c>
    </row>
    <row r="6598" spans="1:6">
      <c r="A6598" s="5" t="str">
        <f t="shared" si="113"/>
        <v>202320</v>
      </c>
      <c r="B6598" s="5" t="str">
        <f>"23085052312"</f>
        <v>23085052312</v>
      </c>
      <c r="C6598" s="6">
        <v>0</v>
      </c>
      <c r="D6598" s="6">
        <v>0</v>
      </c>
      <c r="E6598" s="6">
        <v>0</v>
      </c>
      <c r="F6598" s="11" t="s">
        <v>7</v>
      </c>
    </row>
    <row r="6599" spans="1:6">
      <c r="A6599" s="5" t="str">
        <f t="shared" si="113"/>
        <v>202320</v>
      </c>
      <c r="B6599" s="5" t="str">
        <f>"23085051512"</f>
        <v>23085051512</v>
      </c>
      <c r="C6599" s="6">
        <v>0</v>
      </c>
      <c r="D6599" s="6">
        <v>0</v>
      </c>
      <c r="E6599" s="6">
        <v>0</v>
      </c>
      <c r="F6599" s="11" t="s">
        <v>7</v>
      </c>
    </row>
    <row r="6600" spans="1:6">
      <c r="A6600" s="5" t="str">
        <f t="shared" si="113"/>
        <v>202320</v>
      </c>
      <c r="B6600" s="5" t="str">
        <f>"23085051722"</f>
        <v>23085051722</v>
      </c>
      <c r="C6600" s="6">
        <v>0</v>
      </c>
      <c r="D6600" s="6">
        <v>0</v>
      </c>
      <c r="E6600" s="6">
        <v>0</v>
      </c>
      <c r="F6600" s="11" t="s">
        <v>7</v>
      </c>
    </row>
    <row r="6601" spans="1:6">
      <c r="A6601" s="5" t="str">
        <f t="shared" si="113"/>
        <v>202320</v>
      </c>
      <c r="B6601" s="5" t="str">
        <f>"23085051114"</f>
        <v>23085051114</v>
      </c>
      <c r="C6601" s="6">
        <v>0</v>
      </c>
      <c r="D6601" s="6">
        <v>0</v>
      </c>
      <c r="E6601" s="6">
        <v>0</v>
      </c>
      <c r="F6601" s="11" t="s">
        <v>7</v>
      </c>
    </row>
    <row r="6602" spans="1:6">
      <c r="A6602" s="5" t="str">
        <f t="shared" si="113"/>
        <v>202320</v>
      </c>
      <c r="B6602" s="5" t="str">
        <f>"23085052108"</f>
        <v>23085052108</v>
      </c>
      <c r="C6602" s="6">
        <v>0</v>
      </c>
      <c r="D6602" s="6">
        <v>0</v>
      </c>
      <c r="E6602" s="6">
        <v>0</v>
      </c>
      <c r="F6602" s="11" t="s">
        <v>7</v>
      </c>
    </row>
    <row r="6603" spans="1:6">
      <c r="A6603" s="5" t="str">
        <f t="shared" si="113"/>
        <v>202320</v>
      </c>
      <c r="B6603" s="5" t="str">
        <f>"23085052030"</f>
        <v>23085052030</v>
      </c>
      <c r="C6603" s="6">
        <v>0</v>
      </c>
      <c r="D6603" s="6">
        <v>0</v>
      </c>
      <c r="E6603" s="6">
        <v>0</v>
      </c>
      <c r="F6603" s="11" t="s">
        <v>7</v>
      </c>
    </row>
    <row r="6604" spans="1:6">
      <c r="A6604" s="5" t="str">
        <f t="shared" si="113"/>
        <v>202320</v>
      </c>
      <c r="B6604" s="5" t="str">
        <f>"23085052006"</f>
        <v>23085052006</v>
      </c>
      <c r="C6604" s="6">
        <v>0</v>
      </c>
      <c r="D6604" s="6">
        <v>0</v>
      </c>
      <c r="E6604" s="6">
        <v>0</v>
      </c>
      <c r="F6604" s="11" t="s">
        <v>7</v>
      </c>
    </row>
    <row r="6605" spans="1:6">
      <c r="A6605" s="5" t="str">
        <f t="shared" si="113"/>
        <v>202320</v>
      </c>
      <c r="B6605" s="5" t="str">
        <f>"23085051509"</f>
        <v>23085051509</v>
      </c>
      <c r="C6605" s="6">
        <v>0</v>
      </c>
      <c r="D6605" s="6">
        <v>0</v>
      </c>
      <c r="E6605" s="6">
        <v>0</v>
      </c>
      <c r="F6605" s="11" t="s">
        <v>7</v>
      </c>
    </row>
    <row r="6606" spans="1:6">
      <c r="A6606" s="5" t="str">
        <f t="shared" si="113"/>
        <v>202320</v>
      </c>
      <c r="B6606" s="5" t="str">
        <f>"23085051002"</f>
        <v>23085051002</v>
      </c>
      <c r="C6606" s="6">
        <v>0</v>
      </c>
      <c r="D6606" s="6">
        <v>0</v>
      </c>
      <c r="E6606" s="6">
        <v>0</v>
      </c>
      <c r="F6606" s="11" t="s">
        <v>7</v>
      </c>
    </row>
    <row r="6607" spans="1:6">
      <c r="A6607" s="5" t="str">
        <f t="shared" si="113"/>
        <v>202320</v>
      </c>
      <c r="B6607" s="5" t="str">
        <f>"23085052224"</f>
        <v>23085052224</v>
      </c>
      <c r="C6607" s="6">
        <v>0</v>
      </c>
      <c r="D6607" s="6">
        <v>0</v>
      </c>
      <c r="E6607" s="6">
        <v>0</v>
      </c>
      <c r="F6607" s="11" t="s">
        <v>7</v>
      </c>
    </row>
    <row r="6608" spans="1:6">
      <c r="A6608" s="5" t="str">
        <f t="shared" si="113"/>
        <v>202320</v>
      </c>
      <c r="B6608" s="5" t="str">
        <f>"23085051130"</f>
        <v>23085051130</v>
      </c>
      <c r="C6608" s="6">
        <v>0</v>
      </c>
      <c r="D6608" s="6">
        <v>0</v>
      </c>
      <c r="E6608" s="6">
        <v>0</v>
      </c>
      <c r="F6608" s="11" t="s">
        <v>7</v>
      </c>
    </row>
    <row r="6609" spans="1:6">
      <c r="A6609" s="5" t="str">
        <f t="shared" si="113"/>
        <v>202320</v>
      </c>
      <c r="B6609" s="5" t="str">
        <f>"23085051828"</f>
        <v>23085051828</v>
      </c>
      <c r="C6609" s="6">
        <v>0</v>
      </c>
      <c r="D6609" s="6">
        <v>0</v>
      </c>
      <c r="E6609" s="6">
        <v>0</v>
      </c>
      <c r="F6609" s="11" t="s">
        <v>7</v>
      </c>
    </row>
    <row r="6610" spans="1:6">
      <c r="A6610" s="5" t="str">
        <f t="shared" si="113"/>
        <v>202320</v>
      </c>
      <c r="B6610" s="5" t="str">
        <f>"23085052502"</f>
        <v>23085052502</v>
      </c>
      <c r="C6610" s="6">
        <v>0</v>
      </c>
      <c r="D6610" s="6">
        <v>0</v>
      </c>
      <c r="E6610" s="6">
        <v>0</v>
      </c>
      <c r="F6610" s="11" t="s">
        <v>7</v>
      </c>
    </row>
    <row r="6611" spans="1:6">
      <c r="A6611" s="5" t="str">
        <f t="shared" si="113"/>
        <v>202320</v>
      </c>
      <c r="B6611" s="5" t="str">
        <f>"23085051630"</f>
        <v>23085051630</v>
      </c>
      <c r="C6611" s="6">
        <v>0</v>
      </c>
      <c r="D6611" s="6">
        <v>0</v>
      </c>
      <c r="E6611" s="6">
        <v>0</v>
      </c>
      <c r="F6611" s="11" t="s">
        <v>7</v>
      </c>
    </row>
    <row r="6612" spans="1:6">
      <c r="A6612" s="5" t="str">
        <f t="shared" si="113"/>
        <v>202320</v>
      </c>
      <c r="B6612" s="5" t="str">
        <f>"23085050525"</f>
        <v>23085050525</v>
      </c>
      <c r="C6612" s="6">
        <v>0</v>
      </c>
      <c r="D6612" s="6">
        <v>0</v>
      </c>
      <c r="E6612" s="6">
        <v>0</v>
      </c>
      <c r="F6612" s="11" t="s">
        <v>7</v>
      </c>
    </row>
    <row r="6613" spans="1:6">
      <c r="A6613" s="5" t="str">
        <f t="shared" si="113"/>
        <v>202320</v>
      </c>
      <c r="B6613" s="5" t="str">
        <f>"23085051301"</f>
        <v>23085051301</v>
      </c>
      <c r="C6613" s="6">
        <v>0</v>
      </c>
      <c r="D6613" s="6">
        <v>0</v>
      </c>
      <c r="E6613" s="6">
        <v>0</v>
      </c>
      <c r="F6613" s="11" t="s">
        <v>7</v>
      </c>
    </row>
    <row r="6614" spans="1:6">
      <c r="A6614" s="5" t="str">
        <f t="shared" si="113"/>
        <v>202320</v>
      </c>
      <c r="B6614" s="5" t="str">
        <f>"23085052021"</f>
        <v>23085052021</v>
      </c>
      <c r="C6614" s="6">
        <v>0</v>
      </c>
      <c r="D6614" s="6">
        <v>0</v>
      </c>
      <c r="E6614" s="6">
        <v>0</v>
      </c>
      <c r="F6614" s="11" t="s">
        <v>7</v>
      </c>
    </row>
    <row r="6615" spans="1:6">
      <c r="A6615" s="5" t="str">
        <f t="shared" si="113"/>
        <v>202320</v>
      </c>
      <c r="B6615" s="5" t="str">
        <f>"23085052330"</f>
        <v>23085052330</v>
      </c>
      <c r="C6615" s="6">
        <v>0</v>
      </c>
      <c r="D6615" s="6">
        <v>0</v>
      </c>
      <c r="E6615" s="6">
        <v>0</v>
      </c>
      <c r="F6615" s="11" t="s">
        <v>7</v>
      </c>
    </row>
    <row r="6616" spans="1:6">
      <c r="A6616" s="5" t="str">
        <f t="shared" si="113"/>
        <v>202320</v>
      </c>
      <c r="B6616" s="5" t="str">
        <f>"23085052211"</f>
        <v>23085052211</v>
      </c>
      <c r="C6616" s="6">
        <v>0</v>
      </c>
      <c r="D6616" s="6">
        <v>0</v>
      </c>
      <c r="E6616" s="6">
        <v>0</v>
      </c>
      <c r="F6616" s="11" t="s">
        <v>7</v>
      </c>
    </row>
    <row r="6617" spans="1:6">
      <c r="A6617" s="5" t="str">
        <f t="shared" si="113"/>
        <v>202320</v>
      </c>
      <c r="B6617" s="5" t="str">
        <f>"23085051117"</f>
        <v>23085051117</v>
      </c>
      <c r="C6617" s="6">
        <v>0</v>
      </c>
      <c r="D6617" s="6">
        <v>0</v>
      </c>
      <c r="E6617" s="6">
        <v>0</v>
      </c>
      <c r="F6617" s="11" t="s">
        <v>7</v>
      </c>
    </row>
    <row r="6618" spans="1:6">
      <c r="A6618" s="5" t="str">
        <f t="shared" si="113"/>
        <v>202320</v>
      </c>
      <c r="B6618" s="5" t="str">
        <f>"23085051501"</f>
        <v>23085051501</v>
      </c>
      <c r="C6618" s="6">
        <v>0</v>
      </c>
      <c r="D6618" s="6">
        <v>0</v>
      </c>
      <c r="E6618" s="6">
        <v>0</v>
      </c>
      <c r="F6618" s="11" t="s">
        <v>7</v>
      </c>
    </row>
    <row r="6619" spans="1:6">
      <c r="A6619" s="5" t="str">
        <f t="shared" si="113"/>
        <v>202320</v>
      </c>
      <c r="B6619" s="5" t="str">
        <f>"23085052103"</f>
        <v>23085052103</v>
      </c>
      <c r="C6619" s="6">
        <v>0</v>
      </c>
      <c r="D6619" s="6">
        <v>0</v>
      </c>
      <c r="E6619" s="6">
        <v>0</v>
      </c>
      <c r="F6619" s="11" t="s">
        <v>7</v>
      </c>
    </row>
    <row r="6620" spans="1:6">
      <c r="A6620" s="5" t="str">
        <f t="shared" si="113"/>
        <v>202320</v>
      </c>
      <c r="B6620" s="5" t="str">
        <f>"23085051322"</f>
        <v>23085051322</v>
      </c>
      <c r="C6620" s="6">
        <v>0</v>
      </c>
      <c r="D6620" s="6">
        <v>0</v>
      </c>
      <c r="E6620" s="6">
        <v>0</v>
      </c>
      <c r="F6620" s="11" t="s">
        <v>7</v>
      </c>
    </row>
    <row r="6621" spans="1:6">
      <c r="A6621" s="5" t="str">
        <f t="shared" si="113"/>
        <v>202320</v>
      </c>
      <c r="B6621" s="5" t="str">
        <f>"23085050802"</f>
        <v>23085050802</v>
      </c>
      <c r="C6621" s="6">
        <v>0</v>
      </c>
      <c r="D6621" s="6">
        <v>0</v>
      </c>
      <c r="E6621" s="6">
        <v>0</v>
      </c>
      <c r="F6621" s="11" t="s">
        <v>7</v>
      </c>
    </row>
    <row r="6622" spans="1:6">
      <c r="A6622" s="5" t="str">
        <f t="shared" si="113"/>
        <v>202320</v>
      </c>
      <c r="B6622" s="5" t="str">
        <f>"23085051115"</f>
        <v>23085051115</v>
      </c>
      <c r="C6622" s="6">
        <v>0</v>
      </c>
      <c r="D6622" s="6">
        <v>0</v>
      </c>
      <c r="E6622" s="6">
        <v>0</v>
      </c>
      <c r="F6622" s="11" t="s">
        <v>7</v>
      </c>
    </row>
    <row r="6623" spans="1:6">
      <c r="A6623" s="5" t="str">
        <f t="shared" ref="A6623:A6686" si="114">"202320"</f>
        <v>202320</v>
      </c>
      <c r="B6623" s="5" t="str">
        <f>"23085051918"</f>
        <v>23085051918</v>
      </c>
      <c r="C6623" s="6">
        <v>0</v>
      </c>
      <c r="D6623" s="6">
        <v>0</v>
      </c>
      <c r="E6623" s="6">
        <v>0</v>
      </c>
      <c r="F6623" s="11" t="s">
        <v>7</v>
      </c>
    </row>
    <row r="6624" spans="1:6">
      <c r="A6624" s="5" t="str">
        <f t="shared" si="114"/>
        <v>202320</v>
      </c>
      <c r="B6624" s="5" t="str">
        <f>"23085052119"</f>
        <v>23085052119</v>
      </c>
      <c r="C6624" s="6">
        <v>0</v>
      </c>
      <c r="D6624" s="6">
        <v>0</v>
      </c>
      <c r="E6624" s="6">
        <v>0</v>
      </c>
      <c r="F6624" s="11" t="s">
        <v>7</v>
      </c>
    </row>
    <row r="6625" spans="1:6">
      <c r="A6625" s="5" t="str">
        <f t="shared" si="114"/>
        <v>202320</v>
      </c>
      <c r="B6625" s="5" t="str">
        <f>"23085051714"</f>
        <v>23085051714</v>
      </c>
      <c r="C6625" s="6">
        <v>0</v>
      </c>
      <c r="D6625" s="6">
        <v>0</v>
      </c>
      <c r="E6625" s="6">
        <v>0</v>
      </c>
      <c r="F6625" s="11" t="s">
        <v>7</v>
      </c>
    </row>
    <row r="6626" spans="1:6">
      <c r="A6626" s="5" t="str">
        <f t="shared" si="114"/>
        <v>202320</v>
      </c>
      <c r="B6626" s="5" t="str">
        <f>"23085050912"</f>
        <v>23085050912</v>
      </c>
      <c r="C6626" s="6">
        <v>0</v>
      </c>
      <c r="D6626" s="6">
        <v>0</v>
      </c>
      <c r="E6626" s="6">
        <v>0</v>
      </c>
      <c r="F6626" s="11" t="s">
        <v>7</v>
      </c>
    </row>
    <row r="6627" spans="1:6">
      <c r="A6627" s="5" t="str">
        <f t="shared" si="114"/>
        <v>202320</v>
      </c>
      <c r="B6627" s="5" t="str">
        <f>"23085051625"</f>
        <v>23085051625</v>
      </c>
      <c r="C6627" s="6">
        <v>0</v>
      </c>
      <c r="D6627" s="6">
        <v>0</v>
      </c>
      <c r="E6627" s="6">
        <v>0</v>
      </c>
      <c r="F6627" s="11" t="s">
        <v>7</v>
      </c>
    </row>
    <row r="6628" spans="1:6">
      <c r="A6628" s="5" t="str">
        <f t="shared" si="114"/>
        <v>202320</v>
      </c>
      <c r="B6628" s="5" t="str">
        <f>"23085052220"</f>
        <v>23085052220</v>
      </c>
      <c r="C6628" s="6">
        <v>0</v>
      </c>
      <c r="D6628" s="6">
        <v>0</v>
      </c>
      <c r="E6628" s="6">
        <v>0</v>
      </c>
      <c r="F6628" s="11" t="s">
        <v>7</v>
      </c>
    </row>
    <row r="6629" spans="1:6">
      <c r="A6629" s="5" t="str">
        <f t="shared" si="114"/>
        <v>202320</v>
      </c>
      <c r="B6629" s="5" t="str">
        <f>"23085051112"</f>
        <v>23085051112</v>
      </c>
      <c r="C6629" s="6">
        <v>0</v>
      </c>
      <c r="D6629" s="6">
        <v>0</v>
      </c>
      <c r="E6629" s="6">
        <v>0</v>
      </c>
      <c r="F6629" s="11" t="s">
        <v>7</v>
      </c>
    </row>
    <row r="6630" spans="1:6">
      <c r="A6630" s="5" t="str">
        <f t="shared" si="114"/>
        <v>202320</v>
      </c>
      <c r="B6630" s="5" t="str">
        <f>"23085050620"</f>
        <v>23085050620</v>
      </c>
      <c r="C6630" s="6">
        <v>0</v>
      </c>
      <c r="D6630" s="6">
        <v>0</v>
      </c>
      <c r="E6630" s="6">
        <v>0</v>
      </c>
      <c r="F6630" s="11" t="s">
        <v>7</v>
      </c>
    </row>
    <row r="6631" spans="1:6">
      <c r="A6631" s="5" t="str">
        <f t="shared" si="114"/>
        <v>202320</v>
      </c>
      <c r="B6631" s="5" t="str">
        <f>"23085052117"</f>
        <v>23085052117</v>
      </c>
      <c r="C6631" s="6">
        <v>0</v>
      </c>
      <c r="D6631" s="6">
        <v>0</v>
      </c>
      <c r="E6631" s="6">
        <v>0</v>
      </c>
      <c r="F6631" s="11" t="s">
        <v>7</v>
      </c>
    </row>
    <row r="6632" spans="1:6">
      <c r="A6632" s="5" t="str">
        <f t="shared" si="114"/>
        <v>202320</v>
      </c>
      <c r="B6632" s="5" t="str">
        <f>"23085051402"</f>
        <v>23085051402</v>
      </c>
      <c r="C6632" s="6">
        <v>0</v>
      </c>
      <c r="D6632" s="6">
        <v>0</v>
      </c>
      <c r="E6632" s="6">
        <v>0</v>
      </c>
      <c r="F6632" s="11" t="s">
        <v>7</v>
      </c>
    </row>
    <row r="6633" spans="1:6">
      <c r="A6633" s="5" t="str">
        <f t="shared" si="114"/>
        <v>202320</v>
      </c>
      <c r="B6633" s="5" t="str">
        <f>"23085051605"</f>
        <v>23085051605</v>
      </c>
      <c r="C6633" s="6">
        <v>0</v>
      </c>
      <c r="D6633" s="6">
        <v>0</v>
      </c>
      <c r="E6633" s="6">
        <v>0</v>
      </c>
      <c r="F6633" s="11" t="s">
        <v>7</v>
      </c>
    </row>
    <row r="6634" spans="1:6">
      <c r="A6634" s="5" t="str">
        <f t="shared" si="114"/>
        <v>202320</v>
      </c>
      <c r="B6634" s="5" t="str">
        <f>"23085050524"</f>
        <v>23085050524</v>
      </c>
      <c r="C6634" s="6">
        <v>0</v>
      </c>
      <c r="D6634" s="6">
        <v>0</v>
      </c>
      <c r="E6634" s="6">
        <v>0</v>
      </c>
      <c r="F6634" s="11" t="s">
        <v>7</v>
      </c>
    </row>
    <row r="6635" spans="1:6">
      <c r="A6635" s="5" t="str">
        <f t="shared" si="114"/>
        <v>202320</v>
      </c>
      <c r="B6635" s="5" t="str">
        <f>"23085051523"</f>
        <v>23085051523</v>
      </c>
      <c r="C6635" s="6">
        <v>0</v>
      </c>
      <c r="D6635" s="6">
        <v>0</v>
      </c>
      <c r="E6635" s="6">
        <v>0</v>
      </c>
      <c r="F6635" s="11" t="s">
        <v>7</v>
      </c>
    </row>
    <row r="6636" spans="1:6">
      <c r="A6636" s="5" t="str">
        <f t="shared" si="114"/>
        <v>202320</v>
      </c>
      <c r="B6636" s="5" t="str">
        <f>"23085052511"</f>
        <v>23085052511</v>
      </c>
      <c r="C6636" s="6">
        <v>0</v>
      </c>
      <c r="D6636" s="6">
        <v>0</v>
      </c>
      <c r="E6636" s="6">
        <v>0</v>
      </c>
      <c r="F6636" s="11" t="s">
        <v>7</v>
      </c>
    </row>
    <row r="6637" spans="1:6">
      <c r="A6637" s="5" t="str">
        <f t="shared" si="114"/>
        <v>202320</v>
      </c>
      <c r="B6637" s="5" t="str">
        <f>"23085051415"</f>
        <v>23085051415</v>
      </c>
      <c r="C6637" s="6">
        <v>0</v>
      </c>
      <c r="D6637" s="6">
        <v>0</v>
      </c>
      <c r="E6637" s="6">
        <v>0</v>
      </c>
      <c r="F6637" s="11" t="s">
        <v>7</v>
      </c>
    </row>
    <row r="6638" spans="1:6">
      <c r="A6638" s="5" t="str">
        <f t="shared" si="114"/>
        <v>202320</v>
      </c>
      <c r="B6638" s="5" t="str">
        <f>"23085052210"</f>
        <v>23085052210</v>
      </c>
      <c r="C6638" s="6">
        <v>0</v>
      </c>
      <c r="D6638" s="6">
        <v>0</v>
      </c>
      <c r="E6638" s="6">
        <v>0</v>
      </c>
      <c r="F6638" s="11" t="s">
        <v>7</v>
      </c>
    </row>
    <row r="6639" spans="1:6">
      <c r="A6639" s="5" t="str">
        <f t="shared" si="114"/>
        <v>202320</v>
      </c>
      <c r="B6639" s="5" t="str">
        <f>"23085052602"</f>
        <v>23085052602</v>
      </c>
      <c r="C6639" s="6">
        <v>0</v>
      </c>
      <c r="D6639" s="6">
        <v>0</v>
      </c>
      <c r="E6639" s="6">
        <v>0</v>
      </c>
      <c r="F6639" s="11" t="s">
        <v>7</v>
      </c>
    </row>
    <row r="6640" spans="1:6">
      <c r="A6640" s="5" t="str">
        <f t="shared" si="114"/>
        <v>202320</v>
      </c>
      <c r="B6640" s="5" t="str">
        <f>"23085050706"</f>
        <v>23085050706</v>
      </c>
      <c r="C6640" s="6">
        <v>0</v>
      </c>
      <c r="D6640" s="6">
        <v>0</v>
      </c>
      <c r="E6640" s="6">
        <v>0</v>
      </c>
      <c r="F6640" s="11" t="s">
        <v>7</v>
      </c>
    </row>
    <row r="6641" spans="1:6">
      <c r="A6641" s="5" t="str">
        <f t="shared" si="114"/>
        <v>202320</v>
      </c>
      <c r="B6641" s="5" t="str">
        <f>"23085052429"</f>
        <v>23085052429</v>
      </c>
      <c r="C6641" s="6">
        <v>0</v>
      </c>
      <c r="D6641" s="6">
        <v>0</v>
      </c>
      <c r="E6641" s="6">
        <v>0</v>
      </c>
      <c r="F6641" s="11" t="s">
        <v>7</v>
      </c>
    </row>
    <row r="6642" spans="1:6">
      <c r="A6642" s="5" t="str">
        <f t="shared" si="114"/>
        <v>202320</v>
      </c>
      <c r="B6642" s="5" t="str">
        <f>"23085052512"</f>
        <v>23085052512</v>
      </c>
      <c r="C6642" s="6">
        <v>0</v>
      </c>
      <c r="D6642" s="6">
        <v>0</v>
      </c>
      <c r="E6642" s="6">
        <v>0</v>
      </c>
      <c r="F6642" s="11" t="s">
        <v>7</v>
      </c>
    </row>
    <row r="6643" spans="1:6">
      <c r="A6643" s="5" t="str">
        <f t="shared" si="114"/>
        <v>202320</v>
      </c>
      <c r="B6643" s="5" t="str">
        <f>"23085050818"</f>
        <v>23085050818</v>
      </c>
      <c r="C6643" s="6">
        <v>0</v>
      </c>
      <c r="D6643" s="6">
        <v>0</v>
      </c>
      <c r="E6643" s="6">
        <v>0</v>
      </c>
      <c r="F6643" s="11" t="s">
        <v>7</v>
      </c>
    </row>
    <row r="6644" spans="1:6">
      <c r="A6644" s="5" t="str">
        <f t="shared" si="114"/>
        <v>202320</v>
      </c>
      <c r="B6644" s="5" t="str">
        <f>"23085051526"</f>
        <v>23085051526</v>
      </c>
      <c r="C6644" s="6">
        <v>0</v>
      </c>
      <c r="D6644" s="6">
        <v>0</v>
      </c>
      <c r="E6644" s="6">
        <v>0</v>
      </c>
      <c r="F6644" s="11" t="s">
        <v>7</v>
      </c>
    </row>
    <row r="6645" spans="1:6">
      <c r="A6645" s="5" t="str">
        <f t="shared" si="114"/>
        <v>202320</v>
      </c>
      <c r="B6645" s="5" t="str">
        <f>"23085051725"</f>
        <v>23085051725</v>
      </c>
      <c r="C6645" s="6">
        <v>0</v>
      </c>
      <c r="D6645" s="6">
        <v>0</v>
      </c>
      <c r="E6645" s="6">
        <v>0</v>
      </c>
      <c r="F6645" s="11" t="s">
        <v>7</v>
      </c>
    </row>
    <row r="6646" spans="1:6">
      <c r="A6646" s="5" t="str">
        <f t="shared" si="114"/>
        <v>202320</v>
      </c>
      <c r="B6646" s="5" t="str">
        <f>"23085052203"</f>
        <v>23085052203</v>
      </c>
      <c r="C6646" s="6">
        <v>0</v>
      </c>
      <c r="D6646" s="6">
        <v>0</v>
      </c>
      <c r="E6646" s="6">
        <v>0</v>
      </c>
      <c r="F6646" s="11" t="s">
        <v>7</v>
      </c>
    </row>
    <row r="6647" spans="1:6">
      <c r="A6647" s="5" t="str">
        <f t="shared" si="114"/>
        <v>202320</v>
      </c>
      <c r="B6647" s="5" t="str">
        <f>"23085051818"</f>
        <v>23085051818</v>
      </c>
      <c r="C6647" s="6">
        <v>0</v>
      </c>
      <c r="D6647" s="6">
        <v>0</v>
      </c>
      <c r="E6647" s="6">
        <v>0</v>
      </c>
      <c r="F6647" s="11" t="s">
        <v>7</v>
      </c>
    </row>
    <row r="6648" spans="1:6">
      <c r="A6648" s="5" t="str">
        <f t="shared" si="114"/>
        <v>202320</v>
      </c>
      <c r="B6648" s="5" t="str">
        <f>"23085050417"</f>
        <v>23085050417</v>
      </c>
      <c r="C6648" s="6">
        <v>0</v>
      </c>
      <c r="D6648" s="6">
        <v>0</v>
      </c>
      <c r="E6648" s="6">
        <v>0</v>
      </c>
      <c r="F6648" s="11" t="s">
        <v>7</v>
      </c>
    </row>
    <row r="6649" spans="1:6">
      <c r="A6649" s="5" t="str">
        <f t="shared" si="114"/>
        <v>202320</v>
      </c>
      <c r="B6649" s="5" t="str">
        <f>"23085051014"</f>
        <v>23085051014</v>
      </c>
      <c r="C6649" s="6">
        <v>0</v>
      </c>
      <c r="D6649" s="6">
        <v>0</v>
      </c>
      <c r="E6649" s="6">
        <v>0</v>
      </c>
      <c r="F6649" s="11" t="s">
        <v>7</v>
      </c>
    </row>
    <row r="6650" spans="1:6">
      <c r="A6650" s="5" t="str">
        <f t="shared" si="114"/>
        <v>202320</v>
      </c>
      <c r="B6650" s="5" t="str">
        <f>"23085051016"</f>
        <v>23085051016</v>
      </c>
      <c r="C6650" s="6">
        <v>0</v>
      </c>
      <c r="D6650" s="6">
        <v>0</v>
      </c>
      <c r="E6650" s="6">
        <v>0</v>
      </c>
      <c r="F6650" s="11" t="s">
        <v>7</v>
      </c>
    </row>
    <row r="6651" spans="1:6">
      <c r="A6651" s="5" t="str">
        <f t="shared" si="114"/>
        <v>202320</v>
      </c>
      <c r="B6651" s="5" t="str">
        <f>"23085052311"</f>
        <v>23085052311</v>
      </c>
      <c r="C6651" s="6">
        <v>0</v>
      </c>
      <c r="D6651" s="6">
        <v>0</v>
      </c>
      <c r="E6651" s="6">
        <v>0</v>
      </c>
      <c r="F6651" s="11" t="s">
        <v>7</v>
      </c>
    </row>
    <row r="6652" spans="1:6">
      <c r="A6652" s="5" t="str">
        <f t="shared" si="114"/>
        <v>202320</v>
      </c>
      <c r="B6652" s="5" t="str">
        <f>"23085052112"</f>
        <v>23085052112</v>
      </c>
      <c r="C6652" s="6">
        <v>0</v>
      </c>
      <c r="D6652" s="6">
        <v>0</v>
      </c>
      <c r="E6652" s="6">
        <v>0</v>
      </c>
      <c r="F6652" s="11" t="s">
        <v>7</v>
      </c>
    </row>
    <row r="6653" spans="1:6">
      <c r="A6653" s="5" t="str">
        <f t="shared" si="114"/>
        <v>202320</v>
      </c>
      <c r="B6653" s="5" t="str">
        <f>"23085051519"</f>
        <v>23085051519</v>
      </c>
      <c r="C6653" s="6">
        <v>0</v>
      </c>
      <c r="D6653" s="6">
        <v>0</v>
      </c>
      <c r="E6653" s="6">
        <v>0</v>
      </c>
      <c r="F6653" s="11" t="s">
        <v>7</v>
      </c>
    </row>
    <row r="6654" spans="1:6">
      <c r="A6654" s="5" t="str">
        <f t="shared" si="114"/>
        <v>202320</v>
      </c>
      <c r="B6654" s="5" t="str">
        <f>"23085052022"</f>
        <v>23085052022</v>
      </c>
      <c r="C6654" s="6">
        <v>0</v>
      </c>
      <c r="D6654" s="6">
        <v>0</v>
      </c>
      <c r="E6654" s="6">
        <v>0</v>
      </c>
      <c r="F6654" s="11" t="s">
        <v>7</v>
      </c>
    </row>
    <row r="6655" spans="1:6">
      <c r="A6655" s="5" t="str">
        <f t="shared" si="114"/>
        <v>202320</v>
      </c>
      <c r="B6655" s="5" t="str">
        <f>"23085051813"</f>
        <v>23085051813</v>
      </c>
      <c r="C6655" s="6">
        <v>0</v>
      </c>
      <c r="D6655" s="6">
        <v>0</v>
      </c>
      <c r="E6655" s="6">
        <v>0</v>
      </c>
      <c r="F6655" s="11" t="s">
        <v>7</v>
      </c>
    </row>
    <row r="6656" spans="1:6">
      <c r="A6656" s="5" t="str">
        <f t="shared" si="114"/>
        <v>202320</v>
      </c>
      <c r="B6656" s="5" t="str">
        <f>"23085051422"</f>
        <v>23085051422</v>
      </c>
      <c r="C6656" s="6">
        <v>0</v>
      </c>
      <c r="D6656" s="6">
        <v>0</v>
      </c>
      <c r="E6656" s="6">
        <v>0</v>
      </c>
      <c r="F6656" s="11" t="s">
        <v>7</v>
      </c>
    </row>
    <row r="6657" spans="1:6">
      <c r="A6657" s="5" t="str">
        <f t="shared" si="114"/>
        <v>202320</v>
      </c>
      <c r="B6657" s="5" t="str">
        <f>"23085051027"</f>
        <v>23085051027</v>
      </c>
      <c r="C6657" s="6">
        <v>0</v>
      </c>
      <c r="D6657" s="6">
        <v>0</v>
      </c>
      <c r="E6657" s="6">
        <v>0</v>
      </c>
      <c r="F6657" s="11" t="s">
        <v>7</v>
      </c>
    </row>
    <row r="6658" spans="1:6">
      <c r="A6658" s="5" t="str">
        <f t="shared" si="114"/>
        <v>202320</v>
      </c>
      <c r="B6658" s="5" t="str">
        <f>"23085051010"</f>
        <v>23085051010</v>
      </c>
      <c r="C6658" s="6">
        <v>0</v>
      </c>
      <c r="D6658" s="6">
        <v>0</v>
      </c>
      <c r="E6658" s="6">
        <v>0</v>
      </c>
      <c r="F6658" s="11" t="s">
        <v>7</v>
      </c>
    </row>
    <row r="6659" spans="1:6">
      <c r="A6659" s="5" t="str">
        <f t="shared" si="114"/>
        <v>202320</v>
      </c>
      <c r="B6659" s="5" t="str">
        <f>"23085051602"</f>
        <v>23085051602</v>
      </c>
      <c r="C6659" s="6">
        <v>0</v>
      </c>
      <c r="D6659" s="6">
        <v>0</v>
      </c>
      <c r="E6659" s="6">
        <v>0</v>
      </c>
      <c r="F6659" s="11" t="s">
        <v>7</v>
      </c>
    </row>
    <row r="6660" spans="1:6">
      <c r="A6660" s="5" t="str">
        <f t="shared" si="114"/>
        <v>202320</v>
      </c>
      <c r="B6660" s="5" t="str">
        <f>"23085050721"</f>
        <v>23085050721</v>
      </c>
      <c r="C6660" s="6">
        <v>0</v>
      </c>
      <c r="D6660" s="6">
        <v>0</v>
      </c>
      <c r="E6660" s="6">
        <v>0</v>
      </c>
      <c r="F6660" s="11" t="s">
        <v>7</v>
      </c>
    </row>
    <row r="6661" spans="1:6">
      <c r="A6661" s="5" t="str">
        <f t="shared" si="114"/>
        <v>202320</v>
      </c>
      <c r="B6661" s="5" t="str">
        <f>"23085050615"</f>
        <v>23085050615</v>
      </c>
      <c r="C6661" s="6">
        <v>0</v>
      </c>
      <c r="D6661" s="6">
        <v>0</v>
      </c>
      <c r="E6661" s="6">
        <v>0</v>
      </c>
      <c r="F6661" s="11" t="s">
        <v>7</v>
      </c>
    </row>
    <row r="6662" spans="1:6">
      <c r="A6662" s="5" t="str">
        <f t="shared" si="114"/>
        <v>202320</v>
      </c>
      <c r="B6662" s="5" t="str">
        <f>"23085051609"</f>
        <v>23085051609</v>
      </c>
      <c r="C6662" s="6">
        <v>0</v>
      </c>
      <c r="D6662" s="6">
        <v>0</v>
      </c>
      <c r="E6662" s="6">
        <v>0</v>
      </c>
      <c r="F6662" s="11" t="s">
        <v>7</v>
      </c>
    </row>
    <row r="6663" spans="1:6">
      <c r="A6663" s="5" t="str">
        <f t="shared" si="114"/>
        <v>202320</v>
      </c>
      <c r="B6663" s="5" t="str">
        <f>"23085052230"</f>
        <v>23085052230</v>
      </c>
      <c r="C6663" s="6">
        <v>0</v>
      </c>
      <c r="D6663" s="6">
        <v>0</v>
      </c>
      <c r="E6663" s="6">
        <v>0</v>
      </c>
      <c r="F6663" s="11" t="s">
        <v>7</v>
      </c>
    </row>
    <row r="6664" spans="1:6">
      <c r="A6664" s="5" t="str">
        <f t="shared" si="114"/>
        <v>202320</v>
      </c>
      <c r="B6664" s="5" t="str">
        <f>"23085052126"</f>
        <v>23085052126</v>
      </c>
      <c r="C6664" s="6">
        <v>0</v>
      </c>
      <c r="D6664" s="6">
        <v>0</v>
      </c>
      <c r="E6664" s="6">
        <v>0</v>
      </c>
      <c r="F6664" s="11" t="s">
        <v>7</v>
      </c>
    </row>
    <row r="6665" spans="1:6">
      <c r="A6665" s="5" t="str">
        <f t="shared" si="114"/>
        <v>202320</v>
      </c>
      <c r="B6665" s="5" t="str">
        <f>"23085050517"</f>
        <v>23085050517</v>
      </c>
      <c r="C6665" s="6">
        <v>0</v>
      </c>
      <c r="D6665" s="6">
        <v>0</v>
      </c>
      <c r="E6665" s="6">
        <v>0</v>
      </c>
      <c r="F6665" s="11" t="s">
        <v>7</v>
      </c>
    </row>
    <row r="6666" spans="1:6">
      <c r="A6666" s="5" t="str">
        <f t="shared" si="114"/>
        <v>202320</v>
      </c>
      <c r="B6666" s="5" t="str">
        <f>"23085050509"</f>
        <v>23085050509</v>
      </c>
      <c r="C6666" s="6">
        <v>0</v>
      </c>
      <c r="D6666" s="6">
        <v>0</v>
      </c>
      <c r="E6666" s="6">
        <v>0</v>
      </c>
      <c r="F6666" s="11" t="s">
        <v>7</v>
      </c>
    </row>
    <row r="6667" spans="1:6">
      <c r="A6667" s="5" t="str">
        <f t="shared" si="114"/>
        <v>202320</v>
      </c>
      <c r="B6667" s="5" t="str">
        <f>"23085052113"</f>
        <v>23085052113</v>
      </c>
      <c r="C6667" s="6">
        <v>0</v>
      </c>
      <c r="D6667" s="6">
        <v>0</v>
      </c>
      <c r="E6667" s="6">
        <v>0</v>
      </c>
      <c r="F6667" s="11" t="s">
        <v>7</v>
      </c>
    </row>
    <row r="6668" spans="1:6">
      <c r="A6668" s="5" t="str">
        <f t="shared" si="114"/>
        <v>202320</v>
      </c>
      <c r="B6668" s="5" t="str">
        <f>"23085051311"</f>
        <v>23085051311</v>
      </c>
      <c r="C6668" s="6">
        <v>0</v>
      </c>
      <c r="D6668" s="6">
        <v>0</v>
      </c>
      <c r="E6668" s="6">
        <v>0</v>
      </c>
      <c r="F6668" s="11" t="s">
        <v>7</v>
      </c>
    </row>
    <row r="6669" spans="1:6">
      <c r="A6669" s="5" t="str">
        <f t="shared" si="114"/>
        <v>202320</v>
      </c>
      <c r="B6669" s="5" t="str">
        <f>"23085050907"</f>
        <v>23085050907</v>
      </c>
      <c r="C6669" s="6">
        <v>0</v>
      </c>
      <c r="D6669" s="6">
        <v>0</v>
      </c>
      <c r="E6669" s="6">
        <v>0</v>
      </c>
      <c r="F6669" s="11" t="s">
        <v>7</v>
      </c>
    </row>
    <row r="6670" spans="1:6">
      <c r="A6670" s="5" t="str">
        <f t="shared" si="114"/>
        <v>202320</v>
      </c>
      <c r="B6670" s="5" t="str">
        <f>"23085052302"</f>
        <v>23085052302</v>
      </c>
      <c r="C6670" s="6">
        <v>0</v>
      </c>
      <c r="D6670" s="6">
        <v>0</v>
      </c>
      <c r="E6670" s="6">
        <v>0</v>
      </c>
      <c r="F6670" s="11" t="s">
        <v>7</v>
      </c>
    </row>
    <row r="6671" spans="1:6">
      <c r="A6671" s="5" t="str">
        <f t="shared" si="114"/>
        <v>202320</v>
      </c>
      <c r="B6671" s="5" t="str">
        <f>"23085051716"</f>
        <v>23085051716</v>
      </c>
      <c r="C6671" s="6">
        <v>0</v>
      </c>
      <c r="D6671" s="6">
        <v>0</v>
      </c>
      <c r="E6671" s="6">
        <v>0</v>
      </c>
      <c r="F6671" s="11" t="s">
        <v>7</v>
      </c>
    </row>
    <row r="6672" spans="1:6">
      <c r="A6672" s="5" t="str">
        <f t="shared" si="114"/>
        <v>202320</v>
      </c>
      <c r="B6672" s="5" t="str">
        <f>"23085052010"</f>
        <v>23085052010</v>
      </c>
      <c r="C6672" s="6">
        <v>0</v>
      </c>
      <c r="D6672" s="6">
        <v>0</v>
      </c>
      <c r="E6672" s="6">
        <v>0</v>
      </c>
      <c r="F6672" s="11" t="s">
        <v>7</v>
      </c>
    </row>
    <row r="6673" spans="1:6">
      <c r="A6673" s="5" t="str">
        <f t="shared" si="114"/>
        <v>202320</v>
      </c>
      <c r="B6673" s="5" t="str">
        <f>"23085051012"</f>
        <v>23085051012</v>
      </c>
      <c r="C6673" s="6">
        <v>0</v>
      </c>
      <c r="D6673" s="6">
        <v>0</v>
      </c>
      <c r="E6673" s="6">
        <v>0</v>
      </c>
      <c r="F6673" s="11" t="s">
        <v>7</v>
      </c>
    </row>
    <row r="6674" spans="1:6">
      <c r="A6674" s="5" t="str">
        <f t="shared" si="114"/>
        <v>202320</v>
      </c>
      <c r="B6674" s="5" t="str">
        <f>"23085051915"</f>
        <v>23085051915</v>
      </c>
      <c r="C6674" s="6">
        <v>0</v>
      </c>
      <c r="D6674" s="6">
        <v>0</v>
      </c>
      <c r="E6674" s="6">
        <v>0</v>
      </c>
      <c r="F6674" s="11" t="s">
        <v>7</v>
      </c>
    </row>
    <row r="6675" spans="1:6">
      <c r="A6675" s="5" t="str">
        <f t="shared" si="114"/>
        <v>202320</v>
      </c>
      <c r="B6675" s="5" t="str">
        <f>"23085051924"</f>
        <v>23085051924</v>
      </c>
      <c r="C6675" s="6">
        <v>0</v>
      </c>
      <c r="D6675" s="6">
        <v>0</v>
      </c>
      <c r="E6675" s="6">
        <v>0</v>
      </c>
      <c r="F6675" s="11" t="s">
        <v>7</v>
      </c>
    </row>
    <row r="6676" spans="1:6">
      <c r="A6676" s="5" t="str">
        <f t="shared" si="114"/>
        <v>202320</v>
      </c>
      <c r="B6676" s="5" t="str">
        <f>"23085050917"</f>
        <v>23085050917</v>
      </c>
      <c r="C6676" s="6">
        <v>0</v>
      </c>
      <c r="D6676" s="6">
        <v>0</v>
      </c>
      <c r="E6676" s="6">
        <v>0</v>
      </c>
      <c r="F6676" s="11" t="s">
        <v>7</v>
      </c>
    </row>
    <row r="6677" spans="1:6">
      <c r="A6677" s="5" t="str">
        <f t="shared" si="114"/>
        <v>202320</v>
      </c>
      <c r="B6677" s="5" t="str">
        <f>"23085051212"</f>
        <v>23085051212</v>
      </c>
      <c r="C6677" s="6">
        <v>0</v>
      </c>
      <c r="D6677" s="6">
        <v>0</v>
      </c>
      <c r="E6677" s="6">
        <v>0</v>
      </c>
      <c r="F6677" s="11" t="s">
        <v>7</v>
      </c>
    </row>
    <row r="6678" spans="1:6">
      <c r="A6678" s="5" t="str">
        <f t="shared" si="114"/>
        <v>202320</v>
      </c>
      <c r="B6678" s="5" t="str">
        <f>"23085052305"</f>
        <v>23085052305</v>
      </c>
      <c r="C6678" s="6">
        <v>0</v>
      </c>
      <c r="D6678" s="6">
        <v>0</v>
      </c>
      <c r="E6678" s="6">
        <v>0</v>
      </c>
      <c r="F6678" s="11" t="s">
        <v>7</v>
      </c>
    </row>
    <row r="6679" spans="1:6">
      <c r="A6679" s="5" t="str">
        <f t="shared" si="114"/>
        <v>202320</v>
      </c>
      <c r="B6679" s="5" t="str">
        <f>"23085051229"</f>
        <v>23085051229</v>
      </c>
      <c r="C6679" s="6">
        <v>0</v>
      </c>
      <c r="D6679" s="6">
        <v>0</v>
      </c>
      <c r="E6679" s="6">
        <v>0</v>
      </c>
      <c r="F6679" s="11" t="s">
        <v>7</v>
      </c>
    </row>
    <row r="6680" spans="1:6">
      <c r="A6680" s="5" t="str">
        <f t="shared" si="114"/>
        <v>202320</v>
      </c>
      <c r="B6680" s="5" t="str">
        <f>"23085050601"</f>
        <v>23085050601</v>
      </c>
      <c r="C6680" s="6">
        <v>0</v>
      </c>
      <c r="D6680" s="6">
        <v>0</v>
      </c>
      <c r="E6680" s="6">
        <v>0</v>
      </c>
      <c r="F6680" s="11" t="s">
        <v>7</v>
      </c>
    </row>
    <row r="6681" spans="1:6">
      <c r="A6681" s="5" t="str">
        <f t="shared" si="114"/>
        <v>202320</v>
      </c>
      <c r="B6681" s="5" t="str">
        <f>"23085052519"</f>
        <v>23085052519</v>
      </c>
      <c r="C6681" s="6">
        <v>0</v>
      </c>
      <c r="D6681" s="6">
        <v>0</v>
      </c>
      <c r="E6681" s="6">
        <v>0</v>
      </c>
      <c r="F6681" s="11" t="s">
        <v>7</v>
      </c>
    </row>
    <row r="6682" spans="1:6">
      <c r="A6682" s="5" t="str">
        <f t="shared" si="114"/>
        <v>202320</v>
      </c>
      <c r="B6682" s="5" t="str">
        <f>"23085052104"</f>
        <v>23085052104</v>
      </c>
      <c r="C6682" s="6">
        <v>0</v>
      </c>
      <c r="D6682" s="6">
        <v>0</v>
      </c>
      <c r="E6682" s="6">
        <v>0</v>
      </c>
      <c r="F6682" s="11" t="s">
        <v>7</v>
      </c>
    </row>
    <row r="6683" spans="1:6">
      <c r="A6683" s="5" t="str">
        <f t="shared" si="114"/>
        <v>202320</v>
      </c>
      <c r="B6683" s="5" t="str">
        <f>"23085050730"</f>
        <v>23085050730</v>
      </c>
      <c r="C6683" s="6">
        <v>0</v>
      </c>
      <c r="D6683" s="6">
        <v>0</v>
      </c>
      <c r="E6683" s="6">
        <v>0</v>
      </c>
      <c r="F6683" s="11" t="s">
        <v>7</v>
      </c>
    </row>
    <row r="6684" spans="1:6">
      <c r="A6684" s="5" t="str">
        <f t="shared" si="114"/>
        <v>202320</v>
      </c>
      <c r="B6684" s="5" t="str">
        <f>"23085051305"</f>
        <v>23085051305</v>
      </c>
      <c r="C6684" s="6">
        <v>0</v>
      </c>
      <c r="D6684" s="6">
        <v>0</v>
      </c>
      <c r="E6684" s="6">
        <v>0</v>
      </c>
      <c r="F6684" s="11" t="s">
        <v>7</v>
      </c>
    </row>
    <row r="6685" spans="1:6">
      <c r="A6685" s="5" t="str">
        <f t="shared" si="114"/>
        <v>202320</v>
      </c>
      <c r="B6685" s="5" t="str">
        <f>"23085050916"</f>
        <v>23085050916</v>
      </c>
      <c r="C6685" s="6">
        <v>0</v>
      </c>
      <c r="D6685" s="6">
        <v>0</v>
      </c>
      <c r="E6685" s="6">
        <v>0</v>
      </c>
      <c r="F6685" s="11" t="s">
        <v>7</v>
      </c>
    </row>
    <row r="6686" spans="1:6">
      <c r="A6686" s="5" t="str">
        <f t="shared" si="114"/>
        <v>202320</v>
      </c>
      <c r="B6686" s="5" t="str">
        <f>"23085052129"</f>
        <v>23085052129</v>
      </c>
      <c r="C6686" s="6">
        <v>0</v>
      </c>
      <c r="D6686" s="6">
        <v>0</v>
      </c>
      <c r="E6686" s="6">
        <v>0</v>
      </c>
      <c r="F6686" s="11" t="s">
        <v>7</v>
      </c>
    </row>
    <row r="6687" spans="1:6">
      <c r="A6687" s="5" t="str">
        <f t="shared" ref="A6687:A6694" si="115">"202320"</f>
        <v>202320</v>
      </c>
      <c r="B6687" s="5" t="str">
        <f>"23085051307"</f>
        <v>23085051307</v>
      </c>
      <c r="C6687" s="6">
        <v>0</v>
      </c>
      <c r="D6687" s="6">
        <v>0</v>
      </c>
      <c r="E6687" s="6">
        <v>0</v>
      </c>
      <c r="F6687" s="11" t="s">
        <v>7</v>
      </c>
    </row>
    <row r="6688" spans="1:6">
      <c r="A6688" s="5" t="str">
        <f t="shared" si="115"/>
        <v>202320</v>
      </c>
      <c r="B6688" s="5" t="str">
        <f>"23085050718"</f>
        <v>23085050718</v>
      </c>
      <c r="C6688" s="6">
        <v>0</v>
      </c>
      <c r="D6688" s="6">
        <v>0</v>
      </c>
      <c r="E6688" s="6">
        <v>0</v>
      </c>
      <c r="F6688" s="11" t="s">
        <v>7</v>
      </c>
    </row>
    <row r="6689" spans="1:6">
      <c r="A6689" s="5" t="str">
        <f t="shared" si="115"/>
        <v>202320</v>
      </c>
      <c r="B6689" s="5" t="str">
        <f>"23085051007"</f>
        <v>23085051007</v>
      </c>
      <c r="C6689" s="6">
        <v>0</v>
      </c>
      <c r="D6689" s="6">
        <v>0</v>
      </c>
      <c r="E6689" s="6">
        <v>0</v>
      </c>
      <c r="F6689" s="11" t="s">
        <v>7</v>
      </c>
    </row>
    <row r="6690" spans="1:6">
      <c r="A6690" s="5" t="str">
        <f t="shared" si="115"/>
        <v>202320</v>
      </c>
      <c r="B6690" s="5" t="str">
        <f>"23085050806"</f>
        <v>23085050806</v>
      </c>
      <c r="C6690" s="6">
        <v>0</v>
      </c>
      <c r="D6690" s="6">
        <v>0</v>
      </c>
      <c r="E6690" s="6">
        <v>0</v>
      </c>
      <c r="F6690" s="11" t="s">
        <v>7</v>
      </c>
    </row>
    <row r="6691" spans="1:6">
      <c r="A6691" s="5" t="str">
        <f t="shared" si="115"/>
        <v>202320</v>
      </c>
      <c r="B6691" s="5" t="str">
        <f>"23085051621"</f>
        <v>23085051621</v>
      </c>
      <c r="C6691" s="6">
        <v>0</v>
      </c>
      <c r="D6691" s="6">
        <v>0</v>
      </c>
      <c r="E6691" s="6">
        <v>0</v>
      </c>
      <c r="F6691" s="11" t="s">
        <v>7</v>
      </c>
    </row>
    <row r="6692" spans="1:6">
      <c r="A6692" s="5" t="str">
        <f t="shared" si="115"/>
        <v>202320</v>
      </c>
      <c r="B6692" s="5" t="str">
        <f>"23085050902"</f>
        <v>23085050902</v>
      </c>
      <c r="C6692" s="6">
        <v>0</v>
      </c>
      <c r="D6692" s="6">
        <v>0</v>
      </c>
      <c r="E6692" s="6">
        <v>0</v>
      </c>
      <c r="F6692" s="11" t="s">
        <v>7</v>
      </c>
    </row>
    <row r="6693" spans="1:6">
      <c r="A6693" s="5" t="str">
        <f t="shared" si="115"/>
        <v>202320</v>
      </c>
      <c r="B6693" s="5" t="str">
        <f>"23085051910"</f>
        <v>23085051910</v>
      </c>
      <c r="C6693" s="6">
        <v>0</v>
      </c>
      <c r="D6693" s="6">
        <v>0</v>
      </c>
      <c r="E6693" s="6">
        <v>0</v>
      </c>
      <c r="F6693" s="11" t="s">
        <v>7</v>
      </c>
    </row>
    <row r="6694" spans="1:6">
      <c r="A6694" s="5" t="str">
        <f t="shared" si="115"/>
        <v>202320</v>
      </c>
      <c r="B6694" s="5" t="str">
        <f>"23085051125"</f>
        <v>23085051125</v>
      </c>
      <c r="C6694" s="6">
        <v>0</v>
      </c>
      <c r="D6694" s="6">
        <v>0</v>
      </c>
      <c r="E6694" s="6">
        <v>0</v>
      </c>
      <c r="F6694" s="11" t="s">
        <v>7</v>
      </c>
    </row>
    <row r="6695" spans="1:6">
      <c r="A6695" s="5" t="str">
        <f t="shared" ref="A6695:A6758" si="116">"202321"</f>
        <v>202321</v>
      </c>
      <c r="B6695" s="5" t="str">
        <f>"23085052829"</f>
        <v>23085052829</v>
      </c>
      <c r="C6695" s="6">
        <v>112.5</v>
      </c>
      <c r="D6695" s="6">
        <v>126</v>
      </c>
      <c r="E6695" s="6">
        <v>238.5</v>
      </c>
      <c r="F6695" s="11"/>
    </row>
    <row r="6696" spans="1:6">
      <c r="A6696" s="5" t="str">
        <f t="shared" si="116"/>
        <v>202321</v>
      </c>
      <c r="B6696" s="5" t="str">
        <f>"23085052726"</f>
        <v>23085052726</v>
      </c>
      <c r="C6696" s="6">
        <v>121.5</v>
      </c>
      <c r="D6696" s="6">
        <v>116</v>
      </c>
      <c r="E6696" s="6">
        <v>237.5</v>
      </c>
      <c r="F6696" s="11"/>
    </row>
    <row r="6697" spans="1:6">
      <c r="A6697" s="5" t="str">
        <f t="shared" si="116"/>
        <v>202321</v>
      </c>
      <c r="B6697" s="5" t="str">
        <f>"23085053104"</f>
        <v>23085053104</v>
      </c>
      <c r="C6697" s="6">
        <v>121.5</v>
      </c>
      <c r="D6697" s="6">
        <v>115</v>
      </c>
      <c r="E6697" s="6">
        <v>236.5</v>
      </c>
      <c r="F6697" s="11"/>
    </row>
    <row r="6698" spans="1:6">
      <c r="A6698" s="5" t="str">
        <f t="shared" si="116"/>
        <v>202321</v>
      </c>
      <c r="B6698" s="5" t="str">
        <f>"23085052624"</f>
        <v>23085052624</v>
      </c>
      <c r="C6698" s="6">
        <v>117</v>
      </c>
      <c r="D6698" s="6">
        <v>118.5</v>
      </c>
      <c r="E6698" s="6">
        <v>235.5</v>
      </c>
      <c r="F6698" s="11"/>
    </row>
    <row r="6699" spans="1:6">
      <c r="A6699" s="5" t="str">
        <f t="shared" si="116"/>
        <v>202321</v>
      </c>
      <c r="B6699" s="5" t="str">
        <f>"23085052609"</f>
        <v>23085052609</v>
      </c>
      <c r="C6699" s="6">
        <v>121.5</v>
      </c>
      <c r="D6699" s="6">
        <v>114</v>
      </c>
      <c r="E6699" s="6">
        <v>235.5</v>
      </c>
      <c r="F6699" s="11"/>
    </row>
    <row r="6700" spans="1:6">
      <c r="A6700" s="5" t="str">
        <f t="shared" si="116"/>
        <v>202321</v>
      </c>
      <c r="B6700" s="5" t="str">
        <f>"23085053123"</f>
        <v>23085053123</v>
      </c>
      <c r="C6700" s="6">
        <v>121.5</v>
      </c>
      <c r="D6700" s="6">
        <v>113.5</v>
      </c>
      <c r="E6700" s="6">
        <v>235</v>
      </c>
      <c r="F6700" s="11"/>
    </row>
    <row r="6701" spans="1:6">
      <c r="A6701" s="5" t="str">
        <f t="shared" si="116"/>
        <v>202321</v>
      </c>
      <c r="B6701" s="5" t="str">
        <f>"23085052604"</f>
        <v>23085052604</v>
      </c>
      <c r="C6701" s="6">
        <v>115.5</v>
      </c>
      <c r="D6701" s="6">
        <v>119</v>
      </c>
      <c r="E6701" s="6">
        <v>234.5</v>
      </c>
      <c r="F6701" s="11"/>
    </row>
    <row r="6702" spans="1:6">
      <c r="A6702" s="5" t="str">
        <f t="shared" si="116"/>
        <v>202321</v>
      </c>
      <c r="B6702" s="5" t="str">
        <f>"23085052905"</f>
        <v>23085052905</v>
      </c>
      <c r="C6702" s="6">
        <v>120</v>
      </c>
      <c r="D6702" s="6">
        <v>114</v>
      </c>
      <c r="E6702" s="6">
        <v>234</v>
      </c>
      <c r="F6702" s="11"/>
    </row>
    <row r="6703" spans="1:6">
      <c r="A6703" s="5" t="str">
        <f t="shared" si="116"/>
        <v>202321</v>
      </c>
      <c r="B6703" s="5" t="str">
        <f>"23085052824"</f>
        <v>23085052824</v>
      </c>
      <c r="C6703" s="6">
        <v>111</v>
      </c>
      <c r="D6703" s="6">
        <v>121.5</v>
      </c>
      <c r="E6703" s="6">
        <v>232.5</v>
      </c>
      <c r="F6703" s="11"/>
    </row>
    <row r="6704" spans="1:6">
      <c r="A6704" s="5" t="str">
        <f t="shared" si="116"/>
        <v>202321</v>
      </c>
      <c r="B6704" s="5" t="str">
        <f>"23085052913"</f>
        <v>23085052913</v>
      </c>
      <c r="C6704" s="6">
        <v>111</v>
      </c>
      <c r="D6704" s="6">
        <v>121.5</v>
      </c>
      <c r="E6704" s="6">
        <v>232.5</v>
      </c>
      <c r="F6704" s="11"/>
    </row>
    <row r="6705" spans="1:6">
      <c r="A6705" s="5" t="str">
        <f t="shared" si="116"/>
        <v>202321</v>
      </c>
      <c r="B6705" s="5" t="str">
        <f>"23085053027"</f>
        <v>23085053027</v>
      </c>
      <c r="C6705" s="6">
        <v>121.5</v>
      </c>
      <c r="D6705" s="6">
        <v>110</v>
      </c>
      <c r="E6705" s="6">
        <v>231.5</v>
      </c>
      <c r="F6705" s="11"/>
    </row>
    <row r="6706" spans="1:6">
      <c r="A6706" s="5" t="str">
        <f t="shared" si="116"/>
        <v>202321</v>
      </c>
      <c r="B6706" s="5" t="str">
        <f>"23085053102"</f>
        <v>23085053102</v>
      </c>
      <c r="C6706" s="6">
        <v>112.5</v>
      </c>
      <c r="D6706" s="6">
        <v>118.5</v>
      </c>
      <c r="E6706" s="6">
        <v>231</v>
      </c>
      <c r="F6706" s="11"/>
    </row>
    <row r="6707" spans="1:6">
      <c r="A6707" s="5" t="str">
        <f t="shared" si="116"/>
        <v>202321</v>
      </c>
      <c r="B6707" s="5" t="str">
        <f>"23085052629"</f>
        <v>23085052629</v>
      </c>
      <c r="C6707" s="6">
        <v>115.5</v>
      </c>
      <c r="D6707" s="6">
        <v>115.5</v>
      </c>
      <c r="E6707" s="6">
        <v>231</v>
      </c>
      <c r="F6707" s="11"/>
    </row>
    <row r="6708" spans="1:6">
      <c r="A6708" s="5" t="str">
        <f t="shared" si="116"/>
        <v>202321</v>
      </c>
      <c r="B6708" s="5" t="str">
        <f>"23085052927"</f>
        <v>23085052927</v>
      </c>
      <c r="C6708" s="6">
        <v>114</v>
      </c>
      <c r="D6708" s="6">
        <v>117</v>
      </c>
      <c r="E6708" s="6">
        <v>231</v>
      </c>
      <c r="F6708" s="11"/>
    </row>
    <row r="6709" spans="1:6">
      <c r="A6709" s="5" t="str">
        <f t="shared" si="116"/>
        <v>202321</v>
      </c>
      <c r="B6709" s="5" t="str">
        <f>"23085052911"</f>
        <v>23085052911</v>
      </c>
      <c r="C6709" s="6">
        <v>109.5</v>
      </c>
      <c r="D6709" s="6">
        <v>121</v>
      </c>
      <c r="E6709" s="6">
        <v>230.5</v>
      </c>
      <c r="F6709" s="11"/>
    </row>
    <row r="6710" spans="1:6">
      <c r="A6710" s="5" t="str">
        <f t="shared" si="116"/>
        <v>202321</v>
      </c>
      <c r="B6710" s="5" t="str">
        <f>"23085052901"</f>
        <v>23085052901</v>
      </c>
      <c r="C6710" s="6">
        <v>109.5</v>
      </c>
      <c r="D6710" s="6">
        <v>120.5</v>
      </c>
      <c r="E6710" s="6">
        <v>230</v>
      </c>
      <c r="F6710" s="11"/>
    </row>
    <row r="6711" spans="1:6">
      <c r="A6711" s="5" t="str">
        <f t="shared" si="116"/>
        <v>202321</v>
      </c>
      <c r="B6711" s="5" t="str">
        <f>"23085053204"</f>
        <v>23085053204</v>
      </c>
      <c r="C6711" s="6">
        <v>111</v>
      </c>
      <c r="D6711" s="6">
        <v>119</v>
      </c>
      <c r="E6711" s="6">
        <v>230</v>
      </c>
      <c r="F6711" s="11"/>
    </row>
    <row r="6712" spans="1:6">
      <c r="A6712" s="5" t="str">
        <f t="shared" si="116"/>
        <v>202321</v>
      </c>
      <c r="B6712" s="5" t="str">
        <f>"23085052603"</f>
        <v>23085052603</v>
      </c>
      <c r="C6712" s="6">
        <v>117</v>
      </c>
      <c r="D6712" s="6">
        <v>113</v>
      </c>
      <c r="E6712" s="6">
        <v>230</v>
      </c>
      <c r="F6712" s="11"/>
    </row>
    <row r="6713" spans="1:6">
      <c r="A6713" s="5" t="str">
        <f t="shared" si="116"/>
        <v>202321</v>
      </c>
      <c r="B6713" s="5" t="str">
        <f>"23085052704"</f>
        <v>23085052704</v>
      </c>
      <c r="C6713" s="6">
        <v>115.5</v>
      </c>
      <c r="D6713" s="6">
        <v>113.5</v>
      </c>
      <c r="E6713" s="6">
        <v>229</v>
      </c>
      <c r="F6713" s="11"/>
    </row>
    <row r="6714" spans="1:6">
      <c r="A6714" s="5" t="str">
        <f t="shared" si="116"/>
        <v>202321</v>
      </c>
      <c r="B6714" s="5" t="str">
        <f>"23085052621"</f>
        <v>23085052621</v>
      </c>
      <c r="C6714" s="6">
        <v>118.5</v>
      </c>
      <c r="D6714" s="6">
        <v>110.5</v>
      </c>
      <c r="E6714" s="6">
        <v>229</v>
      </c>
      <c r="F6714" s="11"/>
    </row>
    <row r="6715" spans="1:6">
      <c r="A6715" s="5" t="str">
        <f t="shared" si="116"/>
        <v>202321</v>
      </c>
      <c r="B6715" s="5" t="str">
        <f>"23085052909"</f>
        <v>23085052909</v>
      </c>
      <c r="C6715" s="6">
        <v>111</v>
      </c>
      <c r="D6715" s="6">
        <v>117.5</v>
      </c>
      <c r="E6715" s="6">
        <v>228.5</v>
      </c>
      <c r="F6715" s="11"/>
    </row>
    <row r="6716" spans="1:6">
      <c r="A6716" s="5" t="str">
        <f t="shared" si="116"/>
        <v>202321</v>
      </c>
      <c r="B6716" s="5" t="str">
        <f>"23085052822"</f>
        <v>23085052822</v>
      </c>
      <c r="C6716" s="6">
        <v>105</v>
      </c>
      <c r="D6716" s="6">
        <v>123.5</v>
      </c>
      <c r="E6716" s="6">
        <v>228.5</v>
      </c>
      <c r="F6716" s="11"/>
    </row>
    <row r="6717" spans="1:6">
      <c r="A6717" s="5" t="str">
        <f t="shared" si="116"/>
        <v>202321</v>
      </c>
      <c r="B6717" s="5" t="str">
        <f>"23085052912"</f>
        <v>23085052912</v>
      </c>
      <c r="C6717" s="6">
        <v>112.5</v>
      </c>
      <c r="D6717" s="6">
        <v>115.5</v>
      </c>
      <c r="E6717" s="6">
        <v>228</v>
      </c>
      <c r="F6717" s="11"/>
    </row>
    <row r="6718" spans="1:6">
      <c r="A6718" s="5" t="str">
        <f t="shared" si="116"/>
        <v>202321</v>
      </c>
      <c r="B6718" s="5" t="str">
        <f>"23085052808"</f>
        <v>23085052808</v>
      </c>
      <c r="C6718" s="6">
        <v>109.5</v>
      </c>
      <c r="D6718" s="6">
        <v>118</v>
      </c>
      <c r="E6718" s="6">
        <v>227.5</v>
      </c>
      <c r="F6718" s="11"/>
    </row>
    <row r="6719" spans="1:6">
      <c r="A6719" s="5" t="str">
        <f t="shared" si="116"/>
        <v>202321</v>
      </c>
      <c r="B6719" s="5" t="str">
        <f>"23085052819"</f>
        <v>23085052819</v>
      </c>
      <c r="C6719" s="6">
        <v>108</v>
      </c>
      <c r="D6719" s="6">
        <v>118.5</v>
      </c>
      <c r="E6719" s="6">
        <v>226.5</v>
      </c>
      <c r="F6719" s="11"/>
    </row>
    <row r="6720" spans="1:6">
      <c r="A6720" s="5" t="str">
        <f t="shared" si="116"/>
        <v>202321</v>
      </c>
      <c r="B6720" s="5" t="str">
        <f>"23085052817"</f>
        <v>23085052817</v>
      </c>
      <c r="C6720" s="6">
        <v>100.5</v>
      </c>
      <c r="D6720" s="6">
        <v>126</v>
      </c>
      <c r="E6720" s="6">
        <v>226.5</v>
      </c>
      <c r="F6720" s="11"/>
    </row>
    <row r="6721" spans="1:6">
      <c r="A6721" s="5" t="str">
        <f t="shared" si="116"/>
        <v>202321</v>
      </c>
      <c r="B6721" s="5" t="str">
        <f>"23085053122"</f>
        <v>23085053122</v>
      </c>
      <c r="C6721" s="6">
        <v>106.5</v>
      </c>
      <c r="D6721" s="6">
        <v>119</v>
      </c>
      <c r="E6721" s="6">
        <v>225.5</v>
      </c>
      <c r="F6721" s="11"/>
    </row>
    <row r="6722" spans="1:6">
      <c r="A6722" s="5" t="str">
        <f t="shared" si="116"/>
        <v>202321</v>
      </c>
      <c r="B6722" s="5" t="str">
        <f>"23085052820"</f>
        <v>23085052820</v>
      </c>
      <c r="C6722" s="6">
        <v>112.5</v>
      </c>
      <c r="D6722" s="6">
        <v>113</v>
      </c>
      <c r="E6722" s="6">
        <v>225.5</v>
      </c>
      <c r="F6722" s="11"/>
    </row>
    <row r="6723" spans="1:6">
      <c r="A6723" s="5" t="str">
        <f t="shared" si="116"/>
        <v>202321</v>
      </c>
      <c r="B6723" s="5" t="str">
        <f>"23085052715"</f>
        <v>23085052715</v>
      </c>
      <c r="C6723" s="6">
        <v>111</v>
      </c>
      <c r="D6723" s="6">
        <v>114.5</v>
      </c>
      <c r="E6723" s="6">
        <v>225.5</v>
      </c>
      <c r="F6723" s="11"/>
    </row>
    <row r="6724" spans="1:6">
      <c r="A6724" s="5" t="str">
        <f t="shared" si="116"/>
        <v>202321</v>
      </c>
      <c r="B6724" s="5" t="str">
        <f>"23085053103"</f>
        <v>23085053103</v>
      </c>
      <c r="C6724" s="6">
        <v>103.5</v>
      </c>
      <c r="D6724" s="6">
        <v>121</v>
      </c>
      <c r="E6724" s="6">
        <v>224.5</v>
      </c>
      <c r="F6724" s="11"/>
    </row>
    <row r="6725" spans="1:6">
      <c r="A6725" s="5" t="str">
        <f t="shared" si="116"/>
        <v>202321</v>
      </c>
      <c r="B6725" s="5" t="str">
        <f>"23085052928"</f>
        <v>23085052928</v>
      </c>
      <c r="C6725" s="6">
        <v>106.5</v>
      </c>
      <c r="D6725" s="6">
        <v>118</v>
      </c>
      <c r="E6725" s="6">
        <v>224.5</v>
      </c>
      <c r="F6725" s="11"/>
    </row>
    <row r="6726" spans="1:6">
      <c r="A6726" s="5" t="str">
        <f t="shared" si="116"/>
        <v>202321</v>
      </c>
      <c r="B6726" s="5" t="str">
        <f>"23085052622"</f>
        <v>23085052622</v>
      </c>
      <c r="C6726" s="6">
        <v>108</v>
      </c>
      <c r="D6726" s="6">
        <v>116</v>
      </c>
      <c r="E6726" s="6">
        <v>224</v>
      </c>
      <c r="F6726" s="11"/>
    </row>
    <row r="6727" spans="1:6">
      <c r="A6727" s="5" t="str">
        <f t="shared" si="116"/>
        <v>202321</v>
      </c>
      <c r="B6727" s="5" t="str">
        <f>"23085053130"</f>
        <v>23085053130</v>
      </c>
      <c r="C6727" s="6">
        <v>105</v>
      </c>
      <c r="D6727" s="6">
        <v>119</v>
      </c>
      <c r="E6727" s="6">
        <v>224</v>
      </c>
      <c r="F6727" s="11"/>
    </row>
    <row r="6728" spans="1:6">
      <c r="A6728" s="5" t="str">
        <f t="shared" si="116"/>
        <v>202321</v>
      </c>
      <c r="B6728" s="5" t="str">
        <f>"23085052615"</f>
        <v>23085052615</v>
      </c>
      <c r="C6728" s="6">
        <v>105</v>
      </c>
      <c r="D6728" s="6">
        <v>118.5</v>
      </c>
      <c r="E6728" s="6">
        <v>223.5</v>
      </c>
      <c r="F6728" s="11"/>
    </row>
    <row r="6729" spans="1:6">
      <c r="A6729" s="5" t="str">
        <f t="shared" si="116"/>
        <v>202321</v>
      </c>
      <c r="B6729" s="5" t="str">
        <f>"23085052711"</f>
        <v>23085052711</v>
      </c>
      <c r="C6729" s="6">
        <v>105</v>
      </c>
      <c r="D6729" s="6">
        <v>118.5</v>
      </c>
      <c r="E6729" s="6">
        <v>223.5</v>
      </c>
      <c r="F6729" s="11"/>
    </row>
    <row r="6730" spans="1:6">
      <c r="A6730" s="5" t="str">
        <f t="shared" si="116"/>
        <v>202321</v>
      </c>
      <c r="B6730" s="5" t="str">
        <f>"23085053119"</f>
        <v>23085053119</v>
      </c>
      <c r="C6730" s="6">
        <v>106.5</v>
      </c>
      <c r="D6730" s="6">
        <v>117</v>
      </c>
      <c r="E6730" s="6">
        <v>223.5</v>
      </c>
      <c r="F6730" s="11"/>
    </row>
    <row r="6731" spans="1:6">
      <c r="A6731" s="5" t="str">
        <f t="shared" si="116"/>
        <v>202321</v>
      </c>
      <c r="B6731" s="5" t="str">
        <f>"23085052730"</f>
        <v>23085052730</v>
      </c>
      <c r="C6731" s="6">
        <v>103.5</v>
      </c>
      <c r="D6731" s="6">
        <v>119.5</v>
      </c>
      <c r="E6731" s="6">
        <v>223</v>
      </c>
      <c r="F6731" s="11"/>
    </row>
    <row r="6732" spans="1:6">
      <c r="A6732" s="5" t="str">
        <f t="shared" si="116"/>
        <v>202321</v>
      </c>
      <c r="B6732" s="5" t="str">
        <f>"23085052906"</f>
        <v>23085052906</v>
      </c>
      <c r="C6732" s="6">
        <v>106.5</v>
      </c>
      <c r="D6732" s="6">
        <v>116.5</v>
      </c>
      <c r="E6732" s="6">
        <v>223</v>
      </c>
      <c r="F6732" s="11"/>
    </row>
    <row r="6733" spans="1:6">
      <c r="A6733" s="5" t="str">
        <f t="shared" si="116"/>
        <v>202321</v>
      </c>
      <c r="B6733" s="5" t="str">
        <f>"23085053018"</f>
        <v>23085053018</v>
      </c>
      <c r="C6733" s="6">
        <v>108</v>
      </c>
      <c r="D6733" s="6">
        <v>114.5</v>
      </c>
      <c r="E6733" s="6">
        <v>222.5</v>
      </c>
      <c r="F6733" s="11"/>
    </row>
    <row r="6734" spans="1:6">
      <c r="A6734" s="5" t="str">
        <f t="shared" si="116"/>
        <v>202321</v>
      </c>
      <c r="B6734" s="5" t="str">
        <f>"23085053007"</f>
        <v>23085053007</v>
      </c>
      <c r="C6734" s="6">
        <v>108</v>
      </c>
      <c r="D6734" s="6">
        <v>113.5</v>
      </c>
      <c r="E6734" s="6">
        <v>221.5</v>
      </c>
      <c r="F6734" s="11"/>
    </row>
    <row r="6735" spans="1:6">
      <c r="A6735" s="5" t="str">
        <f t="shared" si="116"/>
        <v>202321</v>
      </c>
      <c r="B6735" s="5" t="str">
        <f>"23085052723"</f>
        <v>23085052723</v>
      </c>
      <c r="C6735" s="6">
        <v>106.5</v>
      </c>
      <c r="D6735" s="6">
        <v>114.5</v>
      </c>
      <c r="E6735" s="6">
        <v>221</v>
      </c>
      <c r="F6735" s="11"/>
    </row>
    <row r="6736" spans="1:6">
      <c r="A6736" s="5" t="str">
        <f t="shared" si="116"/>
        <v>202321</v>
      </c>
      <c r="B6736" s="5" t="str">
        <f>"23085052701"</f>
        <v>23085052701</v>
      </c>
      <c r="C6736" s="6">
        <v>105</v>
      </c>
      <c r="D6736" s="6">
        <v>115.5</v>
      </c>
      <c r="E6736" s="6">
        <v>220.5</v>
      </c>
      <c r="F6736" s="11"/>
    </row>
    <row r="6737" spans="1:6">
      <c r="A6737" s="5" t="str">
        <f t="shared" si="116"/>
        <v>202321</v>
      </c>
      <c r="B6737" s="5" t="str">
        <f>"23085053022"</f>
        <v>23085053022</v>
      </c>
      <c r="C6737" s="6">
        <v>97.5</v>
      </c>
      <c r="D6737" s="6">
        <v>122.5</v>
      </c>
      <c r="E6737" s="6">
        <v>220</v>
      </c>
      <c r="F6737" s="11"/>
    </row>
    <row r="6738" spans="1:6">
      <c r="A6738" s="5" t="str">
        <f t="shared" si="116"/>
        <v>202321</v>
      </c>
      <c r="B6738" s="5" t="str">
        <f>"23085052826"</f>
        <v>23085052826</v>
      </c>
      <c r="C6738" s="6">
        <v>103.5</v>
      </c>
      <c r="D6738" s="6">
        <v>116.5</v>
      </c>
      <c r="E6738" s="6">
        <v>220</v>
      </c>
      <c r="F6738" s="11"/>
    </row>
    <row r="6739" spans="1:6">
      <c r="A6739" s="5" t="str">
        <f t="shared" si="116"/>
        <v>202321</v>
      </c>
      <c r="B6739" s="5" t="str">
        <f>"23085053106"</f>
        <v>23085053106</v>
      </c>
      <c r="C6739" s="6">
        <v>106.5</v>
      </c>
      <c r="D6739" s="6">
        <v>112.5</v>
      </c>
      <c r="E6739" s="6">
        <v>219</v>
      </c>
      <c r="F6739" s="11"/>
    </row>
    <row r="6740" spans="1:6">
      <c r="A6740" s="5" t="str">
        <f t="shared" si="116"/>
        <v>202321</v>
      </c>
      <c r="B6740" s="5" t="str">
        <f>"23085052910"</f>
        <v>23085052910</v>
      </c>
      <c r="C6740" s="6">
        <v>102</v>
      </c>
      <c r="D6740" s="6">
        <v>117</v>
      </c>
      <c r="E6740" s="6">
        <v>219</v>
      </c>
      <c r="F6740" s="11"/>
    </row>
    <row r="6741" spans="1:6">
      <c r="A6741" s="5" t="str">
        <f t="shared" si="116"/>
        <v>202321</v>
      </c>
      <c r="B6741" s="5" t="str">
        <f>"23085052713"</f>
        <v>23085052713</v>
      </c>
      <c r="C6741" s="6">
        <v>96</v>
      </c>
      <c r="D6741" s="6">
        <v>123</v>
      </c>
      <c r="E6741" s="6">
        <v>219</v>
      </c>
      <c r="F6741" s="11"/>
    </row>
    <row r="6742" spans="1:6">
      <c r="A6742" s="5" t="str">
        <f t="shared" si="116"/>
        <v>202321</v>
      </c>
      <c r="B6742" s="5" t="str">
        <f>"23085053028"</f>
        <v>23085053028</v>
      </c>
      <c r="C6742" s="6">
        <v>102</v>
      </c>
      <c r="D6742" s="6">
        <v>117</v>
      </c>
      <c r="E6742" s="6">
        <v>219</v>
      </c>
      <c r="F6742" s="11"/>
    </row>
    <row r="6743" spans="1:6">
      <c r="A6743" s="5" t="str">
        <f t="shared" si="116"/>
        <v>202321</v>
      </c>
      <c r="B6743" s="5" t="str">
        <f>"23085053008"</f>
        <v>23085053008</v>
      </c>
      <c r="C6743" s="6">
        <v>105</v>
      </c>
      <c r="D6743" s="6">
        <v>114</v>
      </c>
      <c r="E6743" s="6">
        <v>219</v>
      </c>
      <c r="F6743" s="11"/>
    </row>
    <row r="6744" spans="1:6">
      <c r="A6744" s="5" t="str">
        <f t="shared" si="116"/>
        <v>202321</v>
      </c>
      <c r="B6744" s="5" t="str">
        <f>"23085052614"</f>
        <v>23085052614</v>
      </c>
      <c r="C6744" s="6">
        <v>102</v>
      </c>
      <c r="D6744" s="6">
        <v>116.5</v>
      </c>
      <c r="E6744" s="6">
        <v>218.5</v>
      </c>
      <c r="F6744" s="11"/>
    </row>
    <row r="6745" spans="1:6">
      <c r="A6745" s="5" t="str">
        <f t="shared" si="116"/>
        <v>202321</v>
      </c>
      <c r="B6745" s="5" t="str">
        <f>"23085052809"</f>
        <v>23085052809</v>
      </c>
      <c r="C6745" s="6">
        <v>97.5</v>
      </c>
      <c r="D6745" s="6">
        <v>121</v>
      </c>
      <c r="E6745" s="6">
        <v>218.5</v>
      </c>
      <c r="F6745" s="11"/>
    </row>
    <row r="6746" spans="1:6">
      <c r="A6746" s="5" t="str">
        <f t="shared" si="116"/>
        <v>202321</v>
      </c>
      <c r="B6746" s="5" t="str">
        <f>"23085052804"</f>
        <v>23085052804</v>
      </c>
      <c r="C6746" s="6">
        <v>103.5</v>
      </c>
      <c r="D6746" s="6">
        <v>114.5</v>
      </c>
      <c r="E6746" s="6">
        <v>218</v>
      </c>
      <c r="F6746" s="11"/>
    </row>
    <row r="6747" spans="1:6">
      <c r="A6747" s="5" t="str">
        <f t="shared" si="116"/>
        <v>202321</v>
      </c>
      <c r="B6747" s="5" t="str">
        <f>"23085052625"</f>
        <v>23085052625</v>
      </c>
      <c r="C6747" s="6">
        <v>96</v>
      </c>
      <c r="D6747" s="6">
        <v>121.5</v>
      </c>
      <c r="E6747" s="6">
        <v>217.5</v>
      </c>
      <c r="F6747" s="11"/>
    </row>
    <row r="6748" spans="1:6">
      <c r="A6748" s="5" t="str">
        <f t="shared" si="116"/>
        <v>202321</v>
      </c>
      <c r="B6748" s="5" t="str">
        <f>"23085053201"</f>
        <v>23085053201</v>
      </c>
      <c r="C6748" s="6">
        <v>103.5</v>
      </c>
      <c r="D6748" s="6">
        <v>114</v>
      </c>
      <c r="E6748" s="6">
        <v>217.5</v>
      </c>
      <c r="F6748" s="11"/>
    </row>
    <row r="6749" spans="1:6">
      <c r="A6749" s="5" t="str">
        <f t="shared" si="116"/>
        <v>202321</v>
      </c>
      <c r="B6749" s="5" t="str">
        <f>"23085052828"</f>
        <v>23085052828</v>
      </c>
      <c r="C6749" s="6">
        <v>99</v>
      </c>
      <c r="D6749" s="6">
        <v>118.5</v>
      </c>
      <c r="E6749" s="6">
        <v>217.5</v>
      </c>
      <c r="F6749" s="11"/>
    </row>
    <row r="6750" spans="1:6">
      <c r="A6750" s="5" t="str">
        <f t="shared" si="116"/>
        <v>202321</v>
      </c>
      <c r="B6750" s="5" t="str">
        <f>"23085053109"</f>
        <v>23085053109</v>
      </c>
      <c r="C6750" s="6">
        <v>94.5</v>
      </c>
      <c r="D6750" s="6">
        <v>122.5</v>
      </c>
      <c r="E6750" s="6">
        <v>217</v>
      </c>
      <c r="F6750" s="11"/>
    </row>
    <row r="6751" spans="1:6">
      <c r="A6751" s="5" t="str">
        <f t="shared" si="116"/>
        <v>202321</v>
      </c>
      <c r="B6751" s="5" t="str">
        <f>"23085052919"</f>
        <v>23085052919</v>
      </c>
      <c r="C6751" s="6">
        <v>106.5</v>
      </c>
      <c r="D6751" s="6">
        <v>110</v>
      </c>
      <c r="E6751" s="6">
        <v>216.5</v>
      </c>
      <c r="F6751" s="11"/>
    </row>
    <row r="6752" spans="1:6">
      <c r="A6752" s="5" t="str">
        <f t="shared" si="116"/>
        <v>202321</v>
      </c>
      <c r="B6752" s="5" t="str">
        <f>"23085052610"</f>
        <v>23085052610</v>
      </c>
      <c r="C6752" s="6">
        <v>96</v>
      </c>
      <c r="D6752" s="6">
        <v>120.5</v>
      </c>
      <c r="E6752" s="6">
        <v>216.5</v>
      </c>
      <c r="F6752" s="11"/>
    </row>
    <row r="6753" spans="1:6">
      <c r="A6753" s="5" t="str">
        <f t="shared" si="116"/>
        <v>202321</v>
      </c>
      <c r="B6753" s="5" t="str">
        <f>"23085052917"</f>
        <v>23085052917</v>
      </c>
      <c r="C6753" s="6">
        <v>96</v>
      </c>
      <c r="D6753" s="6">
        <v>120</v>
      </c>
      <c r="E6753" s="6">
        <v>216</v>
      </c>
      <c r="F6753" s="11"/>
    </row>
    <row r="6754" spans="1:6">
      <c r="A6754" s="5" t="str">
        <f t="shared" si="116"/>
        <v>202321</v>
      </c>
      <c r="B6754" s="5" t="str">
        <f>"23085052708"</f>
        <v>23085052708</v>
      </c>
      <c r="C6754" s="6">
        <v>100.5</v>
      </c>
      <c r="D6754" s="6">
        <v>115.5</v>
      </c>
      <c r="E6754" s="6">
        <v>216</v>
      </c>
      <c r="F6754" s="11"/>
    </row>
    <row r="6755" spans="1:6">
      <c r="A6755" s="5" t="str">
        <f t="shared" si="116"/>
        <v>202321</v>
      </c>
      <c r="B6755" s="5" t="str">
        <f>"23085052811"</f>
        <v>23085052811</v>
      </c>
      <c r="C6755" s="6">
        <v>105</v>
      </c>
      <c r="D6755" s="6">
        <v>110.5</v>
      </c>
      <c r="E6755" s="6">
        <v>215.5</v>
      </c>
      <c r="F6755" s="11"/>
    </row>
    <row r="6756" spans="1:6">
      <c r="A6756" s="5" t="str">
        <f t="shared" si="116"/>
        <v>202321</v>
      </c>
      <c r="B6756" s="5" t="str">
        <f>"23085053118"</f>
        <v>23085053118</v>
      </c>
      <c r="C6756" s="6">
        <v>103.5</v>
      </c>
      <c r="D6756" s="6">
        <v>112</v>
      </c>
      <c r="E6756" s="6">
        <v>215.5</v>
      </c>
      <c r="F6756" s="11"/>
    </row>
    <row r="6757" spans="1:6">
      <c r="A6757" s="5" t="str">
        <f t="shared" si="116"/>
        <v>202321</v>
      </c>
      <c r="B6757" s="5" t="str">
        <f>"23085052803"</f>
        <v>23085052803</v>
      </c>
      <c r="C6757" s="6">
        <v>103.5</v>
      </c>
      <c r="D6757" s="6">
        <v>112</v>
      </c>
      <c r="E6757" s="6">
        <v>215.5</v>
      </c>
      <c r="F6757" s="11"/>
    </row>
    <row r="6758" spans="1:6">
      <c r="A6758" s="5" t="str">
        <f t="shared" si="116"/>
        <v>202321</v>
      </c>
      <c r="B6758" s="5" t="str">
        <f>"23085052729"</f>
        <v>23085052729</v>
      </c>
      <c r="C6758" s="6">
        <v>97.5</v>
      </c>
      <c r="D6758" s="6">
        <v>117.5</v>
      </c>
      <c r="E6758" s="6">
        <v>215</v>
      </c>
      <c r="F6758" s="11"/>
    </row>
    <row r="6759" spans="1:6">
      <c r="A6759" s="5" t="str">
        <f t="shared" ref="A6759:A6822" si="117">"202321"</f>
        <v>202321</v>
      </c>
      <c r="B6759" s="5" t="str">
        <f>"23085052921"</f>
        <v>23085052921</v>
      </c>
      <c r="C6759" s="6">
        <v>94.5</v>
      </c>
      <c r="D6759" s="6">
        <v>120.5</v>
      </c>
      <c r="E6759" s="6">
        <v>215</v>
      </c>
      <c r="F6759" s="11"/>
    </row>
    <row r="6760" spans="1:6">
      <c r="A6760" s="5" t="str">
        <f t="shared" si="117"/>
        <v>202321</v>
      </c>
      <c r="B6760" s="5" t="str">
        <f>"23085053026"</f>
        <v>23085053026</v>
      </c>
      <c r="C6760" s="6">
        <v>96</v>
      </c>
      <c r="D6760" s="6">
        <v>118.5</v>
      </c>
      <c r="E6760" s="6">
        <v>214.5</v>
      </c>
      <c r="F6760" s="11"/>
    </row>
    <row r="6761" spans="1:6">
      <c r="A6761" s="5" t="str">
        <f t="shared" si="117"/>
        <v>202321</v>
      </c>
      <c r="B6761" s="5" t="str">
        <f>"23085052810"</f>
        <v>23085052810</v>
      </c>
      <c r="C6761" s="6">
        <v>100.5</v>
      </c>
      <c r="D6761" s="6">
        <v>114</v>
      </c>
      <c r="E6761" s="6">
        <v>214.5</v>
      </c>
      <c r="F6761" s="11"/>
    </row>
    <row r="6762" spans="1:6">
      <c r="A6762" s="5" t="str">
        <f t="shared" si="117"/>
        <v>202321</v>
      </c>
      <c r="B6762" s="5" t="str">
        <f>"23085053121"</f>
        <v>23085053121</v>
      </c>
      <c r="C6762" s="6">
        <v>112.5</v>
      </c>
      <c r="D6762" s="6">
        <v>102</v>
      </c>
      <c r="E6762" s="6">
        <v>214.5</v>
      </c>
      <c r="F6762" s="11"/>
    </row>
    <row r="6763" spans="1:6">
      <c r="A6763" s="5" t="str">
        <f t="shared" si="117"/>
        <v>202321</v>
      </c>
      <c r="B6763" s="5" t="str">
        <f>"23085053108"</f>
        <v>23085053108</v>
      </c>
      <c r="C6763" s="6">
        <v>97.5</v>
      </c>
      <c r="D6763" s="6">
        <v>116.5</v>
      </c>
      <c r="E6763" s="6">
        <v>214</v>
      </c>
      <c r="F6763" s="11"/>
    </row>
    <row r="6764" spans="1:6">
      <c r="A6764" s="5" t="str">
        <f t="shared" si="117"/>
        <v>202321</v>
      </c>
      <c r="B6764" s="5" t="str">
        <f>"23085053125"</f>
        <v>23085053125</v>
      </c>
      <c r="C6764" s="6">
        <v>93</v>
      </c>
      <c r="D6764" s="6">
        <v>121</v>
      </c>
      <c r="E6764" s="6">
        <v>214</v>
      </c>
      <c r="F6764" s="11"/>
    </row>
    <row r="6765" spans="1:6">
      <c r="A6765" s="5" t="str">
        <f t="shared" si="117"/>
        <v>202321</v>
      </c>
      <c r="B6765" s="5" t="str">
        <f>"23085052807"</f>
        <v>23085052807</v>
      </c>
      <c r="C6765" s="6">
        <v>105</v>
      </c>
      <c r="D6765" s="6">
        <v>109</v>
      </c>
      <c r="E6765" s="6">
        <v>214</v>
      </c>
      <c r="F6765" s="11"/>
    </row>
    <row r="6766" spans="1:6">
      <c r="A6766" s="5" t="str">
        <f t="shared" si="117"/>
        <v>202321</v>
      </c>
      <c r="B6766" s="5" t="str">
        <f>"23085052823"</f>
        <v>23085052823</v>
      </c>
      <c r="C6766" s="6">
        <v>100.5</v>
      </c>
      <c r="D6766" s="6">
        <v>113</v>
      </c>
      <c r="E6766" s="6">
        <v>213.5</v>
      </c>
      <c r="F6766" s="11"/>
    </row>
    <row r="6767" spans="1:6">
      <c r="A6767" s="5" t="str">
        <f t="shared" si="117"/>
        <v>202321</v>
      </c>
      <c r="B6767" s="5" t="str">
        <f>"23085052802"</f>
        <v>23085052802</v>
      </c>
      <c r="C6767" s="6">
        <v>99</v>
      </c>
      <c r="D6767" s="6">
        <v>114.5</v>
      </c>
      <c r="E6767" s="6">
        <v>213.5</v>
      </c>
      <c r="F6767" s="11"/>
    </row>
    <row r="6768" spans="1:6">
      <c r="A6768" s="5" t="str">
        <f t="shared" si="117"/>
        <v>202321</v>
      </c>
      <c r="B6768" s="5" t="str">
        <f>"23085052712"</f>
        <v>23085052712</v>
      </c>
      <c r="C6768" s="6">
        <v>97.5</v>
      </c>
      <c r="D6768" s="6">
        <v>116</v>
      </c>
      <c r="E6768" s="6">
        <v>213.5</v>
      </c>
      <c r="F6768" s="11"/>
    </row>
    <row r="6769" spans="1:6">
      <c r="A6769" s="5" t="str">
        <f t="shared" si="117"/>
        <v>202321</v>
      </c>
      <c r="B6769" s="5" t="str">
        <f>"23085053111"</f>
        <v>23085053111</v>
      </c>
      <c r="C6769" s="6">
        <v>105</v>
      </c>
      <c r="D6769" s="6">
        <v>108</v>
      </c>
      <c r="E6769" s="6">
        <v>213</v>
      </c>
      <c r="F6769" s="11"/>
    </row>
    <row r="6770" spans="1:6">
      <c r="A6770" s="5" t="str">
        <f t="shared" si="117"/>
        <v>202321</v>
      </c>
      <c r="B6770" s="5" t="str">
        <f>"23085052924"</f>
        <v>23085052924</v>
      </c>
      <c r="C6770" s="6">
        <v>96</v>
      </c>
      <c r="D6770" s="6">
        <v>117</v>
      </c>
      <c r="E6770" s="6">
        <v>213</v>
      </c>
      <c r="F6770" s="11"/>
    </row>
    <row r="6771" spans="1:6">
      <c r="A6771" s="5" t="str">
        <f t="shared" si="117"/>
        <v>202321</v>
      </c>
      <c r="B6771" s="5" t="str">
        <f>"23085053112"</f>
        <v>23085053112</v>
      </c>
      <c r="C6771" s="6">
        <v>94.5</v>
      </c>
      <c r="D6771" s="6">
        <v>118.5</v>
      </c>
      <c r="E6771" s="6">
        <v>213</v>
      </c>
      <c r="F6771" s="11"/>
    </row>
    <row r="6772" spans="1:6">
      <c r="A6772" s="5" t="str">
        <f t="shared" si="117"/>
        <v>202321</v>
      </c>
      <c r="B6772" s="5" t="str">
        <f>"23085052706"</f>
        <v>23085052706</v>
      </c>
      <c r="C6772" s="6">
        <v>100.5</v>
      </c>
      <c r="D6772" s="6">
        <v>112</v>
      </c>
      <c r="E6772" s="6">
        <v>212.5</v>
      </c>
      <c r="F6772" s="11"/>
    </row>
    <row r="6773" spans="1:6">
      <c r="A6773" s="5" t="str">
        <f t="shared" si="117"/>
        <v>202321</v>
      </c>
      <c r="B6773" s="5" t="str">
        <f>"23085052627"</f>
        <v>23085052627</v>
      </c>
      <c r="C6773" s="6">
        <v>100.5</v>
      </c>
      <c r="D6773" s="6">
        <v>112</v>
      </c>
      <c r="E6773" s="6">
        <v>212.5</v>
      </c>
      <c r="F6773" s="11"/>
    </row>
    <row r="6774" spans="1:6">
      <c r="A6774" s="5" t="str">
        <f t="shared" si="117"/>
        <v>202321</v>
      </c>
      <c r="B6774" s="5" t="str">
        <f>"23085052719"</f>
        <v>23085052719</v>
      </c>
      <c r="C6774" s="6">
        <v>103.5</v>
      </c>
      <c r="D6774" s="6">
        <v>108.5</v>
      </c>
      <c r="E6774" s="6">
        <v>212</v>
      </c>
      <c r="F6774" s="11"/>
    </row>
    <row r="6775" spans="1:6">
      <c r="A6775" s="5" t="str">
        <f t="shared" si="117"/>
        <v>202321</v>
      </c>
      <c r="B6775" s="5" t="str">
        <f>"23085052922"</f>
        <v>23085052922</v>
      </c>
      <c r="C6775" s="6">
        <v>91.5</v>
      </c>
      <c r="D6775" s="6">
        <v>120</v>
      </c>
      <c r="E6775" s="6">
        <v>211.5</v>
      </c>
      <c r="F6775" s="11"/>
    </row>
    <row r="6776" spans="1:6">
      <c r="A6776" s="5" t="str">
        <f t="shared" si="117"/>
        <v>202321</v>
      </c>
      <c r="B6776" s="5" t="str">
        <f>"23085052702"</f>
        <v>23085052702</v>
      </c>
      <c r="C6776" s="6">
        <v>94.5</v>
      </c>
      <c r="D6776" s="6">
        <v>117</v>
      </c>
      <c r="E6776" s="6">
        <v>211.5</v>
      </c>
      <c r="F6776" s="11"/>
    </row>
    <row r="6777" spans="1:6">
      <c r="A6777" s="5" t="str">
        <f t="shared" si="117"/>
        <v>202321</v>
      </c>
      <c r="B6777" s="5" t="str">
        <f>"23085053017"</f>
        <v>23085053017</v>
      </c>
      <c r="C6777" s="6">
        <v>94.5</v>
      </c>
      <c r="D6777" s="6">
        <v>117</v>
      </c>
      <c r="E6777" s="6">
        <v>211.5</v>
      </c>
      <c r="F6777" s="11"/>
    </row>
    <row r="6778" spans="1:6">
      <c r="A6778" s="5" t="str">
        <f t="shared" si="117"/>
        <v>202321</v>
      </c>
      <c r="B6778" s="5" t="str">
        <f>"23085052915"</f>
        <v>23085052915</v>
      </c>
      <c r="C6778" s="6">
        <v>97.5</v>
      </c>
      <c r="D6778" s="6">
        <v>113.5</v>
      </c>
      <c r="E6778" s="6">
        <v>211</v>
      </c>
      <c r="F6778" s="11"/>
    </row>
    <row r="6779" spans="1:6">
      <c r="A6779" s="5" t="str">
        <f t="shared" si="117"/>
        <v>202321</v>
      </c>
      <c r="B6779" s="5" t="str">
        <f>"23085052907"</f>
        <v>23085052907</v>
      </c>
      <c r="C6779" s="6">
        <v>99</v>
      </c>
      <c r="D6779" s="6">
        <v>112</v>
      </c>
      <c r="E6779" s="6">
        <v>211</v>
      </c>
      <c r="F6779" s="11"/>
    </row>
    <row r="6780" spans="1:6">
      <c r="A6780" s="5" t="str">
        <f t="shared" si="117"/>
        <v>202321</v>
      </c>
      <c r="B6780" s="5" t="str">
        <f>"23085052613"</f>
        <v>23085052613</v>
      </c>
      <c r="C6780" s="6">
        <v>87</v>
      </c>
      <c r="D6780" s="6">
        <v>123.5</v>
      </c>
      <c r="E6780" s="6">
        <v>210.5</v>
      </c>
      <c r="F6780" s="11"/>
    </row>
    <row r="6781" spans="1:6">
      <c r="A6781" s="5" t="str">
        <f t="shared" si="117"/>
        <v>202321</v>
      </c>
      <c r="B6781" s="5" t="str">
        <f>"23085052821"</f>
        <v>23085052821</v>
      </c>
      <c r="C6781" s="6">
        <v>97.5</v>
      </c>
      <c r="D6781" s="6">
        <v>113</v>
      </c>
      <c r="E6781" s="6">
        <v>210.5</v>
      </c>
      <c r="F6781" s="11"/>
    </row>
    <row r="6782" spans="1:6">
      <c r="A6782" s="5" t="str">
        <f t="shared" si="117"/>
        <v>202321</v>
      </c>
      <c r="B6782" s="5" t="str">
        <f>"23085053016"</f>
        <v>23085053016</v>
      </c>
      <c r="C6782" s="6">
        <v>94.5</v>
      </c>
      <c r="D6782" s="6">
        <v>116</v>
      </c>
      <c r="E6782" s="6">
        <v>210.5</v>
      </c>
      <c r="F6782" s="11"/>
    </row>
    <row r="6783" spans="1:6">
      <c r="A6783" s="5" t="str">
        <f t="shared" si="117"/>
        <v>202321</v>
      </c>
      <c r="B6783" s="5" t="str">
        <f>"23085052724"</f>
        <v>23085052724</v>
      </c>
      <c r="C6783" s="6">
        <v>94.5</v>
      </c>
      <c r="D6783" s="6">
        <v>116</v>
      </c>
      <c r="E6783" s="6">
        <v>210.5</v>
      </c>
      <c r="F6783" s="11"/>
    </row>
    <row r="6784" spans="1:6">
      <c r="A6784" s="5" t="str">
        <f t="shared" si="117"/>
        <v>202321</v>
      </c>
      <c r="B6784" s="5" t="str">
        <f>"23085052728"</f>
        <v>23085052728</v>
      </c>
      <c r="C6784" s="6">
        <v>105</v>
      </c>
      <c r="D6784" s="6">
        <v>105</v>
      </c>
      <c r="E6784" s="6">
        <v>210</v>
      </c>
      <c r="F6784" s="11"/>
    </row>
    <row r="6785" spans="1:6">
      <c r="A6785" s="5" t="str">
        <f t="shared" si="117"/>
        <v>202321</v>
      </c>
      <c r="B6785" s="5" t="str">
        <f>"23085053127"</f>
        <v>23085053127</v>
      </c>
      <c r="C6785" s="6">
        <v>90</v>
      </c>
      <c r="D6785" s="6">
        <v>120</v>
      </c>
      <c r="E6785" s="6">
        <v>210</v>
      </c>
      <c r="F6785" s="11"/>
    </row>
    <row r="6786" spans="1:6">
      <c r="A6786" s="5" t="str">
        <f t="shared" si="117"/>
        <v>202321</v>
      </c>
      <c r="B6786" s="5" t="str">
        <f>"23085052923"</f>
        <v>23085052923</v>
      </c>
      <c r="C6786" s="6">
        <v>100.5</v>
      </c>
      <c r="D6786" s="6">
        <v>109</v>
      </c>
      <c r="E6786" s="6">
        <v>209.5</v>
      </c>
      <c r="F6786" s="11"/>
    </row>
    <row r="6787" spans="1:6">
      <c r="A6787" s="5" t="str">
        <f t="shared" si="117"/>
        <v>202321</v>
      </c>
      <c r="B6787" s="5" t="str">
        <f>"23085052607"</f>
        <v>23085052607</v>
      </c>
      <c r="C6787" s="6">
        <v>97.5</v>
      </c>
      <c r="D6787" s="6">
        <v>110.5</v>
      </c>
      <c r="E6787" s="6">
        <v>208</v>
      </c>
      <c r="F6787" s="11"/>
    </row>
    <row r="6788" spans="1:6">
      <c r="A6788" s="5" t="str">
        <f t="shared" si="117"/>
        <v>202321</v>
      </c>
      <c r="B6788" s="5" t="str">
        <f>"23085052612"</f>
        <v>23085052612</v>
      </c>
      <c r="C6788" s="6">
        <v>96</v>
      </c>
      <c r="D6788" s="6">
        <v>112</v>
      </c>
      <c r="E6788" s="6">
        <v>208</v>
      </c>
      <c r="F6788" s="11"/>
    </row>
    <row r="6789" spans="1:6">
      <c r="A6789" s="5" t="str">
        <f t="shared" si="117"/>
        <v>202321</v>
      </c>
      <c r="B6789" s="5" t="str">
        <f>"23085053129"</f>
        <v>23085053129</v>
      </c>
      <c r="C6789" s="6">
        <v>91.5</v>
      </c>
      <c r="D6789" s="6">
        <v>116.5</v>
      </c>
      <c r="E6789" s="6">
        <v>208</v>
      </c>
      <c r="F6789" s="11"/>
    </row>
    <row r="6790" spans="1:6">
      <c r="A6790" s="5" t="str">
        <f t="shared" si="117"/>
        <v>202321</v>
      </c>
      <c r="B6790" s="5" t="str">
        <f>"23085053015"</f>
        <v>23085053015</v>
      </c>
      <c r="C6790" s="6">
        <v>90</v>
      </c>
      <c r="D6790" s="6">
        <v>118</v>
      </c>
      <c r="E6790" s="6">
        <v>208</v>
      </c>
      <c r="F6790" s="11"/>
    </row>
    <row r="6791" spans="1:6">
      <c r="A6791" s="5" t="str">
        <f t="shared" si="117"/>
        <v>202321</v>
      </c>
      <c r="B6791" s="5" t="str">
        <f>"23085052721"</f>
        <v>23085052721</v>
      </c>
      <c r="C6791" s="6">
        <v>90</v>
      </c>
      <c r="D6791" s="6">
        <v>118</v>
      </c>
      <c r="E6791" s="6">
        <v>208</v>
      </c>
      <c r="F6791" s="11"/>
    </row>
    <row r="6792" spans="1:6">
      <c r="A6792" s="5" t="str">
        <f t="shared" si="117"/>
        <v>202321</v>
      </c>
      <c r="B6792" s="5" t="str">
        <f>"23085052925"</f>
        <v>23085052925</v>
      </c>
      <c r="C6792" s="6">
        <v>90</v>
      </c>
      <c r="D6792" s="6">
        <v>117.5</v>
      </c>
      <c r="E6792" s="6">
        <v>207.5</v>
      </c>
      <c r="F6792" s="11"/>
    </row>
    <row r="6793" spans="1:6">
      <c r="A6793" s="5" t="str">
        <f t="shared" si="117"/>
        <v>202321</v>
      </c>
      <c r="B6793" s="5" t="str">
        <f>"23085053001"</f>
        <v>23085053001</v>
      </c>
      <c r="C6793" s="6">
        <v>90</v>
      </c>
      <c r="D6793" s="6">
        <v>117.5</v>
      </c>
      <c r="E6793" s="6">
        <v>207.5</v>
      </c>
      <c r="F6793" s="11"/>
    </row>
    <row r="6794" spans="1:6">
      <c r="A6794" s="5" t="str">
        <f t="shared" si="117"/>
        <v>202321</v>
      </c>
      <c r="B6794" s="5" t="str">
        <f>"23085053107"</f>
        <v>23085053107</v>
      </c>
      <c r="C6794" s="6">
        <v>87</v>
      </c>
      <c r="D6794" s="6">
        <v>120.5</v>
      </c>
      <c r="E6794" s="6">
        <v>207.5</v>
      </c>
      <c r="F6794" s="11"/>
    </row>
    <row r="6795" spans="1:6">
      <c r="A6795" s="5" t="str">
        <f t="shared" si="117"/>
        <v>202321</v>
      </c>
      <c r="B6795" s="5" t="str">
        <f>"23085052727"</f>
        <v>23085052727</v>
      </c>
      <c r="C6795" s="6">
        <v>94.5</v>
      </c>
      <c r="D6795" s="6">
        <v>112.5</v>
      </c>
      <c r="E6795" s="6">
        <v>207</v>
      </c>
      <c r="F6795" s="11"/>
    </row>
    <row r="6796" spans="1:6">
      <c r="A6796" s="5" t="str">
        <f t="shared" si="117"/>
        <v>202321</v>
      </c>
      <c r="B6796" s="5" t="str">
        <f>"23085053011"</f>
        <v>23085053011</v>
      </c>
      <c r="C6796" s="6">
        <v>88.5</v>
      </c>
      <c r="D6796" s="6">
        <v>118.5</v>
      </c>
      <c r="E6796" s="6">
        <v>207</v>
      </c>
      <c r="F6796" s="11"/>
    </row>
    <row r="6797" spans="1:6">
      <c r="A6797" s="5" t="str">
        <f t="shared" si="117"/>
        <v>202321</v>
      </c>
      <c r="B6797" s="5" t="str">
        <f>"23085053020"</f>
        <v>23085053020</v>
      </c>
      <c r="C6797" s="6">
        <v>90</v>
      </c>
      <c r="D6797" s="6">
        <v>116.5</v>
      </c>
      <c r="E6797" s="6">
        <v>206.5</v>
      </c>
      <c r="F6797" s="11"/>
    </row>
    <row r="6798" spans="1:6">
      <c r="A6798" s="5" t="str">
        <f t="shared" si="117"/>
        <v>202321</v>
      </c>
      <c r="B6798" s="5" t="str">
        <f>"23085053203"</f>
        <v>23085053203</v>
      </c>
      <c r="C6798" s="6">
        <v>93</v>
      </c>
      <c r="D6798" s="6">
        <v>113.5</v>
      </c>
      <c r="E6798" s="6">
        <v>206.5</v>
      </c>
      <c r="F6798" s="11"/>
    </row>
    <row r="6799" spans="1:6">
      <c r="A6799" s="5" t="str">
        <f t="shared" si="117"/>
        <v>202321</v>
      </c>
      <c r="B6799" s="5" t="str">
        <f>"23085052618"</f>
        <v>23085052618</v>
      </c>
      <c r="C6799" s="6">
        <v>100.5</v>
      </c>
      <c r="D6799" s="6">
        <v>106</v>
      </c>
      <c r="E6799" s="6">
        <v>206.5</v>
      </c>
      <c r="F6799" s="11"/>
    </row>
    <row r="6800" spans="1:6">
      <c r="A6800" s="5" t="str">
        <f t="shared" si="117"/>
        <v>202321</v>
      </c>
      <c r="B6800" s="5" t="str">
        <f>"23085052830"</f>
        <v>23085052830</v>
      </c>
      <c r="C6800" s="6">
        <v>90</v>
      </c>
      <c r="D6800" s="6">
        <v>116.5</v>
      </c>
      <c r="E6800" s="6">
        <v>206.5</v>
      </c>
      <c r="F6800" s="11"/>
    </row>
    <row r="6801" spans="1:6">
      <c r="A6801" s="5" t="str">
        <f t="shared" si="117"/>
        <v>202321</v>
      </c>
      <c r="B6801" s="5" t="str">
        <f>"23085053019"</f>
        <v>23085053019</v>
      </c>
      <c r="C6801" s="6">
        <v>88.5</v>
      </c>
      <c r="D6801" s="6">
        <v>117.5</v>
      </c>
      <c r="E6801" s="6">
        <v>206</v>
      </c>
      <c r="F6801" s="11"/>
    </row>
    <row r="6802" spans="1:6">
      <c r="A6802" s="5" t="str">
        <f t="shared" si="117"/>
        <v>202321</v>
      </c>
      <c r="B6802" s="5" t="str">
        <f>"23085053110"</f>
        <v>23085053110</v>
      </c>
      <c r="C6802" s="6">
        <v>91.5</v>
      </c>
      <c r="D6802" s="6">
        <v>113.5</v>
      </c>
      <c r="E6802" s="6">
        <v>205</v>
      </c>
      <c r="F6802" s="11"/>
    </row>
    <row r="6803" spans="1:6">
      <c r="A6803" s="5" t="str">
        <f t="shared" si="117"/>
        <v>202321</v>
      </c>
      <c r="B6803" s="5" t="str">
        <f>"23085052903"</f>
        <v>23085052903</v>
      </c>
      <c r="C6803" s="6">
        <v>106.5</v>
      </c>
      <c r="D6803" s="6">
        <v>98</v>
      </c>
      <c r="E6803" s="6">
        <v>204.5</v>
      </c>
      <c r="F6803" s="11"/>
    </row>
    <row r="6804" spans="1:6">
      <c r="A6804" s="5" t="str">
        <f t="shared" si="117"/>
        <v>202321</v>
      </c>
      <c r="B6804" s="5" t="str">
        <f>"23085052630"</f>
        <v>23085052630</v>
      </c>
      <c r="C6804" s="6">
        <v>85.5</v>
      </c>
      <c r="D6804" s="6">
        <v>119</v>
      </c>
      <c r="E6804" s="6">
        <v>204.5</v>
      </c>
      <c r="F6804" s="11"/>
    </row>
    <row r="6805" spans="1:6">
      <c r="A6805" s="5" t="str">
        <f t="shared" si="117"/>
        <v>202321</v>
      </c>
      <c r="B6805" s="5" t="str">
        <f>"23085052617"</f>
        <v>23085052617</v>
      </c>
      <c r="C6805" s="6">
        <v>87</v>
      </c>
      <c r="D6805" s="6">
        <v>117</v>
      </c>
      <c r="E6805" s="6">
        <v>204</v>
      </c>
      <c r="F6805" s="11"/>
    </row>
    <row r="6806" spans="1:6">
      <c r="A6806" s="5" t="str">
        <f t="shared" si="117"/>
        <v>202321</v>
      </c>
      <c r="B6806" s="5" t="str">
        <f>"23085052916"</f>
        <v>23085052916</v>
      </c>
      <c r="C6806" s="6">
        <v>94.5</v>
      </c>
      <c r="D6806" s="6">
        <v>109</v>
      </c>
      <c r="E6806" s="6">
        <v>203.5</v>
      </c>
      <c r="F6806" s="11"/>
    </row>
    <row r="6807" spans="1:6">
      <c r="A6807" s="5" t="str">
        <f t="shared" si="117"/>
        <v>202321</v>
      </c>
      <c r="B6807" s="5" t="str">
        <f>"23085053029"</f>
        <v>23085053029</v>
      </c>
      <c r="C6807" s="6">
        <v>81</v>
      </c>
      <c r="D6807" s="6">
        <v>122.5</v>
      </c>
      <c r="E6807" s="6">
        <v>203.5</v>
      </c>
      <c r="F6807" s="11"/>
    </row>
    <row r="6808" spans="1:6">
      <c r="A6808" s="5" t="str">
        <f t="shared" si="117"/>
        <v>202321</v>
      </c>
      <c r="B6808" s="5" t="str">
        <f>"23085053003"</f>
        <v>23085053003</v>
      </c>
      <c r="C6808" s="6">
        <v>102</v>
      </c>
      <c r="D6808" s="6">
        <v>101.5</v>
      </c>
      <c r="E6808" s="6">
        <v>203.5</v>
      </c>
      <c r="F6808" s="11"/>
    </row>
    <row r="6809" spans="1:6">
      <c r="A6809" s="5" t="str">
        <f t="shared" si="117"/>
        <v>202321</v>
      </c>
      <c r="B6809" s="5" t="str">
        <f>"23085052812"</f>
        <v>23085052812</v>
      </c>
      <c r="C6809" s="6">
        <v>94.5</v>
      </c>
      <c r="D6809" s="6">
        <v>109</v>
      </c>
      <c r="E6809" s="6">
        <v>203.5</v>
      </c>
      <c r="F6809" s="11"/>
    </row>
    <row r="6810" spans="1:6">
      <c r="A6810" s="5" t="str">
        <f t="shared" si="117"/>
        <v>202321</v>
      </c>
      <c r="B6810" s="5" t="str">
        <f>"23085053030"</f>
        <v>23085053030</v>
      </c>
      <c r="C6810" s="6">
        <v>96</v>
      </c>
      <c r="D6810" s="6">
        <v>107</v>
      </c>
      <c r="E6810" s="6">
        <v>203</v>
      </c>
      <c r="F6810" s="11"/>
    </row>
    <row r="6811" spans="1:6">
      <c r="A6811" s="5" t="str">
        <f t="shared" si="117"/>
        <v>202321</v>
      </c>
      <c r="B6811" s="5" t="str">
        <f>"23085053116"</f>
        <v>23085053116</v>
      </c>
      <c r="C6811" s="6">
        <v>85.5</v>
      </c>
      <c r="D6811" s="6">
        <v>117</v>
      </c>
      <c r="E6811" s="6">
        <v>202.5</v>
      </c>
      <c r="F6811" s="11"/>
    </row>
    <row r="6812" spans="1:6">
      <c r="A6812" s="5" t="str">
        <f t="shared" si="117"/>
        <v>202321</v>
      </c>
      <c r="B6812" s="5" t="str">
        <f>"23085053005"</f>
        <v>23085053005</v>
      </c>
      <c r="C6812" s="6">
        <v>84</v>
      </c>
      <c r="D6812" s="6">
        <v>118.5</v>
      </c>
      <c r="E6812" s="6">
        <v>202.5</v>
      </c>
      <c r="F6812" s="11"/>
    </row>
    <row r="6813" spans="1:6">
      <c r="A6813" s="5" t="str">
        <f t="shared" si="117"/>
        <v>202321</v>
      </c>
      <c r="B6813" s="5" t="str">
        <f>"23085053004"</f>
        <v>23085053004</v>
      </c>
      <c r="C6813" s="6">
        <v>93</v>
      </c>
      <c r="D6813" s="6">
        <v>108.5</v>
      </c>
      <c r="E6813" s="6">
        <v>201.5</v>
      </c>
      <c r="F6813" s="11"/>
    </row>
    <row r="6814" spans="1:6">
      <c r="A6814" s="5" t="str">
        <f t="shared" si="117"/>
        <v>202321</v>
      </c>
      <c r="B6814" s="5" t="str">
        <f>"23085052929"</f>
        <v>23085052929</v>
      </c>
      <c r="C6814" s="6">
        <v>79.5</v>
      </c>
      <c r="D6814" s="6">
        <v>121.5</v>
      </c>
      <c r="E6814" s="6">
        <v>201</v>
      </c>
      <c r="F6814" s="11"/>
    </row>
    <row r="6815" spans="1:6">
      <c r="A6815" s="5" t="str">
        <f t="shared" si="117"/>
        <v>202321</v>
      </c>
      <c r="B6815" s="5" t="str">
        <f>"23085052616"</f>
        <v>23085052616</v>
      </c>
      <c r="C6815" s="6">
        <v>90</v>
      </c>
      <c r="D6815" s="6">
        <v>110.5</v>
      </c>
      <c r="E6815" s="6">
        <v>200.5</v>
      </c>
      <c r="F6815" s="11"/>
    </row>
    <row r="6816" spans="1:6">
      <c r="A6816" s="5" t="str">
        <f t="shared" si="117"/>
        <v>202321</v>
      </c>
      <c r="B6816" s="5" t="str">
        <f>"23085053014"</f>
        <v>23085053014</v>
      </c>
      <c r="C6816" s="6">
        <v>88.5</v>
      </c>
      <c r="D6816" s="6">
        <v>111</v>
      </c>
      <c r="E6816" s="6">
        <v>199.5</v>
      </c>
      <c r="F6816" s="11"/>
    </row>
    <row r="6817" spans="1:6">
      <c r="A6817" s="5" t="str">
        <f t="shared" si="117"/>
        <v>202321</v>
      </c>
      <c r="B6817" s="5" t="str">
        <f>"23085052608"</f>
        <v>23085052608</v>
      </c>
      <c r="C6817" s="6">
        <v>88.5</v>
      </c>
      <c r="D6817" s="6">
        <v>111</v>
      </c>
      <c r="E6817" s="6">
        <v>199.5</v>
      </c>
      <c r="F6817" s="11"/>
    </row>
    <row r="6818" spans="1:6">
      <c r="A6818" s="5" t="str">
        <f t="shared" si="117"/>
        <v>202321</v>
      </c>
      <c r="B6818" s="5" t="str">
        <f>"23085052703"</f>
        <v>23085052703</v>
      </c>
      <c r="C6818" s="6">
        <v>81</v>
      </c>
      <c r="D6818" s="6">
        <v>117.5</v>
      </c>
      <c r="E6818" s="6">
        <v>198.5</v>
      </c>
      <c r="F6818" s="11"/>
    </row>
    <row r="6819" spans="1:6">
      <c r="A6819" s="5" t="str">
        <f t="shared" si="117"/>
        <v>202321</v>
      </c>
      <c r="B6819" s="5" t="str">
        <f>"23085052827"</f>
        <v>23085052827</v>
      </c>
      <c r="C6819" s="6">
        <v>76.5</v>
      </c>
      <c r="D6819" s="6">
        <v>121.5</v>
      </c>
      <c r="E6819" s="6">
        <v>198</v>
      </c>
      <c r="F6819" s="11"/>
    </row>
    <row r="6820" spans="1:6">
      <c r="A6820" s="5" t="str">
        <f t="shared" si="117"/>
        <v>202321</v>
      </c>
      <c r="B6820" s="5" t="str">
        <f>"23085053023"</f>
        <v>23085053023</v>
      </c>
      <c r="C6820" s="6">
        <v>88.5</v>
      </c>
      <c r="D6820" s="6">
        <v>109</v>
      </c>
      <c r="E6820" s="6">
        <v>197.5</v>
      </c>
      <c r="F6820" s="11"/>
    </row>
    <row r="6821" spans="1:6">
      <c r="A6821" s="5" t="str">
        <f t="shared" si="117"/>
        <v>202321</v>
      </c>
      <c r="B6821" s="5" t="str">
        <f>"23085052722"</f>
        <v>23085052722</v>
      </c>
      <c r="C6821" s="6">
        <v>78</v>
      </c>
      <c r="D6821" s="6">
        <v>117.5</v>
      </c>
      <c r="E6821" s="6">
        <v>195.5</v>
      </c>
      <c r="F6821" s="11"/>
    </row>
    <row r="6822" spans="1:6">
      <c r="A6822" s="5" t="str">
        <f t="shared" si="117"/>
        <v>202321</v>
      </c>
      <c r="B6822" s="5" t="str">
        <f>"23085052718"</f>
        <v>23085052718</v>
      </c>
      <c r="C6822" s="6">
        <v>90</v>
      </c>
      <c r="D6822" s="6">
        <v>105.5</v>
      </c>
      <c r="E6822" s="6">
        <v>195.5</v>
      </c>
      <c r="F6822" s="11"/>
    </row>
    <row r="6823" spans="1:6">
      <c r="A6823" s="5" t="str">
        <f t="shared" ref="A6823:A6876" si="118">"202321"</f>
        <v>202321</v>
      </c>
      <c r="B6823" s="5" t="str">
        <f>"23085052714"</f>
        <v>23085052714</v>
      </c>
      <c r="C6823" s="6">
        <v>73.5</v>
      </c>
      <c r="D6823" s="6">
        <v>122</v>
      </c>
      <c r="E6823" s="6">
        <v>195.5</v>
      </c>
      <c r="F6823" s="11"/>
    </row>
    <row r="6824" spans="1:6">
      <c r="A6824" s="5" t="str">
        <f t="shared" si="118"/>
        <v>202321</v>
      </c>
      <c r="B6824" s="5" t="str">
        <f>"23085052623"</f>
        <v>23085052623</v>
      </c>
      <c r="C6824" s="6">
        <v>91.5</v>
      </c>
      <c r="D6824" s="6">
        <v>103.5</v>
      </c>
      <c r="E6824" s="6">
        <v>195</v>
      </c>
      <c r="F6824" s="11"/>
    </row>
    <row r="6825" spans="1:6">
      <c r="A6825" s="5" t="str">
        <f t="shared" si="118"/>
        <v>202321</v>
      </c>
      <c r="B6825" s="5" t="str">
        <f>"23085052914"</f>
        <v>23085052914</v>
      </c>
      <c r="C6825" s="6">
        <v>78</v>
      </c>
      <c r="D6825" s="6">
        <v>117</v>
      </c>
      <c r="E6825" s="6">
        <v>195</v>
      </c>
      <c r="F6825" s="11"/>
    </row>
    <row r="6826" spans="1:6">
      <c r="A6826" s="5" t="str">
        <f t="shared" si="118"/>
        <v>202321</v>
      </c>
      <c r="B6826" s="5" t="str">
        <f>"23085053115"</f>
        <v>23085053115</v>
      </c>
      <c r="C6826" s="6">
        <v>81</v>
      </c>
      <c r="D6826" s="6">
        <v>113.5</v>
      </c>
      <c r="E6826" s="6">
        <v>194.5</v>
      </c>
      <c r="F6826" s="11"/>
    </row>
    <row r="6827" spans="1:6">
      <c r="A6827" s="5" t="str">
        <f t="shared" si="118"/>
        <v>202321</v>
      </c>
      <c r="B6827" s="5" t="str">
        <f>"23085052720"</f>
        <v>23085052720</v>
      </c>
      <c r="C6827" s="6">
        <v>84</v>
      </c>
      <c r="D6827" s="6">
        <v>110</v>
      </c>
      <c r="E6827" s="6">
        <v>194</v>
      </c>
      <c r="F6827" s="11"/>
    </row>
    <row r="6828" spans="1:6">
      <c r="A6828" s="5" t="str">
        <f t="shared" si="118"/>
        <v>202321</v>
      </c>
      <c r="B6828" s="5" t="str">
        <f>"23085052705"</f>
        <v>23085052705</v>
      </c>
      <c r="C6828" s="6">
        <v>78</v>
      </c>
      <c r="D6828" s="6">
        <v>115</v>
      </c>
      <c r="E6828" s="6">
        <v>193</v>
      </c>
      <c r="F6828" s="11"/>
    </row>
    <row r="6829" spans="1:6">
      <c r="A6829" s="5" t="str">
        <f t="shared" si="118"/>
        <v>202321</v>
      </c>
      <c r="B6829" s="5" t="str">
        <f>"23085053013"</f>
        <v>23085053013</v>
      </c>
      <c r="C6829" s="6">
        <v>82.5</v>
      </c>
      <c r="D6829" s="6">
        <v>109.5</v>
      </c>
      <c r="E6829" s="6">
        <v>192</v>
      </c>
      <c r="F6829" s="11"/>
    </row>
    <row r="6830" spans="1:6">
      <c r="A6830" s="5" t="str">
        <f t="shared" si="118"/>
        <v>202321</v>
      </c>
      <c r="B6830" s="5" t="str">
        <f>"23085052904"</f>
        <v>23085052904</v>
      </c>
      <c r="C6830" s="6">
        <v>85.5</v>
      </c>
      <c r="D6830" s="6">
        <v>104.5</v>
      </c>
      <c r="E6830" s="6">
        <v>190</v>
      </c>
      <c r="F6830" s="11"/>
    </row>
    <row r="6831" spans="1:6">
      <c r="A6831" s="5" t="str">
        <f t="shared" si="118"/>
        <v>202321</v>
      </c>
      <c r="B6831" s="5" t="str">
        <f>"23085052902"</f>
        <v>23085052902</v>
      </c>
      <c r="C6831" s="6">
        <v>82.5</v>
      </c>
      <c r="D6831" s="6">
        <v>107.5</v>
      </c>
      <c r="E6831" s="6">
        <v>190</v>
      </c>
      <c r="F6831" s="11"/>
    </row>
    <row r="6832" spans="1:6">
      <c r="A6832" s="5" t="str">
        <f t="shared" si="118"/>
        <v>202321</v>
      </c>
      <c r="B6832" s="5" t="str">
        <f>"23085052801"</f>
        <v>23085052801</v>
      </c>
      <c r="C6832" s="6">
        <v>73.5</v>
      </c>
      <c r="D6832" s="6">
        <v>116</v>
      </c>
      <c r="E6832" s="6">
        <v>189.5</v>
      </c>
      <c r="F6832" s="11"/>
    </row>
    <row r="6833" spans="1:6">
      <c r="A6833" s="5" t="str">
        <f t="shared" si="118"/>
        <v>202321</v>
      </c>
      <c r="B6833" s="5" t="str">
        <f>"23085052628"</f>
        <v>23085052628</v>
      </c>
      <c r="C6833" s="6">
        <v>76.5</v>
      </c>
      <c r="D6833" s="6">
        <v>109.5</v>
      </c>
      <c r="E6833" s="6">
        <v>186</v>
      </c>
      <c r="F6833" s="11"/>
    </row>
    <row r="6834" spans="1:6">
      <c r="A6834" s="5" t="str">
        <f t="shared" si="118"/>
        <v>202321</v>
      </c>
      <c r="B6834" s="5" t="str">
        <f>"23085052918"</f>
        <v>23085052918</v>
      </c>
      <c r="C6834" s="6">
        <v>84</v>
      </c>
      <c r="D6834" s="6">
        <v>101.5</v>
      </c>
      <c r="E6834" s="6">
        <v>185.5</v>
      </c>
      <c r="F6834" s="11"/>
    </row>
    <row r="6835" spans="1:6">
      <c r="A6835" s="5" t="str">
        <f t="shared" si="118"/>
        <v>202321</v>
      </c>
      <c r="B6835" s="5" t="str">
        <f>"23085052725"</f>
        <v>23085052725</v>
      </c>
      <c r="C6835" s="6">
        <v>70.5</v>
      </c>
      <c r="D6835" s="6">
        <v>113.5</v>
      </c>
      <c r="E6835" s="6">
        <v>184</v>
      </c>
      <c r="F6835" s="11"/>
    </row>
    <row r="6836" spans="1:6">
      <c r="A6836" s="5" t="str">
        <f t="shared" si="118"/>
        <v>202321</v>
      </c>
      <c r="B6836" s="5" t="str">
        <f>"23085053024"</f>
        <v>23085053024</v>
      </c>
      <c r="C6836" s="6">
        <v>70.5</v>
      </c>
      <c r="D6836" s="6">
        <v>112.5</v>
      </c>
      <c r="E6836" s="6">
        <v>183</v>
      </c>
      <c r="F6836" s="11"/>
    </row>
    <row r="6837" spans="1:6">
      <c r="A6837" s="5" t="str">
        <f t="shared" si="118"/>
        <v>202321</v>
      </c>
      <c r="B6837" s="5" t="str">
        <f>"23085052806"</f>
        <v>23085052806</v>
      </c>
      <c r="C6837" s="6">
        <v>81</v>
      </c>
      <c r="D6837" s="6">
        <v>98</v>
      </c>
      <c r="E6837" s="6">
        <v>179</v>
      </c>
      <c r="F6837" s="11"/>
    </row>
    <row r="6838" spans="1:6">
      <c r="A6838" s="5" t="str">
        <f t="shared" si="118"/>
        <v>202321</v>
      </c>
      <c r="B6838" s="5" t="str">
        <f>"23085052626"</f>
        <v>23085052626</v>
      </c>
      <c r="C6838" s="6">
        <v>63</v>
      </c>
      <c r="D6838" s="6">
        <v>106</v>
      </c>
      <c r="E6838" s="6">
        <v>169</v>
      </c>
      <c r="F6838" s="11"/>
    </row>
    <row r="6839" spans="1:6">
      <c r="A6839" s="5" t="str">
        <f t="shared" si="118"/>
        <v>202321</v>
      </c>
      <c r="B6839" s="5" t="str">
        <f>"23085052619"</f>
        <v>23085052619</v>
      </c>
      <c r="C6839" s="6">
        <v>60</v>
      </c>
      <c r="D6839" s="6">
        <v>102</v>
      </c>
      <c r="E6839" s="6">
        <v>162</v>
      </c>
      <c r="F6839" s="11"/>
    </row>
    <row r="6840" spans="1:6">
      <c r="A6840" s="5" t="str">
        <f t="shared" si="118"/>
        <v>202321</v>
      </c>
      <c r="B6840" s="5" t="str">
        <f>"23085052805"</f>
        <v>23085052805</v>
      </c>
      <c r="C6840" s="6">
        <v>73.5</v>
      </c>
      <c r="D6840" s="6">
        <v>83</v>
      </c>
      <c r="E6840" s="6">
        <v>156.5</v>
      </c>
      <c r="F6840" s="11"/>
    </row>
    <row r="6841" spans="1:6">
      <c r="A6841" s="5" t="str">
        <f t="shared" si="118"/>
        <v>202321</v>
      </c>
      <c r="B6841" s="5" t="str">
        <f>"23085053120"</f>
        <v>23085053120</v>
      </c>
      <c r="C6841" s="6">
        <v>84</v>
      </c>
      <c r="D6841" s="6">
        <v>71</v>
      </c>
      <c r="E6841" s="6">
        <v>155</v>
      </c>
      <c r="F6841" s="11"/>
    </row>
    <row r="6842" spans="1:6">
      <c r="A6842" s="5" t="str">
        <f t="shared" si="118"/>
        <v>202321</v>
      </c>
      <c r="B6842" s="5" t="str">
        <f>"23085052606"</f>
        <v>23085052606</v>
      </c>
      <c r="C6842" s="6">
        <v>0</v>
      </c>
      <c r="D6842" s="6">
        <v>0</v>
      </c>
      <c r="E6842" s="6">
        <v>0</v>
      </c>
      <c r="F6842" s="11" t="s">
        <v>7</v>
      </c>
    </row>
    <row r="6843" spans="1:6">
      <c r="A6843" s="5" t="str">
        <f t="shared" si="118"/>
        <v>202321</v>
      </c>
      <c r="B6843" s="5" t="str">
        <f>"23085052930"</f>
        <v>23085052930</v>
      </c>
      <c r="C6843" s="6">
        <v>0</v>
      </c>
      <c r="D6843" s="6">
        <v>0</v>
      </c>
      <c r="E6843" s="6">
        <v>0</v>
      </c>
      <c r="F6843" s="11" t="s">
        <v>7</v>
      </c>
    </row>
    <row r="6844" spans="1:6">
      <c r="A6844" s="5" t="str">
        <f t="shared" si="118"/>
        <v>202321</v>
      </c>
      <c r="B6844" s="5" t="str">
        <f>"23085053126"</f>
        <v>23085053126</v>
      </c>
      <c r="C6844" s="6">
        <v>0</v>
      </c>
      <c r="D6844" s="6">
        <v>0</v>
      </c>
      <c r="E6844" s="6">
        <v>0</v>
      </c>
      <c r="F6844" s="11" t="s">
        <v>7</v>
      </c>
    </row>
    <row r="6845" spans="1:6">
      <c r="A6845" s="5" t="str">
        <f t="shared" si="118"/>
        <v>202321</v>
      </c>
      <c r="B6845" s="5" t="str">
        <f>"23085052620"</f>
        <v>23085052620</v>
      </c>
      <c r="C6845" s="6">
        <v>0</v>
      </c>
      <c r="D6845" s="6">
        <v>0</v>
      </c>
      <c r="E6845" s="6">
        <v>0</v>
      </c>
      <c r="F6845" s="11" t="s">
        <v>7</v>
      </c>
    </row>
    <row r="6846" spans="1:6">
      <c r="A6846" s="5" t="str">
        <f t="shared" si="118"/>
        <v>202321</v>
      </c>
      <c r="B6846" s="5" t="str">
        <f>"23085053202"</f>
        <v>23085053202</v>
      </c>
      <c r="C6846" s="6">
        <v>0</v>
      </c>
      <c r="D6846" s="6">
        <v>0</v>
      </c>
      <c r="E6846" s="6">
        <v>0</v>
      </c>
      <c r="F6846" s="11" t="s">
        <v>7</v>
      </c>
    </row>
    <row r="6847" spans="1:6">
      <c r="A6847" s="5" t="str">
        <f t="shared" si="118"/>
        <v>202321</v>
      </c>
      <c r="B6847" s="5" t="str">
        <f>"23085052716"</f>
        <v>23085052716</v>
      </c>
      <c r="C6847" s="6">
        <v>0</v>
      </c>
      <c r="D6847" s="6">
        <v>0</v>
      </c>
      <c r="E6847" s="6">
        <v>0</v>
      </c>
      <c r="F6847" s="11" t="s">
        <v>7</v>
      </c>
    </row>
    <row r="6848" spans="1:6">
      <c r="A6848" s="5" t="str">
        <f t="shared" si="118"/>
        <v>202321</v>
      </c>
      <c r="B6848" s="5" t="str">
        <f>"23085053124"</f>
        <v>23085053124</v>
      </c>
      <c r="C6848" s="6">
        <v>0</v>
      </c>
      <c r="D6848" s="6">
        <v>0</v>
      </c>
      <c r="E6848" s="6">
        <v>0</v>
      </c>
      <c r="F6848" s="11" t="s">
        <v>7</v>
      </c>
    </row>
    <row r="6849" spans="1:6">
      <c r="A6849" s="5" t="str">
        <f t="shared" si="118"/>
        <v>202321</v>
      </c>
      <c r="B6849" s="5" t="str">
        <f>"23085052605"</f>
        <v>23085052605</v>
      </c>
      <c r="C6849" s="6">
        <v>0</v>
      </c>
      <c r="D6849" s="6">
        <v>0</v>
      </c>
      <c r="E6849" s="6">
        <v>0</v>
      </c>
      <c r="F6849" s="11" t="s">
        <v>7</v>
      </c>
    </row>
    <row r="6850" spans="1:6">
      <c r="A6850" s="5" t="str">
        <f t="shared" si="118"/>
        <v>202321</v>
      </c>
      <c r="B6850" s="5" t="str">
        <f>"23085052813"</f>
        <v>23085052813</v>
      </c>
      <c r="C6850" s="6">
        <v>0</v>
      </c>
      <c r="D6850" s="6">
        <v>0</v>
      </c>
      <c r="E6850" s="6">
        <v>0</v>
      </c>
      <c r="F6850" s="11" t="s">
        <v>7</v>
      </c>
    </row>
    <row r="6851" spans="1:6">
      <c r="A6851" s="5" t="str">
        <f t="shared" si="118"/>
        <v>202321</v>
      </c>
      <c r="B6851" s="5" t="str">
        <f>"23085052926"</f>
        <v>23085052926</v>
      </c>
      <c r="C6851" s="6">
        <v>0</v>
      </c>
      <c r="D6851" s="6">
        <v>0</v>
      </c>
      <c r="E6851" s="6">
        <v>0</v>
      </c>
      <c r="F6851" s="11" t="s">
        <v>7</v>
      </c>
    </row>
    <row r="6852" spans="1:6">
      <c r="A6852" s="5" t="str">
        <f t="shared" si="118"/>
        <v>202321</v>
      </c>
      <c r="B6852" s="5" t="str">
        <f>"23085053113"</f>
        <v>23085053113</v>
      </c>
      <c r="C6852" s="6">
        <v>0</v>
      </c>
      <c r="D6852" s="6">
        <v>0</v>
      </c>
      <c r="E6852" s="6">
        <v>0</v>
      </c>
      <c r="F6852" s="11" t="s">
        <v>7</v>
      </c>
    </row>
    <row r="6853" spans="1:6">
      <c r="A6853" s="5" t="str">
        <f t="shared" si="118"/>
        <v>202321</v>
      </c>
      <c r="B6853" s="5" t="str">
        <f>"23085053114"</f>
        <v>23085053114</v>
      </c>
      <c r="C6853" s="6">
        <v>0</v>
      </c>
      <c r="D6853" s="6">
        <v>0</v>
      </c>
      <c r="E6853" s="6">
        <v>0</v>
      </c>
      <c r="F6853" s="11" t="s">
        <v>7</v>
      </c>
    </row>
    <row r="6854" spans="1:6">
      <c r="A6854" s="5" t="str">
        <f t="shared" si="118"/>
        <v>202321</v>
      </c>
      <c r="B6854" s="5" t="str">
        <f>"23085052709"</f>
        <v>23085052709</v>
      </c>
      <c r="C6854" s="6">
        <v>0</v>
      </c>
      <c r="D6854" s="6">
        <v>0</v>
      </c>
      <c r="E6854" s="6">
        <v>0</v>
      </c>
      <c r="F6854" s="11" t="s">
        <v>7</v>
      </c>
    </row>
    <row r="6855" spans="1:6">
      <c r="A6855" s="5" t="str">
        <f t="shared" si="118"/>
        <v>202321</v>
      </c>
      <c r="B6855" s="5" t="str">
        <f>"23085053021"</f>
        <v>23085053021</v>
      </c>
      <c r="C6855" s="6">
        <v>0</v>
      </c>
      <c r="D6855" s="6">
        <v>0</v>
      </c>
      <c r="E6855" s="6">
        <v>0</v>
      </c>
      <c r="F6855" s="11" t="s">
        <v>7</v>
      </c>
    </row>
    <row r="6856" spans="1:6">
      <c r="A6856" s="5" t="str">
        <f t="shared" si="118"/>
        <v>202321</v>
      </c>
      <c r="B6856" s="5" t="str">
        <f>"23085053009"</f>
        <v>23085053009</v>
      </c>
      <c r="C6856" s="6">
        <v>0</v>
      </c>
      <c r="D6856" s="6">
        <v>0</v>
      </c>
      <c r="E6856" s="6">
        <v>0</v>
      </c>
      <c r="F6856" s="11" t="s">
        <v>7</v>
      </c>
    </row>
    <row r="6857" spans="1:6">
      <c r="A6857" s="5" t="str">
        <f t="shared" si="118"/>
        <v>202321</v>
      </c>
      <c r="B6857" s="5" t="str">
        <f>"23085053006"</f>
        <v>23085053006</v>
      </c>
      <c r="C6857" s="6">
        <v>0</v>
      </c>
      <c r="D6857" s="6">
        <v>0</v>
      </c>
      <c r="E6857" s="6">
        <v>0</v>
      </c>
      <c r="F6857" s="11" t="s">
        <v>7</v>
      </c>
    </row>
    <row r="6858" spans="1:6">
      <c r="A6858" s="5" t="str">
        <f t="shared" si="118"/>
        <v>202321</v>
      </c>
      <c r="B6858" s="5" t="str">
        <f>"23085053025"</f>
        <v>23085053025</v>
      </c>
      <c r="C6858" s="6">
        <v>0</v>
      </c>
      <c r="D6858" s="6">
        <v>0</v>
      </c>
      <c r="E6858" s="6">
        <v>0</v>
      </c>
      <c r="F6858" s="11" t="s">
        <v>7</v>
      </c>
    </row>
    <row r="6859" spans="1:6">
      <c r="A6859" s="5" t="str">
        <f t="shared" si="118"/>
        <v>202321</v>
      </c>
      <c r="B6859" s="5" t="str">
        <f>"23085053117"</f>
        <v>23085053117</v>
      </c>
      <c r="C6859" s="6">
        <v>0</v>
      </c>
      <c r="D6859" s="6">
        <v>0</v>
      </c>
      <c r="E6859" s="6">
        <v>0</v>
      </c>
      <c r="F6859" s="11" t="s">
        <v>7</v>
      </c>
    </row>
    <row r="6860" spans="1:6">
      <c r="A6860" s="5" t="str">
        <f t="shared" si="118"/>
        <v>202321</v>
      </c>
      <c r="B6860" s="5" t="str">
        <f>"23085052920"</f>
        <v>23085052920</v>
      </c>
      <c r="C6860" s="6">
        <v>0</v>
      </c>
      <c r="D6860" s="6">
        <v>0</v>
      </c>
      <c r="E6860" s="6">
        <v>0</v>
      </c>
      <c r="F6860" s="11" t="s">
        <v>7</v>
      </c>
    </row>
    <row r="6861" spans="1:6">
      <c r="A6861" s="5" t="str">
        <f t="shared" si="118"/>
        <v>202321</v>
      </c>
      <c r="B6861" s="5" t="str">
        <f>"23085052815"</f>
        <v>23085052815</v>
      </c>
      <c r="C6861" s="6">
        <v>0</v>
      </c>
      <c r="D6861" s="6">
        <v>0</v>
      </c>
      <c r="E6861" s="6">
        <v>0</v>
      </c>
      <c r="F6861" s="11" t="s">
        <v>7</v>
      </c>
    </row>
    <row r="6862" spans="1:6">
      <c r="A6862" s="5" t="str">
        <f t="shared" si="118"/>
        <v>202321</v>
      </c>
      <c r="B6862" s="5" t="str">
        <f>"23085052818"</f>
        <v>23085052818</v>
      </c>
      <c r="C6862" s="6">
        <v>0</v>
      </c>
      <c r="D6862" s="6">
        <v>0</v>
      </c>
      <c r="E6862" s="6">
        <v>0</v>
      </c>
      <c r="F6862" s="11" t="s">
        <v>7</v>
      </c>
    </row>
    <row r="6863" spans="1:6">
      <c r="A6863" s="5" t="str">
        <f t="shared" si="118"/>
        <v>202321</v>
      </c>
      <c r="B6863" s="5" t="str">
        <f>"23085052717"</f>
        <v>23085052717</v>
      </c>
      <c r="C6863" s="6">
        <v>0</v>
      </c>
      <c r="D6863" s="6">
        <v>0</v>
      </c>
      <c r="E6863" s="6">
        <v>0</v>
      </c>
      <c r="F6863" s="11" t="s">
        <v>7</v>
      </c>
    </row>
    <row r="6864" spans="1:6">
      <c r="A6864" s="5" t="str">
        <f t="shared" si="118"/>
        <v>202321</v>
      </c>
      <c r="B6864" s="5" t="str">
        <f>"23085053012"</f>
        <v>23085053012</v>
      </c>
      <c r="C6864" s="6">
        <v>0</v>
      </c>
      <c r="D6864" s="6">
        <v>0</v>
      </c>
      <c r="E6864" s="6">
        <v>0</v>
      </c>
      <c r="F6864" s="11" t="s">
        <v>7</v>
      </c>
    </row>
    <row r="6865" spans="1:6">
      <c r="A6865" s="5" t="str">
        <f t="shared" si="118"/>
        <v>202321</v>
      </c>
      <c r="B6865" s="5" t="str">
        <f>"23085052908"</f>
        <v>23085052908</v>
      </c>
      <c r="C6865" s="6">
        <v>0</v>
      </c>
      <c r="D6865" s="6">
        <v>0</v>
      </c>
      <c r="E6865" s="6">
        <v>0</v>
      </c>
      <c r="F6865" s="11" t="s">
        <v>7</v>
      </c>
    </row>
    <row r="6866" spans="1:6">
      <c r="A6866" s="5" t="str">
        <f t="shared" si="118"/>
        <v>202321</v>
      </c>
      <c r="B6866" s="5" t="str">
        <f>"23085053105"</f>
        <v>23085053105</v>
      </c>
      <c r="C6866" s="6">
        <v>0</v>
      </c>
      <c r="D6866" s="6">
        <v>0</v>
      </c>
      <c r="E6866" s="6">
        <v>0</v>
      </c>
      <c r="F6866" s="11" t="s">
        <v>7</v>
      </c>
    </row>
    <row r="6867" spans="1:6">
      <c r="A6867" s="5" t="str">
        <f t="shared" si="118"/>
        <v>202321</v>
      </c>
      <c r="B6867" s="5" t="str">
        <f>"23085052707"</f>
        <v>23085052707</v>
      </c>
      <c r="C6867" s="6">
        <v>0</v>
      </c>
      <c r="D6867" s="6">
        <v>0</v>
      </c>
      <c r="E6867" s="6">
        <v>0</v>
      </c>
      <c r="F6867" s="11" t="s">
        <v>7</v>
      </c>
    </row>
    <row r="6868" spans="1:6">
      <c r="A6868" s="5" t="str">
        <f t="shared" si="118"/>
        <v>202321</v>
      </c>
      <c r="B6868" s="5" t="str">
        <f>"23085052611"</f>
        <v>23085052611</v>
      </c>
      <c r="C6868" s="6">
        <v>0</v>
      </c>
      <c r="D6868" s="6">
        <v>0</v>
      </c>
      <c r="E6868" s="6">
        <v>0</v>
      </c>
      <c r="F6868" s="11" t="s">
        <v>7</v>
      </c>
    </row>
    <row r="6869" spans="1:6">
      <c r="A6869" s="5" t="str">
        <f t="shared" si="118"/>
        <v>202321</v>
      </c>
      <c r="B6869" s="5" t="str">
        <f>"23085052816"</f>
        <v>23085052816</v>
      </c>
      <c r="C6869" s="6">
        <v>0</v>
      </c>
      <c r="D6869" s="6">
        <v>0</v>
      </c>
      <c r="E6869" s="6">
        <v>0</v>
      </c>
      <c r="F6869" s="11" t="s">
        <v>7</v>
      </c>
    </row>
    <row r="6870" spans="1:6">
      <c r="A6870" s="5" t="str">
        <f t="shared" si="118"/>
        <v>202321</v>
      </c>
      <c r="B6870" s="5" t="str">
        <f>"23085053128"</f>
        <v>23085053128</v>
      </c>
      <c r="C6870" s="6">
        <v>0</v>
      </c>
      <c r="D6870" s="6">
        <v>0</v>
      </c>
      <c r="E6870" s="6">
        <v>0</v>
      </c>
      <c r="F6870" s="11" t="s">
        <v>7</v>
      </c>
    </row>
    <row r="6871" spans="1:6">
      <c r="A6871" s="5" t="str">
        <f t="shared" si="118"/>
        <v>202321</v>
      </c>
      <c r="B6871" s="5" t="str">
        <f>"23085052825"</f>
        <v>23085052825</v>
      </c>
      <c r="C6871" s="6">
        <v>0</v>
      </c>
      <c r="D6871" s="6">
        <v>0</v>
      </c>
      <c r="E6871" s="6">
        <v>0</v>
      </c>
      <c r="F6871" s="11" t="s">
        <v>7</v>
      </c>
    </row>
    <row r="6872" spans="1:6">
      <c r="A6872" s="5" t="str">
        <f t="shared" si="118"/>
        <v>202321</v>
      </c>
      <c r="B6872" s="5" t="str">
        <f>"23085053101"</f>
        <v>23085053101</v>
      </c>
      <c r="C6872" s="6">
        <v>0</v>
      </c>
      <c r="D6872" s="6">
        <v>0</v>
      </c>
      <c r="E6872" s="6">
        <v>0</v>
      </c>
      <c r="F6872" s="11" t="s">
        <v>7</v>
      </c>
    </row>
    <row r="6873" spans="1:6">
      <c r="A6873" s="5" t="str">
        <f t="shared" si="118"/>
        <v>202321</v>
      </c>
      <c r="B6873" s="5" t="str">
        <f>"23085052710"</f>
        <v>23085052710</v>
      </c>
      <c r="C6873" s="6">
        <v>0</v>
      </c>
      <c r="D6873" s="6">
        <v>0</v>
      </c>
      <c r="E6873" s="6">
        <v>0</v>
      </c>
      <c r="F6873" s="11" t="s">
        <v>7</v>
      </c>
    </row>
    <row r="6874" spans="1:6">
      <c r="A6874" s="5" t="str">
        <f t="shared" si="118"/>
        <v>202321</v>
      </c>
      <c r="B6874" s="5" t="str">
        <f>"23085052814"</f>
        <v>23085052814</v>
      </c>
      <c r="C6874" s="6">
        <v>0</v>
      </c>
      <c r="D6874" s="6">
        <v>0</v>
      </c>
      <c r="E6874" s="6">
        <v>0</v>
      </c>
      <c r="F6874" s="11" t="s">
        <v>7</v>
      </c>
    </row>
    <row r="6875" spans="1:6">
      <c r="A6875" s="5" t="str">
        <f t="shared" si="118"/>
        <v>202321</v>
      </c>
      <c r="B6875" s="5" t="str">
        <f>"23085053010"</f>
        <v>23085053010</v>
      </c>
      <c r="C6875" s="6">
        <v>0</v>
      </c>
      <c r="D6875" s="6">
        <v>0</v>
      </c>
      <c r="E6875" s="6">
        <v>0</v>
      </c>
      <c r="F6875" s="11" t="s">
        <v>7</v>
      </c>
    </row>
    <row r="6876" spans="1:6">
      <c r="A6876" s="5" t="str">
        <f t="shared" si="118"/>
        <v>202321</v>
      </c>
      <c r="B6876" s="5" t="str">
        <f>"23085053002"</f>
        <v>23085053002</v>
      </c>
      <c r="C6876" s="6">
        <v>0</v>
      </c>
      <c r="D6876" s="6">
        <v>0</v>
      </c>
      <c r="E6876" s="6">
        <v>0</v>
      </c>
      <c r="F6876" s="11" t="s">
        <v>7</v>
      </c>
    </row>
    <row r="6877" spans="1:6">
      <c r="A6877" s="5" t="str">
        <f t="shared" ref="A6877:A6940" si="119">"202322"</f>
        <v>202322</v>
      </c>
      <c r="B6877" s="5" t="str">
        <f>"23085053427"</f>
        <v>23085053427</v>
      </c>
      <c r="C6877" s="6">
        <v>121.5</v>
      </c>
      <c r="D6877" s="6">
        <v>125</v>
      </c>
      <c r="E6877" s="6">
        <v>246.5</v>
      </c>
      <c r="F6877" s="11"/>
    </row>
    <row r="6878" spans="1:6">
      <c r="A6878" s="5" t="str">
        <f t="shared" si="119"/>
        <v>202322</v>
      </c>
      <c r="B6878" s="5" t="str">
        <f>"23085053224"</f>
        <v>23085053224</v>
      </c>
      <c r="C6878" s="6">
        <v>120</v>
      </c>
      <c r="D6878" s="6">
        <v>115.5</v>
      </c>
      <c r="E6878" s="6">
        <v>235.5</v>
      </c>
      <c r="F6878" s="11"/>
    </row>
    <row r="6879" spans="1:6">
      <c r="A6879" s="5" t="str">
        <f t="shared" si="119"/>
        <v>202322</v>
      </c>
      <c r="B6879" s="5" t="str">
        <f>"23085053407"</f>
        <v>23085053407</v>
      </c>
      <c r="C6879" s="6">
        <v>115.5</v>
      </c>
      <c r="D6879" s="6">
        <v>119</v>
      </c>
      <c r="E6879" s="6">
        <v>234.5</v>
      </c>
      <c r="F6879" s="11"/>
    </row>
    <row r="6880" spans="1:6">
      <c r="A6880" s="5" t="str">
        <f t="shared" si="119"/>
        <v>202322</v>
      </c>
      <c r="B6880" s="5" t="str">
        <f>"23085053320"</f>
        <v>23085053320</v>
      </c>
      <c r="C6880" s="6">
        <v>109.5</v>
      </c>
      <c r="D6880" s="6">
        <v>124.5</v>
      </c>
      <c r="E6880" s="6">
        <v>234</v>
      </c>
      <c r="F6880" s="11"/>
    </row>
    <row r="6881" spans="1:6">
      <c r="A6881" s="5" t="str">
        <f t="shared" si="119"/>
        <v>202322</v>
      </c>
      <c r="B6881" s="5" t="str">
        <f>"23085053306"</f>
        <v>23085053306</v>
      </c>
      <c r="C6881" s="6">
        <v>117</v>
      </c>
      <c r="D6881" s="6">
        <v>114</v>
      </c>
      <c r="E6881" s="6">
        <v>231</v>
      </c>
      <c r="F6881" s="11"/>
    </row>
    <row r="6882" spans="1:6">
      <c r="A6882" s="5" t="str">
        <f t="shared" si="119"/>
        <v>202322</v>
      </c>
      <c r="B6882" s="5" t="str">
        <f>"23085053430"</f>
        <v>23085053430</v>
      </c>
      <c r="C6882" s="6">
        <v>106.5</v>
      </c>
      <c r="D6882" s="6">
        <v>122</v>
      </c>
      <c r="E6882" s="6">
        <v>228.5</v>
      </c>
      <c r="F6882" s="11"/>
    </row>
    <row r="6883" spans="1:6">
      <c r="A6883" s="5" t="str">
        <f t="shared" si="119"/>
        <v>202322</v>
      </c>
      <c r="B6883" s="5" t="str">
        <f>"23085053218"</f>
        <v>23085053218</v>
      </c>
      <c r="C6883" s="6">
        <v>114</v>
      </c>
      <c r="D6883" s="6">
        <v>113.5</v>
      </c>
      <c r="E6883" s="6">
        <v>227.5</v>
      </c>
      <c r="F6883" s="11"/>
    </row>
    <row r="6884" spans="1:6">
      <c r="A6884" s="5" t="str">
        <f t="shared" si="119"/>
        <v>202322</v>
      </c>
      <c r="B6884" s="5" t="str">
        <f>"23085053317"</f>
        <v>23085053317</v>
      </c>
      <c r="C6884" s="6">
        <v>111</v>
      </c>
      <c r="D6884" s="6">
        <v>115.5</v>
      </c>
      <c r="E6884" s="6">
        <v>226.5</v>
      </c>
      <c r="F6884" s="11"/>
    </row>
    <row r="6885" spans="1:6">
      <c r="A6885" s="5" t="str">
        <f t="shared" si="119"/>
        <v>202322</v>
      </c>
      <c r="B6885" s="5" t="str">
        <f>"23085053420"</f>
        <v>23085053420</v>
      </c>
      <c r="C6885" s="6">
        <v>114</v>
      </c>
      <c r="D6885" s="6">
        <v>112</v>
      </c>
      <c r="E6885" s="6">
        <v>226</v>
      </c>
      <c r="F6885" s="11"/>
    </row>
    <row r="6886" spans="1:6">
      <c r="A6886" s="5" t="str">
        <f t="shared" si="119"/>
        <v>202322</v>
      </c>
      <c r="B6886" s="5" t="str">
        <f>"23085053411"</f>
        <v>23085053411</v>
      </c>
      <c r="C6886" s="6">
        <v>109.5</v>
      </c>
      <c r="D6886" s="6">
        <v>114.5</v>
      </c>
      <c r="E6886" s="6">
        <v>224</v>
      </c>
      <c r="F6886" s="11"/>
    </row>
    <row r="6887" spans="1:6">
      <c r="A6887" s="5" t="str">
        <f t="shared" si="119"/>
        <v>202322</v>
      </c>
      <c r="B6887" s="5" t="str">
        <f>"23085053304"</f>
        <v>23085053304</v>
      </c>
      <c r="C6887" s="6">
        <v>109.5</v>
      </c>
      <c r="D6887" s="6">
        <v>114</v>
      </c>
      <c r="E6887" s="6">
        <v>223.5</v>
      </c>
      <c r="F6887" s="11"/>
    </row>
    <row r="6888" spans="1:6">
      <c r="A6888" s="5" t="str">
        <f t="shared" si="119"/>
        <v>202322</v>
      </c>
      <c r="B6888" s="5" t="str">
        <f>"23085053416"</f>
        <v>23085053416</v>
      </c>
      <c r="C6888" s="6">
        <v>100.5</v>
      </c>
      <c r="D6888" s="6">
        <v>122.5</v>
      </c>
      <c r="E6888" s="6">
        <v>223</v>
      </c>
      <c r="F6888" s="11"/>
    </row>
    <row r="6889" spans="1:6">
      <c r="A6889" s="5" t="str">
        <f t="shared" si="119"/>
        <v>202322</v>
      </c>
      <c r="B6889" s="5" t="str">
        <f>"23085053404"</f>
        <v>23085053404</v>
      </c>
      <c r="C6889" s="6">
        <v>106.5</v>
      </c>
      <c r="D6889" s="6">
        <v>116.5</v>
      </c>
      <c r="E6889" s="6">
        <v>223</v>
      </c>
      <c r="F6889" s="11"/>
    </row>
    <row r="6890" spans="1:6">
      <c r="A6890" s="5" t="str">
        <f t="shared" si="119"/>
        <v>202322</v>
      </c>
      <c r="B6890" s="5" t="str">
        <f>"23085053401"</f>
        <v>23085053401</v>
      </c>
      <c r="C6890" s="6">
        <v>102</v>
      </c>
      <c r="D6890" s="6">
        <v>120.5</v>
      </c>
      <c r="E6890" s="6">
        <v>222.5</v>
      </c>
      <c r="F6890" s="11"/>
    </row>
    <row r="6891" spans="1:6">
      <c r="A6891" s="5" t="str">
        <f t="shared" si="119"/>
        <v>202322</v>
      </c>
      <c r="B6891" s="5" t="str">
        <f>"23085053319"</f>
        <v>23085053319</v>
      </c>
      <c r="C6891" s="6">
        <v>108</v>
      </c>
      <c r="D6891" s="6">
        <v>114</v>
      </c>
      <c r="E6891" s="6">
        <v>222</v>
      </c>
      <c r="F6891" s="11"/>
    </row>
    <row r="6892" spans="1:6">
      <c r="A6892" s="5" t="str">
        <f t="shared" si="119"/>
        <v>202322</v>
      </c>
      <c r="B6892" s="5" t="str">
        <f>"23085053210"</f>
        <v>23085053210</v>
      </c>
      <c r="C6892" s="6">
        <v>103.5</v>
      </c>
      <c r="D6892" s="6">
        <v>118.5</v>
      </c>
      <c r="E6892" s="6">
        <v>222</v>
      </c>
      <c r="F6892" s="11"/>
    </row>
    <row r="6893" spans="1:6">
      <c r="A6893" s="5" t="str">
        <f t="shared" si="119"/>
        <v>202322</v>
      </c>
      <c r="B6893" s="5" t="str">
        <f>"23085053424"</f>
        <v>23085053424</v>
      </c>
      <c r="C6893" s="6">
        <v>108</v>
      </c>
      <c r="D6893" s="6">
        <v>113</v>
      </c>
      <c r="E6893" s="6">
        <v>221</v>
      </c>
      <c r="F6893" s="11"/>
    </row>
    <row r="6894" spans="1:6">
      <c r="A6894" s="5" t="str">
        <f t="shared" si="119"/>
        <v>202322</v>
      </c>
      <c r="B6894" s="5" t="str">
        <f>"23085053302"</f>
        <v>23085053302</v>
      </c>
      <c r="C6894" s="6">
        <v>102</v>
      </c>
      <c r="D6894" s="6">
        <v>118.5</v>
      </c>
      <c r="E6894" s="6">
        <v>220.5</v>
      </c>
      <c r="F6894" s="11"/>
    </row>
    <row r="6895" spans="1:6">
      <c r="A6895" s="5" t="str">
        <f t="shared" si="119"/>
        <v>202322</v>
      </c>
      <c r="B6895" s="5" t="str">
        <f>"23085053501"</f>
        <v>23085053501</v>
      </c>
      <c r="C6895" s="6">
        <v>97.5</v>
      </c>
      <c r="D6895" s="6">
        <v>121.5</v>
      </c>
      <c r="E6895" s="6">
        <v>219</v>
      </c>
      <c r="F6895" s="11"/>
    </row>
    <row r="6896" spans="1:6">
      <c r="A6896" s="5" t="str">
        <f t="shared" si="119"/>
        <v>202322</v>
      </c>
      <c r="B6896" s="5" t="str">
        <f>"23085053418"</f>
        <v>23085053418</v>
      </c>
      <c r="C6896" s="6">
        <v>105</v>
      </c>
      <c r="D6896" s="6">
        <v>112.5</v>
      </c>
      <c r="E6896" s="6">
        <v>217.5</v>
      </c>
      <c r="F6896" s="11"/>
    </row>
    <row r="6897" spans="1:6">
      <c r="A6897" s="5" t="str">
        <f t="shared" si="119"/>
        <v>202322</v>
      </c>
      <c r="B6897" s="5" t="str">
        <f>"23085053316"</f>
        <v>23085053316</v>
      </c>
      <c r="C6897" s="6">
        <v>97.5</v>
      </c>
      <c r="D6897" s="6">
        <v>119.5</v>
      </c>
      <c r="E6897" s="6">
        <v>217</v>
      </c>
      <c r="F6897" s="11"/>
    </row>
    <row r="6898" spans="1:6">
      <c r="A6898" s="5" t="str">
        <f t="shared" si="119"/>
        <v>202322</v>
      </c>
      <c r="B6898" s="5" t="str">
        <f>"23085053423"</f>
        <v>23085053423</v>
      </c>
      <c r="C6898" s="6">
        <v>97.5</v>
      </c>
      <c r="D6898" s="6">
        <v>119</v>
      </c>
      <c r="E6898" s="6">
        <v>216.5</v>
      </c>
      <c r="F6898" s="11"/>
    </row>
    <row r="6899" spans="1:6">
      <c r="A6899" s="5" t="str">
        <f t="shared" si="119"/>
        <v>202322</v>
      </c>
      <c r="B6899" s="5" t="str">
        <f>"23085053415"</f>
        <v>23085053415</v>
      </c>
      <c r="C6899" s="6">
        <v>97.5</v>
      </c>
      <c r="D6899" s="6">
        <v>119</v>
      </c>
      <c r="E6899" s="6">
        <v>216.5</v>
      </c>
      <c r="F6899" s="11"/>
    </row>
    <row r="6900" spans="1:6">
      <c r="A6900" s="5" t="str">
        <f t="shared" si="119"/>
        <v>202322</v>
      </c>
      <c r="B6900" s="5" t="str">
        <f>"23085053328"</f>
        <v>23085053328</v>
      </c>
      <c r="C6900" s="6">
        <v>100.5</v>
      </c>
      <c r="D6900" s="6">
        <v>115.5</v>
      </c>
      <c r="E6900" s="6">
        <v>216</v>
      </c>
      <c r="F6900" s="11"/>
    </row>
    <row r="6901" spans="1:6">
      <c r="A6901" s="5" t="str">
        <f t="shared" si="119"/>
        <v>202322</v>
      </c>
      <c r="B6901" s="5" t="str">
        <f>"23085053220"</f>
        <v>23085053220</v>
      </c>
      <c r="C6901" s="6">
        <v>100.5</v>
      </c>
      <c r="D6901" s="6">
        <v>115</v>
      </c>
      <c r="E6901" s="6">
        <v>215.5</v>
      </c>
      <c r="F6901" s="11"/>
    </row>
    <row r="6902" spans="1:6">
      <c r="A6902" s="5" t="str">
        <f t="shared" si="119"/>
        <v>202322</v>
      </c>
      <c r="B6902" s="5" t="str">
        <f>"23085053326"</f>
        <v>23085053326</v>
      </c>
      <c r="C6902" s="6">
        <v>100.5</v>
      </c>
      <c r="D6902" s="6">
        <v>114.5</v>
      </c>
      <c r="E6902" s="6">
        <v>215</v>
      </c>
      <c r="F6902" s="11"/>
    </row>
    <row r="6903" spans="1:6">
      <c r="A6903" s="5" t="str">
        <f t="shared" si="119"/>
        <v>202322</v>
      </c>
      <c r="B6903" s="5" t="str">
        <f>"23085053425"</f>
        <v>23085053425</v>
      </c>
      <c r="C6903" s="6">
        <v>99</v>
      </c>
      <c r="D6903" s="6">
        <v>115.5</v>
      </c>
      <c r="E6903" s="6">
        <v>214.5</v>
      </c>
      <c r="F6903" s="11"/>
    </row>
    <row r="6904" spans="1:6">
      <c r="A6904" s="5" t="str">
        <f t="shared" si="119"/>
        <v>202322</v>
      </c>
      <c r="B6904" s="5" t="str">
        <f>"23085053414"</f>
        <v>23085053414</v>
      </c>
      <c r="C6904" s="6">
        <v>99</v>
      </c>
      <c r="D6904" s="6">
        <v>114.5</v>
      </c>
      <c r="E6904" s="6">
        <v>213.5</v>
      </c>
      <c r="F6904" s="11"/>
    </row>
    <row r="6905" spans="1:6">
      <c r="A6905" s="5" t="str">
        <f t="shared" si="119"/>
        <v>202322</v>
      </c>
      <c r="B6905" s="5" t="str">
        <f>"23085053311"</f>
        <v>23085053311</v>
      </c>
      <c r="C6905" s="6">
        <v>96</v>
      </c>
      <c r="D6905" s="6">
        <v>117</v>
      </c>
      <c r="E6905" s="6">
        <v>213</v>
      </c>
      <c r="F6905" s="11"/>
    </row>
    <row r="6906" spans="1:6">
      <c r="A6906" s="5" t="str">
        <f t="shared" si="119"/>
        <v>202322</v>
      </c>
      <c r="B6906" s="5" t="str">
        <f>"23085053305"</f>
        <v>23085053305</v>
      </c>
      <c r="C6906" s="6">
        <v>97.5</v>
      </c>
      <c r="D6906" s="6">
        <v>114.5</v>
      </c>
      <c r="E6906" s="6">
        <v>212</v>
      </c>
      <c r="F6906" s="11"/>
    </row>
    <row r="6907" spans="1:6">
      <c r="A6907" s="5" t="str">
        <f t="shared" si="119"/>
        <v>202322</v>
      </c>
      <c r="B6907" s="5" t="str">
        <f>"23085053412"</f>
        <v>23085053412</v>
      </c>
      <c r="C6907" s="6">
        <v>99</v>
      </c>
      <c r="D6907" s="6">
        <v>112.5</v>
      </c>
      <c r="E6907" s="6">
        <v>211.5</v>
      </c>
      <c r="F6907" s="11"/>
    </row>
    <row r="6908" spans="1:6">
      <c r="A6908" s="5" t="str">
        <f t="shared" si="119"/>
        <v>202322</v>
      </c>
      <c r="B6908" s="5" t="str">
        <f>"23085053503"</f>
        <v>23085053503</v>
      </c>
      <c r="C6908" s="6">
        <v>105</v>
      </c>
      <c r="D6908" s="6">
        <v>106</v>
      </c>
      <c r="E6908" s="6">
        <v>211</v>
      </c>
      <c r="F6908" s="11"/>
    </row>
    <row r="6909" spans="1:6">
      <c r="A6909" s="5" t="str">
        <f t="shared" si="119"/>
        <v>202322</v>
      </c>
      <c r="B6909" s="5" t="str">
        <f>"23085053429"</f>
        <v>23085053429</v>
      </c>
      <c r="C6909" s="6">
        <v>93</v>
      </c>
      <c r="D6909" s="6">
        <v>116.5</v>
      </c>
      <c r="E6909" s="6">
        <v>209.5</v>
      </c>
      <c r="F6909" s="11"/>
    </row>
    <row r="6910" spans="1:6">
      <c r="A6910" s="5" t="str">
        <f t="shared" si="119"/>
        <v>202322</v>
      </c>
      <c r="B6910" s="5" t="str">
        <f>"23085053405"</f>
        <v>23085053405</v>
      </c>
      <c r="C6910" s="6">
        <v>90</v>
      </c>
      <c r="D6910" s="6">
        <v>118.5</v>
      </c>
      <c r="E6910" s="6">
        <v>208.5</v>
      </c>
      <c r="F6910" s="11"/>
    </row>
    <row r="6911" spans="1:6">
      <c r="A6911" s="5" t="str">
        <f t="shared" si="119"/>
        <v>202322</v>
      </c>
      <c r="B6911" s="5" t="str">
        <f>"23085053321"</f>
        <v>23085053321</v>
      </c>
      <c r="C6911" s="6">
        <v>94.5</v>
      </c>
      <c r="D6911" s="6">
        <v>111</v>
      </c>
      <c r="E6911" s="6">
        <v>205.5</v>
      </c>
      <c r="F6911" s="11"/>
    </row>
    <row r="6912" spans="1:6">
      <c r="A6912" s="5" t="str">
        <f t="shared" si="119"/>
        <v>202322</v>
      </c>
      <c r="B6912" s="5" t="str">
        <f>"23085053408"</f>
        <v>23085053408</v>
      </c>
      <c r="C6912" s="6">
        <v>85.5</v>
      </c>
      <c r="D6912" s="6">
        <v>119</v>
      </c>
      <c r="E6912" s="6">
        <v>204.5</v>
      </c>
      <c r="F6912" s="11"/>
    </row>
    <row r="6913" spans="1:6">
      <c r="A6913" s="5" t="str">
        <f t="shared" si="119"/>
        <v>202322</v>
      </c>
      <c r="B6913" s="5" t="str">
        <f>"23085053228"</f>
        <v>23085053228</v>
      </c>
      <c r="C6913" s="6">
        <v>84</v>
      </c>
      <c r="D6913" s="6">
        <v>120.5</v>
      </c>
      <c r="E6913" s="6">
        <v>204.5</v>
      </c>
      <c r="F6913" s="11"/>
    </row>
    <row r="6914" spans="1:6">
      <c r="A6914" s="5" t="str">
        <f t="shared" si="119"/>
        <v>202322</v>
      </c>
      <c r="B6914" s="5" t="str">
        <f>"23085053426"</f>
        <v>23085053426</v>
      </c>
      <c r="C6914" s="6">
        <v>88.5</v>
      </c>
      <c r="D6914" s="6">
        <v>115.5</v>
      </c>
      <c r="E6914" s="6">
        <v>204</v>
      </c>
      <c r="F6914" s="11"/>
    </row>
    <row r="6915" spans="1:6">
      <c r="A6915" s="5" t="str">
        <f t="shared" si="119"/>
        <v>202322</v>
      </c>
      <c r="B6915" s="5" t="str">
        <f>"23085053409"</f>
        <v>23085053409</v>
      </c>
      <c r="C6915" s="6">
        <v>90</v>
      </c>
      <c r="D6915" s="6">
        <v>114</v>
      </c>
      <c r="E6915" s="6">
        <v>204</v>
      </c>
      <c r="F6915" s="11"/>
    </row>
    <row r="6916" spans="1:6">
      <c r="A6916" s="5" t="str">
        <f t="shared" si="119"/>
        <v>202322</v>
      </c>
      <c r="B6916" s="5" t="str">
        <f>"23085053323"</f>
        <v>23085053323</v>
      </c>
      <c r="C6916" s="6">
        <v>88.5</v>
      </c>
      <c r="D6916" s="6">
        <v>115.5</v>
      </c>
      <c r="E6916" s="6">
        <v>204</v>
      </c>
      <c r="F6916" s="11"/>
    </row>
    <row r="6917" spans="1:6">
      <c r="A6917" s="5" t="str">
        <f t="shared" si="119"/>
        <v>202322</v>
      </c>
      <c r="B6917" s="5" t="str">
        <f>"23085053209"</f>
        <v>23085053209</v>
      </c>
      <c r="C6917" s="6">
        <v>93</v>
      </c>
      <c r="D6917" s="6">
        <v>109</v>
      </c>
      <c r="E6917" s="6">
        <v>202</v>
      </c>
      <c r="F6917" s="11"/>
    </row>
    <row r="6918" spans="1:6">
      <c r="A6918" s="5" t="str">
        <f t="shared" si="119"/>
        <v>202322</v>
      </c>
      <c r="B6918" s="5" t="str">
        <f>"23085053502"</f>
        <v>23085053502</v>
      </c>
      <c r="C6918" s="6">
        <v>85.5</v>
      </c>
      <c r="D6918" s="6">
        <v>116</v>
      </c>
      <c r="E6918" s="6">
        <v>201.5</v>
      </c>
      <c r="F6918" s="11"/>
    </row>
    <row r="6919" spans="1:6">
      <c r="A6919" s="5" t="str">
        <f t="shared" si="119"/>
        <v>202322</v>
      </c>
      <c r="B6919" s="5" t="str">
        <f>"23085053208"</f>
        <v>23085053208</v>
      </c>
      <c r="C6919" s="6">
        <v>84</v>
      </c>
      <c r="D6919" s="6">
        <v>117</v>
      </c>
      <c r="E6919" s="6">
        <v>201</v>
      </c>
      <c r="F6919" s="11"/>
    </row>
    <row r="6920" spans="1:6">
      <c r="A6920" s="5" t="str">
        <f t="shared" si="119"/>
        <v>202322</v>
      </c>
      <c r="B6920" s="5" t="str">
        <f>"23085053301"</f>
        <v>23085053301</v>
      </c>
      <c r="C6920" s="6">
        <v>88.5</v>
      </c>
      <c r="D6920" s="6">
        <v>111</v>
      </c>
      <c r="E6920" s="6">
        <v>199.5</v>
      </c>
      <c r="F6920" s="11"/>
    </row>
    <row r="6921" spans="1:6">
      <c r="A6921" s="5" t="str">
        <f t="shared" si="119"/>
        <v>202322</v>
      </c>
      <c r="B6921" s="5" t="str">
        <f>"23085053504"</f>
        <v>23085053504</v>
      </c>
      <c r="C6921" s="6">
        <v>84</v>
      </c>
      <c r="D6921" s="6">
        <v>115</v>
      </c>
      <c r="E6921" s="6">
        <v>199</v>
      </c>
      <c r="F6921" s="11"/>
    </row>
    <row r="6922" spans="1:6">
      <c r="A6922" s="5" t="str">
        <f t="shared" si="119"/>
        <v>202322</v>
      </c>
      <c r="B6922" s="5" t="str">
        <f>"23085053406"</f>
        <v>23085053406</v>
      </c>
      <c r="C6922" s="6">
        <v>88.5</v>
      </c>
      <c r="D6922" s="6">
        <v>110</v>
      </c>
      <c r="E6922" s="6">
        <v>198.5</v>
      </c>
      <c r="F6922" s="11"/>
    </row>
    <row r="6923" spans="1:6">
      <c r="A6923" s="5" t="str">
        <f t="shared" si="119"/>
        <v>202322</v>
      </c>
      <c r="B6923" s="5" t="str">
        <f>"23085053315"</f>
        <v>23085053315</v>
      </c>
      <c r="C6923" s="6">
        <v>93</v>
      </c>
      <c r="D6923" s="6">
        <v>105.5</v>
      </c>
      <c r="E6923" s="6">
        <v>198.5</v>
      </c>
      <c r="F6923" s="11"/>
    </row>
    <row r="6924" spans="1:6">
      <c r="A6924" s="5" t="str">
        <f t="shared" si="119"/>
        <v>202322</v>
      </c>
      <c r="B6924" s="5" t="str">
        <f>"23085053318"</f>
        <v>23085053318</v>
      </c>
      <c r="C6924" s="6">
        <v>76.5</v>
      </c>
      <c r="D6924" s="6">
        <v>117</v>
      </c>
      <c r="E6924" s="6">
        <v>193.5</v>
      </c>
      <c r="F6924" s="11"/>
    </row>
    <row r="6925" spans="1:6">
      <c r="A6925" s="5" t="str">
        <f t="shared" si="119"/>
        <v>202322</v>
      </c>
      <c r="B6925" s="5" t="str">
        <f>"23085053226"</f>
        <v>23085053226</v>
      </c>
      <c r="C6925" s="6">
        <v>70.5</v>
      </c>
      <c r="D6925" s="6">
        <v>123</v>
      </c>
      <c r="E6925" s="6">
        <v>193.5</v>
      </c>
      <c r="F6925" s="11"/>
    </row>
    <row r="6926" spans="1:6">
      <c r="A6926" s="5" t="str">
        <f t="shared" si="119"/>
        <v>202322</v>
      </c>
      <c r="B6926" s="5" t="str">
        <f>"23085053223"</f>
        <v>23085053223</v>
      </c>
      <c r="C6926" s="6">
        <v>73.5</v>
      </c>
      <c r="D6926" s="6">
        <v>119.5</v>
      </c>
      <c r="E6926" s="6">
        <v>193</v>
      </c>
      <c r="F6926" s="11"/>
    </row>
    <row r="6927" spans="1:6">
      <c r="A6927" s="5" t="str">
        <f t="shared" si="119"/>
        <v>202322</v>
      </c>
      <c r="B6927" s="5" t="str">
        <f>"23085053213"</f>
        <v>23085053213</v>
      </c>
      <c r="C6927" s="6">
        <v>70.5</v>
      </c>
      <c r="D6927" s="6">
        <v>120</v>
      </c>
      <c r="E6927" s="6">
        <v>190.5</v>
      </c>
      <c r="F6927" s="11"/>
    </row>
    <row r="6928" spans="1:6">
      <c r="A6928" s="5" t="str">
        <f t="shared" si="119"/>
        <v>202322</v>
      </c>
      <c r="B6928" s="5" t="str">
        <f>"23085053212"</f>
        <v>23085053212</v>
      </c>
      <c r="C6928" s="6">
        <v>87</v>
      </c>
      <c r="D6928" s="6">
        <v>99.5</v>
      </c>
      <c r="E6928" s="6">
        <v>186.5</v>
      </c>
      <c r="F6928" s="11"/>
    </row>
    <row r="6929" spans="1:6">
      <c r="A6929" s="5" t="str">
        <f t="shared" si="119"/>
        <v>202322</v>
      </c>
      <c r="B6929" s="5" t="str">
        <f>"23085053215"</f>
        <v>23085053215</v>
      </c>
      <c r="C6929" s="6">
        <v>57</v>
      </c>
      <c r="D6929" s="6">
        <v>117</v>
      </c>
      <c r="E6929" s="6">
        <v>174</v>
      </c>
      <c r="F6929" s="11"/>
    </row>
    <row r="6930" spans="1:6">
      <c r="A6930" s="5" t="str">
        <f t="shared" si="119"/>
        <v>202322</v>
      </c>
      <c r="B6930" s="5" t="str">
        <f>"23085053327"</f>
        <v>23085053327</v>
      </c>
      <c r="C6930" s="6">
        <v>64.5</v>
      </c>
      <c r="D6930" s="6">
        <v>106</v>
      </c>
      <c r="E6930" s="6">
        <v>170.5</v>
      </c>
      <c r="F6930" s="11"/>
    </row>
    <row r="6931" spans="1:6">
      <c r="A6931" s="5" t="str">
        <f t="shared" si="119"/>
        <v>202322</v>
      </c>
      <c r="B6931" s="5" t="str">
        <f>"23085053308"</f>
        <v>23085053308</v>
      </c>
      <c r="C6931" s="6">
        <v>73.5</v>
      </c>
      <c r="D6931" s="6">
        <v>81.5</v>
      </c>
      <c r="E6931" s="6">
        <v>155</v>
      </c>
      <c r="F6931" s="11"/>
    </row>
    <row r="6932" spans="1:6">
      <c r="A6932" s="5" t="str">
        <f t="shared" si="119"/>
        <v>202322</v>
      </c>
      <c r="B6932" s="5" t="str">
        <f>"23085053313"</f>
        <v>23085053313</v>
      </c>
      <c r="C6932" s="6">
        <v>63</v>
      </c>
      <c r="D6932" s="6">
        <v>77.5</v>
      </c>
      <c r="E6932" s="6">
        <v>140.5</v>
      </c>
      <c r="F6932" s="11"/>
    </row>
    <row r="6933" ht="32" customHeight="1" spans="1:6">
      <c r="A6933" s="5" t="str">
        <f t="shared" si="119"/>
        <v>202322</v>
      </c>
      <c r="B6933" s="5" t="str">
        <f>"23085053307"</f>
        <v>23085053307</v>
      </c>
      <c r="C6933" s="6">
        <v>0</v>
      </c>
      <c r="D6933" s="6">
        <v>120</v>
      </c>
      <c r="E6933" s="6">
        <v>120</v>
      </c>
      <c r="F6933" s="14" t="s">
        <v>10</v>
      </c>
    </row>
    <row r="6934" spans="1:6">
      <c r="A6934" s="5" t="str">
        <f t="shared" si="119"/>
        <v>202322</v>
      </c>
      <c r="B6934" s="5" t="str">
        <f>"23085053227"</f>
        <v>23085053227</v>
      </c>
      <c r="C6934" s="6">
        <v>75</v>
      </c>
      <c r="D6934" s="6">
        <v>36</v>
      </c>
      <c r="E6934" s="6">
        <v>111</v>
      </c>
      <c r="F6934" s="11"/>
    </row>
    <row r="6935" spans="1:6">
      <c r="A6935" s="5" t="str">
        <f t="shared" si="119"/>
        <v>202322</v>
      </c>
      <c r="B6935" s="5" t="str">
        <f>"23085053322"</f>
        <v>23085053322</v>
      </c>
      <c r="C6935" s="6">
        <v>0</v>
      </c>
      <c r="D6935" s="6">
        <v>0</v>
      </c>
      <c r="E6935" s="6">
        <v>0</v>
      </c>
      <c r="F6935" s="11" t="s">
        <v>7</v>
      </c>
    </row>
    <row r="6936" spans="1:6">
      <c r="A6936" s="5" t="str">
        <f t="shared" si="119"/>
        <v>202322</v>
      </c>
      <c r="B6936" s="5" t="str">
        <f>"23085053410"</f>
        <v>23085053410</v>
      </c>
      <c r="C6936" s="6">
        <v>0</v>
      </c>
      <c r="D6936" s="6">
        <v>0</v>
      </c>
      <c r="E6936" s="6">
        <v>0</v>
      </c>
      <c r="F6936" s="11" t="s">
        <v>7</v>
      </c>
    </row>
    <row r="6937" spans="1:6">
      <c r="A6937" s="5" t="str">
        <f t="shared" si="119"/>
        <v>202322</v>
      </c>
      <c r="B6937" s="5" t="str">
        <f>"23085053417"</f>
        <v>23085053417</v>
      </c>
      <c r="C6937" s="6">
        <v>0</v>
      </c>
      <c r="D6937" s="6">
        <v>0</v>
      </c>
      <c r="E6937" s="6">
        <v>0</v>
      </c>
      <c r="F6937" s="11" t="s">
        <v>7</v>
      </c>
    </row>
    <row r="6938" spans="1:6">
      <c r="A6938" s="5" t="str">
        <f t="shared" si="119"/>
        <v>202322</v>
      </c>
      <c r="B6938" s="5" t="str">
        <f>"23085053421"</f>
        <v>23085053421</v>
      </c>
      <c r="C6938" s="6">
        <v>0</v>
      </c>
      <c r="D6938" s="6">
        <v>0</v>
      </c>
      <c r="E6938" s="6">
        <v>0</v>
      </c>
      <c r="F6938" s="11" t="s">
        <v>7</v>
      </c>
    </row>
    <row r="6939" spans="1:6">
      <c r="A6939" s="5" t="str">
        <f t="shared" si="119"/>
        <v>202322</v>
      </c>
      <c r="B6939" s="5" t="str">
        <f>"23085053206"</f>
        <v>23085053206</v>
      </c>
      <c r="C6939" s="6">
        <v>0</v>
      </c>
      <c r="D6939" s="6">
        <v>0</v>
      </c>
      <c r="E6939" s="6">
        <v>0</v>
      </c>
      <c r="F6939" s="11" t="s">
        <v>7</v>
      </c>
    </row>
    <row r="6940" spans="1:6">
      <c r="A6940" s="5" t="str">
        <f t="shared" si="119"/>
        <v>202322</v>
      </c>
      <c r="B6940" s="5" t="str">
        <f>"23085053225"</f>
        <v>23085053225</v>
      </c>
      <c r="C6940" s="6">
        <v>0</v>
      </c>
      <c r="D6940" s="6">
        <v>0</v>
      </c>
      <c r="E6940" s="6">
        <v>0</v>
      </c>
      <c r="F6940" s="11" t="s">
        <v>7</v>
      </c>
    </row>
    <row r="6941" spans="1:6">
      <c r="A6941" s="5" t="str">
        <f t="shared" ref="A6941:A6967" si="120">"202322"</f>
        <v>202322</v>
      </c>
      <c r="B6941" s="5" t="str">
        <f>"23085053222"</f>
        <v>23085053222</v>
      </c>
      <c r="C6941" s="6">
        <v>0</v>
      </c>
      <c r="D6941" s="6">
        <v>0</v>
      </c>
      <c r="E6941" s="6">
        <v>0</v>
      </c>
      <c r="F6941" s="11" t="s">
        <v>7</v>
      </c>
    </row>
    <row r="6942" spans="1:6">
      <c r="A6942" s="5" t="str">
        <f t="shared" si="120"/>
        <v>202322</v>
      </c>
      <c r="B6942" s="5" t="str">
        <f>"23085053314"</f>
        <v>23085053314</v>
      </c>
      <c r="C6942" s="6">
        <v>0</v>
      </c>
      <c r="D6942" s="6">
        <v>0</v>
      </c>
      <c r="E6942" s="6">
        <v>0</v>
      </c>
      <c r="F6942" s="11" t="s">
        <v>7</v>
      </c>
    </row>
    <row r="6943" spans="1:6">
      <c r="A6943" s="5" t="str">
        <f t="shared" si="120"/>
        <v>202322</v>
      </c>
      <c r="B6943" s="5" t="str">
        <f>"23085053309"</f>
        <v>23085053309</v>
      </c>
      <c r="C6943" s="6">
        <v>0</v>
      </c>
      <c r="D6943" s="6">
        <v>0</v>
      </c>
      <c r="E6943" s="6">
        <v>0</v>
      </c>
      <c r="F6943" s="11" t="s">
        <v>7</v>
      </c>
    </row>
    <row r="6944" spans="1:6">
      <c r="A6944" s="5" t="str">
        <f t="shared" si="120"/>
        <v>202322</v>
      </c>
      <c r="B6944" s="5" t="str">
        <f>"23085053205"</f>
        <v>23085053205</v>
      </c>
      <c r="C6944" s="6">
        <v>0</v>
      </c>
      <c r="D6944" s="6">
        <v>0</v>
      </c>
      <c r="E6944" s="6">
        <v>0</v>
      </c>
      <c r="F6944" s="11" t="s">
        <v>7</v>
      </c>
    </row>
    <row r="6945" spans="1:6">
      <c r="A6945" s="5" t="str">
        <f t="shared" si="120"/>
        <v>202322</v>
      </c>
      <c r="B6945" s="5" t="str">
        <f>"23085053207"</f>
        <v>23085053207</v>
      </c>
      <c r="C6945" s="6">
        <v>0</v>
      </c>
      <c r="D6945" s="6">
        <v>0</v>
      </c>
      <c r="E6945" s="6">
        <v>0</v>
      </c>
      <c r="F6945" s="11" t="s">
        <v>7</v>
      </c>
    </row>
    <row r="6946" spans="1:6">
      <c r="A6946" s="5" t="str">
        <f t="shared" si="120"/>
        <v>202322</v>
      </c>
      <c r="B6946" s="5" t="str">
        <f>"23085053419"</f>
        <v>23085053419</v>
      </c>
      <c r="C6946" s="6">
        <v>0</v>
      </c>
      <c r="D6946" s="6">
        <v>0</v>
      </c>
      <c r="E6946" s="6">
        <v>0</v>
      </c>
      <c r="F6946" s="11" t="s">
        <v>7</v>
      </c>
    </row>
    <row r="6947" spans="1:6">
      <c r="A6947" s="5" t="str">
        <f t="shared" si="120"/>
        <v>202322</v>
      </c>
      <c r="B6947" s="5" t="str">
        <f>"23085053330"</f>
        <v>23085053330</v>
      </c>
      <c r="C6947" s="6">
        <v>0</v>
      </c>
      <c r="D6947" s="6">
        <v>0</v>
      </c>
      <c r="E6947" s="6">
        <v>0</v>
      </c>
      <c r="F6947" s="11" t="s">
        <v>7</v>
      </c>
    </row>
    <row r="6948" spans="1:6">
      <c r="A6948" s="5" t="str">
        <f t="shared" si="120"/>
        <v>202322</v>
      </c>
      <c r="B6948" s="5" t="str">
        <f>"23085053422"</f>
        <v>23085053422</v>
      </c>
      <c r="C6948" s="6">
        <v>0</v>
      </c>
      <c r="D6948" s="6">
        <v>0</v>
      </c>
      <c r="E6948" s="6">
        <v>0</v>
      </c>
      <c r="F6948" s="11" t="s">
        <v>7</v>
      </c>
    </row>
    <row r="6949" spans="1:6">
      <c r="A6949" s="5" t="str">
        <f t="shared" si="120"/>
        <v>202322</v>
      </c>
      <c r="B6949" s="5" t="str">
        <f>"23085053413"</f>
        <v>23085053413</v>
      </c>
      <c r="C6949" s="6">
        <v>0</v>
      </c>
      <c r="D6949" s="6">
        <v>0</v>
      </c>
      <c r="E6949" s="6">
        <v>0</v>
      </c>
      <c r="F6949" s="11" t="s">
        <v>7</v>
      </c>
    </row>
    <row r="6950" spans="1:6">
      <c r="A6950" s="5" t="str">
        <f t="shared" si="120"/>
        <v>202322</v>
      </c>
      <c r="B6950" s="5" t="str">
        <f>"23085053403"</f>
        <v>23085053403</v>
      </c>
      <c r="C6950" s="6">
        <v>0</v>
      </c>
      <c r="D6950" s="6">
        <v>0</v>
      </c>
      <c r="E6950" s="6">
        <v>0</v>
      </c>
      <c r="F6950" s="11" t="s">
        <v>7</v>
      </c>
    </row>
    <row r="6951" spans="1:6">
      <c r="A6951" s="5" t="str">
        <f t="shared" si="120"/>
        <v>202322</v>
      </c>
      <c r="B6951" s="5" t="str">
        <f>"23085053312"</f>
        <v>23085053312</v>
      </c>
      <c r="C6951" s="6">
        <v>0</v>
      </c>
      <c r="D6951" s="6">
        <v>0</v>
      </c>
      <c r="E6951" s="6">
        <v>0</v>
      </c>
      <c r="F6951" s="11" t="s">
        <v>7</v>
      </c>
    </row>
    <row r="6952" spans="1:6">
      <c r="A6952" s="5" t="str">
        <f t="shared" si="120"/>
        <v>202322</v>
      </c>
      <c r="B6952" s="5" t="str">
        <f>"23085053505"</f>
        <v>23085053505</v>
      </c>
      <c r="C6952" s="6">
        <v>0</v>
      </c>
      <c r="D6952" s="6">
        <v>0</v>
      </c>
      <c r="E6952" s="6">
        <v>0</v>
      </c>
      <c r="F6952" s="11" t="s">
        <v>7</v>
      </c>
    </row>
    <row r="6953" spans="1:6">
      <c r="A6953" s="5" t="str">
        <f t="shared" si="120"/>
        <v>202322</v>
      </c>
      <c r="B6953" s="5" t="str">
        <f>"23085053214"</f>
        <v>23085053214</v>
      </c>
      <c r="C6953" s="6">
        <v>0</v>
      </c>
      <c r="D6953" s="6">
        <v>0</v>
      </c>
      <c r="E6953" s="6">
        <v>0</v>
      </c>
      <c r="F6953" s="11" t="s">
        <v>7</v>
      </c>
    </row>
    <row r="6954" spans="1:6">
      <c r="A6954" s="5" t="str">
        <f t="shared" si="120"/>
        <v>202322</v>
      </c>
      <c r="B6954" s="5" t="str">
        <f>"23085053303"</f>
        <v>23085053303</v>
      </c>
      <c r="C6954" s="6">
        <v>0</v>
      </c>
      <c r="D6954" s="6">
        <v>0</v>
      </c>
      <c r="E6954" s="6">
        <v>0</v>
      </c>
      <c r="F6954" s="11" t="s">
        <v>7</v>
      </c>
    </row>
    <row r="6955" spans="1:6">
      <c r="A6955" s="5" t="str">
        <f t="shared" si="120"/>
        <v>202322</v>
      </c>
      <c r="B6955" s="5" t="str">
        <f>"23085053310"</f>
        <v>23085053310</v>
      </c>
      <c r="C6955" s="6">
        <v>0</v>
      </c>
      <c r="D6955" s="6">
        <v>0</v>
      </c>
      <c r="E6955" s="6">
        <v>0</v>
      </c>
      <c r="F6955" s="11" t="s">
        <v>7</v>
      </c>
    </row>
    <row r="6956" spans="1:6">
      <c r="A6956" s="5" t="str">
        <f t="shared" si="120"/>
        <v>202322</v>
      </c>
      <c r="B6956" s="5" t="str">
        <f>"23085053219"</f>
        <v>23085053219</v>
      </c>
      <c r="C6956" s="6">
        <v>0</v>
      </c>
      <c r="D6956" s="6">
        <v>0</v>
      </c>
      <c r="E6956" s="6">
        <v>0</v>
      </c>
      <c r="F6956" s="11" t="s">
        <v>7</v>
      </c>
    </row>
    <row r="6957" spans="1:6">
      <c r="A6957" s="5" t="str">
        <f t="shared" si="120"/>
        <v>202322</v>
      </c>
      <c r="B6957" s="5" t="str">
        <f>"23085053221"</f>
        <v>23085053221</v>
      </c>
      <c r="C6957" s="6">
        <v>0</v>
      </c>
      <c r="D6957" s="6">
        <v>0</v>
      </c>
      <c r="E6957" s="6">
        <v>0</v>
      </c>
      <c r="F6957" s="11" t="s">
        <v>7</v>
      </c>
    </row>
    <row r="6958" spans="1:6">
      <c r="A6958" s="5" t="str">
        <f t="shared" si="120"/>
        <v>202322</v>
      </c>
      <c r="B6958" s="5" t="str">
        <f>"23085053324"</f>
        <v>23085053324</v>
      </c>
      <c r="C6958" s="6">
        <v>0</v>
      </c>
      <c r="D6958" s="6">
        <v>0</v>
      </c>
      <c r="E6958" s="6">
        <v>0</v>
      </c>
      <c r="F6958" s="11" t="s">
        <v>7</v>
      </c>
    </row>
    <row r="6959" spans="1:6">
      <c r="A6959" s="5" t="str">
        <f t="shared" si="120"/>
        <v>202322</v>
      </c>
      <c r="B6959" s="5" t="str">
        <f>"23085053230"</f>
        <v>23085053230</v>
      </c>
      <c r="C6959" s="6">
        <v>0</v>
      </c>
      <c r="D6959" s="6">
        <v>0</v>
      </c>
      <c r="E6959" s="6">
        <v>0</v>
      </c>
      <c r="F6959" s="11" t="s">
        <v>7</v>
      </c>
    </row>
    <row r="6960" spans="1:6">
      <c r="A6960" s="5" t="str">
        <f t="shared" si="120"/>
        <v>202322</v>
      </c>
      <c r="B6960" s="5" t="str">
        <f>"23085053211"</f>
        <v>23085053211</v>
      </c>
      <c r="C6960" s="6">
        <v>0</v>
      </c>
      <c r="D6960" s="6">
        <v>0</v>
      </c>
      <c r="E6960" s="6">
        <v>0</v>
      </c>
      <c r="F6960" s="11" t="s">
        <v>7</v>
      </c>
    </row>
    <row r="6961" spans="1:6">
      <c r="A6961" s="5" t="str">
        <f t="shared" si="120"/>
        <v>202322</v>
      </c>
      <c r="B6961" s="5" t="str">
        <f>"23085053325"</f>
        <v>23085053325</v>
      </c>
      <c r="C6961" s="6">
        <v>0</v>
      </c>
      <c r="D6961" s="6">
        <v>0</v>
      </c>
      <c r="E6961" s="6">
        <v>0</v>
      </c>
      <c r="F6961" s="11" t="s">
        <v>7</v>
      </c>
    </row>
    <row r="6962" spans="1:6">
      <c r="A6962" s="5" t="str">
        <f t="shared" si="120"/>
        <v>202322</v>
      </c>
      <c r="B6962" s="5" t="str">
        <f>"23085053229"</f>
        <v>23085053229</v>
      </c>
      <c r="C6962" s="6">
        <v>0</v>
      </c>
      <c r="D6962" s="6">
        <v>0</v>
      </c>
      <c r="E6962" s="6">
        <v>0</v>
      </c>
      <c r="F6962" s="11" t="s">
        <v>7</v>
      </c>
    </row>
    <row r="6963" spans="1:6">
      <c r="A6963" s="5" t="str">
        <f t="shared" si="120"/>
        <v>202322</v>
      </c>
      <c r="B6963" s="5" t="str">
        <f>"23085053217"</f>
        <v>23085053217</v>
      </c>
      <c r="C6963" s="6">
        <v>0</v>
      </c>
      <c r="D6963" s="6">
        <v>0</v>
      </c>
      <c r="E6963" s="6">
        <v>0</v>
      </c>
      <c r="F6963" s="11" t="s">
        <v>7</v>
      </c>
    </row>
    <row r="6964" spans="1:6">
      <c r="A6964" s="5" t="str">
        <f t="shared" si="120"/>
        <v>202322</v>
      </c>
      <c r="B6964" s="5" t="str">
        <f>"23085053329"</f>
        <v>23085053329</v>
      </c>
      <c r="C6964" s="6">
        <v>0</v>
      </c>
      <c r="D6964" s="6">
        <v>0</v>
      </c>
      <c r="E6964" s="6">
        <v>0</v>
      </c>
      <c r="F6964" s="11" t="s">
        <v>7</v>
      </c>
    </row>
    <row r="6965" spans="1:6">
      <c r="A6965" s="5" t="str">
        <f t="shared" si="120"/>
        <v>202322</v>
      </c>
      <c r="B6965" s="5" t="str">
        <f>"23085053428"</f>
        <v>23085053428</v>
      </c>
      <c r="C6965" s="6">
        <v>0</v>
      </c>
      <c r="D6965" s="6">
        <v>0</v>
      </c>
      <c r="E6965" s="6">
        <v>0</v>
      </c>
      <c r="F6965" s="11" t="s">
        <v>7</v>
      </c>
    </row>
    <row r="6966" spans="1:6">
      <c r="A6966" s="5" t="str">
        <f t="shared" si="120"/>
        <v>202322</v>
      </c>
      <c r="B6966" s="5" t="str">
        <f>"23085053216"</f>
        <v>23085053216</v>
      </c>
      <c r="C6966" s="6">
        <v>0</v>
      </c>
      <c r="D6966" s="6">
        <v>0</v>
      </c>
      <c r="E6966" s="6">
        <v>0</v>
      </c>
      <c r="F6966" s="11" t="s">
        <v>7</v>
      </c>
    </row>
    <row r="6967" spans="1:6">
      <c r="A6967" s="5" t="str">
        <f t="shared" si="120"/>
        <v>202322</v>
      </c>
      <c r="B6967" s="5" t="str">
        <f>"23085053402"</f>
        <v>23085053402</v>
      </c>
      <c r="C6967" s="6">
        <v>0</v>
      </c>
      <c r="D6967" s="6">
        <v>0</v>
      </c>
      <c r="E6967" s="6">
        <v>0</v>
      </c>
      <c r="F6967" s="11" t="s">
        <v>7</v>
      </c>
    </row>
    <row r="6968" spans="1:6">
      <c r="A6968" s="5" t="str">
        <f t="shared" ref="A6968:A7031" si="121">"202323"</f>
        <v>202323</v>
      </c>
      <c r="B6968" s="5" t="str">
        <f>"23085053509"</f>
        <v>23085053509</v>
      </c>
      <c r="C6968" s="6">
        <v>120</v>
      </c>
      <c r="D6968" s="6">
        <v>123.5</v>
      </c>
      <c r="E6968" s="6">
        <v>243.5</v>
      </c>
      <c r="F6968" s="11"/>
    </row>
    <row r="6969" spans="1:6">
      <c r="A6969" s="5" t="str">
        <f t="shared" si="121"/>
        <v>202323</v>
      </c>
      <c r="B6969" s="5" t="str">
        <f>"23085053603"</f>
        <v>23085053603</v>
      </c>
      <c r="C6969" s="6">
        <v>120</v>
      </c>
      <c r="D6969" s="6">
        <v>120</v>
      </c>
      <c r="E6969" s="6">
        <v>240</v>
      </c>
      <c r="F6969" s="11"/>
    </row>
    <row r="6970" spans="1:6">
      <c r="A6970" s="5" t="str">
        <f t="shared" si="121"/>
        <v>202323</v>
      </c>
      <c r="B6970" s="5" t="str">
        <f>"23085053707"</f>
        <v>23085053707</v>
      </c>
      <c r="C6970" s="6">
        <v>118.5</v>
      </c>
      <c r="D6970" s="6">
        <v>121</v>
      </c>
      <c r="E6970" s="6">
        <v>239.5</v>
      </c>
      <c r="F6970" s="11"/>
    </row>
    <row r="6971" spans="1:6">
      <c r="A6971" s="5" t="str">
        <f t="shared" si="121"/>
        <v>202323</v>
      </c>
      <c r="B6971" s="5" t="str">
        <f>"23085053529"</f>
        <v>23085053529</v>
      </c>
      <c r="C6971" s="6">
        <v>109.5</v>
      </c>
      <c r="D6971" s="6">
        <v>124</v>
      </c>
      <c r="E6971" s="6">
        <v>233.5</v>
      </c>
      <c r="F6971" s="11"/>
    </row>
    <row r="6972" spans="1:6">
      <c r="A6972" s="5" t="str">
        <f t="shared" si="121"/>
        <v>202323</v>
      </c>
      <c r="B6972" s="5" t="str">
        <f>"23085053717"</f>
        <v>23085053717</v>
      </c>
      <c r="C6972" s="6">
        <v>114</v>
      </c>
      <c r="D6972" s="6">
        <v>119</v>
      </c>
      <c r="E6972" s="6">
        <v>233</v>
      </c>
      <c r="F6972" s="11"/>
    </row>
    <row r="6973" spans="1:6">
      <c r="A6973" s="5" t="str">
        <f t="shared" si="121"/>
        <v>202323</v>
      </c>
      <c r="B6973" s="5" t="str">
        <f>"23085053710"</f>
        <v>23085053710</v>
      </c>
      <c r="C6973" s="6">
        <v>112.5</v>
      </c>
      <c r="D6973" s="6">
        <v>120</v>
      </c>
      <c r="E6973" s="6">
        <v>232.5</v>
      </c>
      <c r="F6973" s="11"/>
    </row>
    <row r="6974" spans="1:6">
      <c r="A6974" s="5" t="str">
        <f t="shared" si="121"/>
        <v>202323</v>
      </c>
      <c r="B6974" s="5" t="str">
        <f>"23085053629"</f>
        <v>23085053629</v>
      </c>
      <c r="C6974" s="6">
        <v>117</v>
      </c>
      <c r="D6974" s="6">
        <v>115</v>
      </c>
      <c r="E6974" s="6">
        <v>232</v>
      </c>
      <c r="F6974" s="11"/>
    </row>
    <row r="6975" spans="1:6">
      <c r="A6975" s="5" t="str">
        <f t="shared" si="121"/>
        <v>202323</v>
      </c>
      <c r="B6975" s="5" t="str">
        <f>"23085053825"</f>
        <v>23085053825</v>
      </c>
      <c r="C6975" s="6">
        <v>111</v>
      </c>
      <c r="D6975" s="6">
        <v>119.5</v>
      </c>
      <c r="E6975" s="6">
        <v>230.5</v>
      </c>
      <c r="F6975" s="11"/>
    </row>
    <row r="6976" spans="1:6">
      <c r="A6976" s="5" t="str">
        <f t="shared" si="121"/>
        <v>202323</v>
      </c>
      <c r="B6976" s="5" t="str">
        <f>"23085053605"</f>
        <v>23085053605</v>
      </c>
      <c r="C6976" s="6">
        <v>111</v>
      </c>
      <c r="D6976" s="6">
        <v>118</v>
      </c>
      <c r="E6976" s="6">
        <v>229</v>
      </c>
      <c r="F6976" s="11"/>
    </row>
    <row r="6977" spans="1:6">
      <c r="A6977" s="5" t="str">
        <f t="shared" si="121"/>
        <v>202323</v>
      </c>
      <c r="B6977" s="5" t="str">
        <f>"23085053602"</f>
        <v>23085053602</v>
      </c>
      <c r="C6977" s="6">
        <v>108</v>
      </c>
      <c r="D6977" s="6">
        <v>120.5</v>
      </c>
      <c r="E6977" s="6">
        <v>228.5</v>
      </c>
      <c r="F6977" s="11"/>
    </row>
    <row r="6978" spans="1:6">
      <c r="A6978" s="5" t="str">
        <f t="shared" si="121"/>
        <v>202323</v>
      </c>
      <c r="B6978" s="5" t="str">
        <f>"23085053705"</f>
        <v>23085053705</v>
      </c>
      <c r="C6978" s="6">
        <v>111</v>
      </c>
      <c r="D6978" s="6">
        <v>117</v>
      </c>
      <c r="E6978" s="6">
        <v>228</v>
      </c>
      <c r="F6978" s="11"/>
    </row>
    <row r="6979" spans="1:6">
      <c r="A6979" s="5" t="str">
        <f t="shared" si="121"/>
        <v>202323</v>
      </c>
      <c r="B6979" s="5" t="str">
        <f>"23085053618"</f>
        <v>23085053618</v>
      </c>
      <c r="C6979" s="6">
        <v>111</v>
      </c>
      <c r="D6979" s="6">
        <v>116</v>
      </c>
      <c r="E6979" s="6">
        <v>227</v>
      </c>
      <c r="F6979" s="11"/>
    </row>
    <row r="6980" spans="1:6">
      <c r="A6980" s="5" t="str">
        <f t="shared" si="121"/>
        <v>202323</v>
      </c>
      <c r="B6980" s="5" t="str">
        <f>"23085053716"</f>
        <v>23085053716</v>
      </c>
      <c r="C6980" s="6">
        <v>106.5</v>
      </c>
      <c r="D6980" s="6">
        <v>119</v>
      </c>
      <c r="E6980" s="6">
        <v>225.5</v>
      </c>
      <c r="F6980" s="11"/>
    </row>
    <row r="6981" spans="1:6">
      <c r="A6981" s="5" t="str">
        <f t="shared" si="121"/>
        <v>202323</v>
      </c>
      <c r="B6981" s="5" t="str">
        <f>"23085053604"</f>
        <v>23085053604</v>
      </c>
      <c r="C6981" s="6">
        <v>105</v>
      </c>
      <c r="D6981" s="6">
        <v>120</v>
      </c>
      <c r="E6981" s="6">
        <v>225</v>
      </c>
      <c r="F6981" s="11"/>
    </row>
    <row r="6982" spans="1:6">
      <c r="A6982" s="5" t="str">
        <f t="shared" si="121"/>
        <v>202323</v>
      </c>
      <c r="B6982" s="5" t="str">
        <f>"23085053802"</f>
        <v>23085053802</v>
      </c>
      <c r="C6982" s="6">
        <v>117</v>
      </c>
      <c r="D6982" s="6">
        <v>107</v>
      </c>
      <c r="E6982" s="6">
        <v>224</v>
      </c>
      <c r="F6982" s="11"/>
    </row>
    <row r="6983" spans="1:6">
      <c r="A6983" s="5" t="str">
        <f t="shared" si="121"/>
        <v>202323</v>
      </c>
      <c r="B6983" s="5" t="str">
        <f>"23085053610"</f>
        <v>23085053610</v>
      </c>
      <c r="C6983" s="6">
        <v>108</v>
      </c>
      <c r="D6983" s="6">
        <v>116</v>
      </c>
      <c r="E6983" s="6">
        <v>224</v>
      </c>
      <c r="F6983" s="11"/>
    </row>
    <row r="6984" spans="1:6">
      <c r="A6984" s="5" t="str">
        <f t="shared" si="121"/>
        <v>202323</v>
      </c>
      <c r="B6984" s="5" t="str">
        <f>"23085053720"</f>
        <v>23085053720</v>
      </c>
      <c r="C6984" s="6">
        <v>112.5</v>
      </c>
      <c r="D6984" s="6">
        <v>110.5</v>
      </c>
      <c r="E6984" s="6">
        <v>223</v>
      </c>
      <c r="F6984" s="11"/>
    </row>
    <row r="6985" spans="1:6">
      <c r="A6985" s="5" t="str">
        <f t="shared" si="121"/>
        <v>202323</v>
      </c>
      <c r="B6985" s="5" t="str">
        <f>"23085053527"</f>
        <v>23085053527</v>
      </c>
      <c r="C6985" s="6">
        <v>102</v>
      </c>
      <c r="D6985" s="6">
        <v>120</v>
      </c>
      <c r="E6985" s="6">
        <v>222</v>
      </c>
      <c r="F6985" s="11"/>
    </row>
    <row r="6986" spans="1:6">
      <c r="A6986" s="5" t="str">
        <f t="shared" si="121"/>
        <v>202323</v>
      </c>
      <c r="B6986" s="5" t="str">
        <f>"23085053613"</f>
        <v>23085053613</v>
      </c>
      <c r="C6986" s="6">
        <v>102</v>
      </c>
      <c r="D6986" s="6">
        <v>119.5</v>
      </c>
      <c r="E6986" s="6">
        <v>221.5</v>
      </c>
      <c r="F6986" s="11"/>
    </row>
    <row r="6987" spans="1:6">
      <c r="A6987" s="5" t="str">
        <f t="shared" si="121"/>
        <v>202323</v>
      </c>
      <c r="B6987" s="5" t="str">
        <f>"23085053820"</f>
        <v>23085053820</v>
      </c>
      <c r="C6987" s="6">
        <v>112.5</v>
      </c>
      <c r="D6987" s="6">
        <v>109</v>
      </c>
      <c r="E6987" s="6">
        <v>221.5</v>
      </c>
      <c r="F6987" s="11"/>
    </row>
    <row r="6988" spans="1:6">
      <c r="A6988" s="5" t="str">
        <f t="shared" si="121"/>
        <v>202323</v>
      </c>
      <c r="B6988" s="5" t="str">
        <f>"23085053723"</f>
        <v>23085053723</v>
      </c>
      <c r="C6988" s="6">
        <v>109.5</v>
      </c>
      <c r="D6988" s="6">
        <v>111.5</v>
      </c>
      <c r="E6988" s="6">
        <v>221</v>
      </c>
      <c r="F6988" s="11"/>
    </row>
    <row r="6989" spans="1:6">
      <c r="A6989" s="5" t="str">
        <f t="shared" si="121"/>
        <v>202323</v>
      </c>
      <c r="B6989" s="5" t="str">
        <f>"23085053510"</f>
        <v>23085053510</v>
      </c>
      <c r="C6989" s="6">
        <v>103.5</v>
      </c>
      <c r="D6989" s="6">
        <v>117.5</v>
      </c>
      <c r="E6989" s="6">
        <v>221</v>
      </c>
      <c r="F6989" s="11"/>
    </row>
    <row r="6990" spans="1:6">
      <c r="A6990" s="5" t="str">
        <f t="shared" si="121"/>
        <v>202323</v>
      </c>
      <c r="B6990" s="5" t="str">
        <f>"23085053607"</f>
        <v>23085053607</v>
      </c>
      <c r="C6990" s="6">
        <v>109.5</v>
      </c>
      <c r="D6990" s="6">
        <v>111</v>
      </c>
      <c r="E6990" s="6">
        <v>220.5</v>
      </c>
      <c r="F6990" s="11"/>
    </row>
    <row r="6991" spans="1:6">
      <c r="A6991" s="5" t="str">
        <f t="shared" si="121"/>
        <v>202323</v>
      </c>
      <c r="B6991" s="5" t="str">
        <f>"23085053808"</f>
        <v>23085053808</v>
      </c>
      <c r="C6991" s="6">
        <v>106.5</v>
      </c>
      <c r="D6991" s="6">
        <v>114</v>
      </c>
      <c r="E6991" s="6">
        <v>220.5</v>
      </c>
      <c r="F6991" s="11"/>
    </row>
    <row r="6992" spans="1:6">
      <c r="A6992" s="5" t="str">
        <f t="shared" si="121"/>
        <v>202323</v>
      </c>
      <c r="B6992" s="5" t="str">
        <f>"23085053814"</f>
        <v>23085053814</v>
      </c>
      <c r="C6992" s="6">
        <v>103.5</v>
      </c>
      <c r="D6992" s="6">
        <v>116</v>
      </c>
      <c r="E6992" s="6">
        <v>219.5</v>
      </c>
      <c r="F6992" s="11"/>
    </row>
    <row r="6993" spans="1:6">
      <c r="A6993" s="5" t="str">
        <f t="shared" si="121"/>
        <v>202323</v>
      </c>
      <c r="B6993" s="5" t="str">
        <f>"23085053703"</f>
        <v>23085053703</v>
      </c>
      <c r="C6993" s="6">
        <v>102</v>
      </c>
      <c r="D6993" s="6">
        <v>117</v>
      </c>
      <c r="E6993" s="6">
        <v>219</v>
      </c>
      <c r="F6993" s="11"/>
    </row>
    <row r="6994" spans="1:6">
      <c r="A6994" s="5" t="str">
        <f t="shared" si="121"/>
        <v>202323</v>
      </c>
      <c r="B6994" s="5" t="str">
        <f>"23085053524"</f>
        <v>23085053524</v>
      </c>
      <c r="C6994" s="6">
        <v>105</v>
      </c>
      <c r="D6994" s="6">
        <v>113</v>
      </c>
      <c r="E6994" s="6">
        <v>218</v>
      </c>
      <c r="F6994" s="11"/>
    </row>
    <row r="6995" spans="1:6">
      <c r="A6995" s="5" t="str">
        <f t="shared" si="121"/>
        <v>202323</v>
      </c>
      <c r="B6995" s="5" t="str">
        <f>"23085053824"</f>
        <v>23085053824</v>
      </c>
      <c r="C6995" s="6">
        <v>99</v>
      </c>
      <c r="D6995" s="6">
        <v>118.5</v>
      </c>
      <c r="E6995" s="6">
        <v>217.5</v>
      </c>
      <c r="F6995" s="11"/>
    </row>
    <row r="6996" spans="1:6">
      <c r="A6996" s="5" t="str">
        <f t="shared" si="121"/>
        <v>202323</v>
      </c>
      <c r="B6996" s="5" t="str">
        <f>"23085053519"</f>
        <v>23085053519</v>
      </c>
      <c r="C6996" s="6">
        <v>102</v>
      </c>
      <c r="D6996" s="6">
        <v>115</v>
      </c>
      <c r="E6996" s="6">
        <v>217</v>
      </c>
      <c r="F6996" s="11"/>
    </row>
    <row r="6997" spans="1:6">
      <c r="A6997" s="5" t="str">
        <f t="shared" si="121"/>
        <v>202323</v>
      </c>
      <c r="B6997" s="5" t="str">
        <f>"23085053730"</f>
        <v>23085053730</v>
      </c>
      <c r="C6997" s="6">
        <v>103.5</v>
      </c>
      <c r="D6997" s="6">
        <v>113.5</v>
      </c>
      <c r="E6997" s="6">
        <v>217</v>
      </c>
      <c r="F6997" s="11"/>
    </row>
    <row r="6998" spans="1:6">
      <c r="A6998" s="5" t="str">
        <f t="shared" si="121"/>
        <v>202323</v>
      </c>
      <c r="B6998" s="5" t="str">
        <f>"23085053530"</f>
        <v>23085053530</v>
      </c>
      <c r="C6998" s="6">
        <v>106.5</v>
      </c>
      <c r="D6998" s="6">
        <v>109.5</v>
      </c>
      <c r="E6998" s="6">
        <v>216</v>
      </c>
      <c r="F6998" s="11"/>
    </row>
    <row r="6999" spans="1:6">
      <c r="A6999" s="5" t="str">
        <f t="shared" si="121"/>
        <v>202323</v>
      </c>
      <c r="B6999" s="5" t="str">
        <f>"23085053518"</f>
        <v>23085053518</v>
      </c>
      <c r="C6999" s="6">
        <v>99</v>
      </c>
      <c r="D6999" s="6">
        <v>117</v>
      </c>
      <c r="E6999" s="6">
        <v>216</v>
      </c>
      <c r="F6999" s="11"/>
    </row>
    <row r="7000" spans="1:6">
      <c r="A7000" s="5" t="str">
        <f t="shared" si="121"/>
        <v>202323</v>
      </c>
      <c r="B7000" s="5" t="str">
        <f>"23085053819"</f>
        <v>23085053819</v>
      </c>
      <c r="C7000" s="6">
        <v>102</v>
      </c>
      <c r="D7000" s="6">
        <v>113.5</v>
      </c>
      <c r="E7000" s="6">
        <v>215.5</v>
      </c>
      <c r="F7000" s="11"/>
    </row>
    <row r="7001" spans="1:6">
      <c r="A7001" s="5" t="str">
        <f t="shared" si="121"/>
        <v>202323</v>
      </c>
      <c r="B7001" s="5" t="str">
        <f>"23085053801"</f>
        <v>23085053801</v>
      </c>
      <c r="C7001" s="6">
        <v>99</v>
      </c>
      <c r="D7001" s="6">
        <v>116.5</v>
      </c>
      <c r="E7001" s="6">
        <v>215.5</v>
      </c>
      <c r="F7001" s="11"/>
    </row>
    <row r="7002" spans="1:6">
      <c r="A7002" s="5" t="str">
        <f t="shared" si="121"/>
        <v>202323</v>
      </c>
      <c r="B7002" s="5" t="str">
        <f>"23085053617"</f>
        <v>23085053617</v>
      </c>
      <c r="C7002" s="6">
        <v>100.5</v>
      </c>
      <c r="D7002" s="6">
        <v>115</v>
      </c>
      <c r="E7002" s="6">
        <v>215.5</v>
      </c>
      <c r="F7002" s="11"/>
    </row>
    <row r="7003" spans="1:6">
      <c r="A7003" s="5" t="str">
        <f t="shared" si="121"/>
        <v>202323</v>
      </c>
      <c r="B7003" s="5" t="str">
        <f>"23085053714"</f>
        <v>23085053714</v>
      </c>
      <c r="C7003" s="6">
        <v>103.5</v>
      </c>
      <c r="D7003" s="6">
        <v>112</v>
      </c>
      <c r="E7003" s="6">
        <v>215.5</v>
      </c>
      <c r="F7003" s="11"/>
    </row>
    <row r="7004" spans="1:6">
      <c r="A7004" s="5" t="str">
        <f t="shared" si="121"/>
        <v>202323</v>
      </c>
      <c r="B7004" s="5" t="str">
        <f>"23085053528"</f>
        <v>23085053528</v>
      </c>
      <c r="C7004" s="6">
        <v>112.5</v>
      </c>
      <c r="D7004" s="6">
        <v>102.5</v>
      </c>
      <c r="E7004" s="6">
        <v>215</v>
      </c>
      <c r="F7004" s="11"/>
    </row>
    <row r="7005" spans="1:6">
      <c r="A7005" s="5" t="str">
        <f t="shared" si="121"/>
        <v>202323</v>
      </c>
      <c r="B7005" s="5" t="str">
        <f>"23085053722"</f>
        <v>23085053722</v>
      </c>
      <c r="C7005" s="6">
        <v>100.5</v>
      </c>
      <c r="D7005" s="6">
        <v>114.5</v>
      </c>
      <c r="E7005" s="6">
        <v>215</v>
      </c>
      <c r="F7005" s="11"/>
    </row>
    <row r="7006" spans="1:6">
      <c r="A7006" s="5" t="str">
        <f t="shared" si="121"/>
        <v>202323</v>
      </c>
      <c r="B7006" s="5" t="str">
        <f>"23085053624"</f>
        <v>23085053624</v>
      </c>
      <c r="C7006" s="6">
        <v>96</v>
      </c>
      <c r="D7006" s="6">
        <v>118.5</v>
      </c>
      <c r="E7006" s="6">
        <v>214.5</v>
      </c>
      <c r="F7006" s="11"/>
    </row>
    <row r="7007" spans="1:6">
      <c r="A7007" s="5" t="str">
        <f t="shared" si="121"/>
        <v>202323</v>
      </c>
      <c r="B7007" s="5" t="str">
        <f>"23085053517"</f>
        <v>23085053517</v>
      </c>
      <c r="C7007" s="6">
        <v>111</v>
      </c>
      <c r="D7007" s="6">
        <v>103.5</v>
      </c>
      <c r="E7007" s="6">
        <v>214.5</v>
      </c>
      <c r="F7007" s="11"/>
    </row>
    <row r="7008" spans="1:6">
      <c r="A7008" s="5" t="str">
        <f t="shared" si="121"/>
        <v>202323</v>
      </c>
      <c r="B7008" s="5" t="str">
        <f>"23085053812"</f>
        <v>23085053812</v>
      </c>
      <c r="C7008" s="6">
        <v>97.5</v>
      </c>
      <c r="D7008" s="6">
        <v>116.5</v>
      </c>
      <c r="E7008" s="6">
        <v>214</v>
      </c>
      <c r="F7008" s="11"/>
    </row>
    <row r="7009" spans="1:6">
      <c r="A7009" s="5" t="str">
        <f t="shared" si="121"/>
        <v>202323</v>
      </c>
      <c r="B7009" s="5" t="str">
        <f>"23085053615"</f>
        <v>23085053615</v>
      </c>
      <c r="C7009" s="6">
        <v>100.5</v>
      </c>
      <c r="D7009" s="6">
        <v>113.5</v>
      </c>
      <c r="E7009" s="6">
        <v>214</v>
      </c>
      <c r="F7009" s="11"/>
    </row>
    <row r="7010" spans="1:6">
      <c r="A7010" s="5" t="str">
        <f t="shared" si="121"/>
        <v>202323</v>
      </c>
      <c r="B7010" s="5" t="str">
        <f>"23085053623"</f>
        <v>23085053623</v>
      </c>
      <c r="C7010" s="6">
        <v>102</v>
      </c>
      <c r="D7010" s="6">
        <v>112</v>
      </c>
      <c r="E7010" s="6">
        <v>214</v>
      </c>
      <c r="F7010" s="11"/>
    </row>
    <row r="7011" spans="1:6">
      <c r="A7011" s="5" t="str">
        <f t="shared" si="121"/>
        <v>202323</v>
      </c>
      <c r="B7011" s="5" t="str">
        <f>"23085053803"</f>
        <v>23085053803</v>
      </c>
      <c r="C7011" s="6">
        <v>105</v>
      </c>
      <c r="D7011" s="6">
        <v>109</v>
      </c>
      <c r="E7011" s="6">
        <v>214</v>
      </c>
      <c r="F7011" s="11"/>
    </row>
    <row r="7012" spans="1:6">
      <c r="A7012" s="5" t="str">
        <f t="shared" si="121"/>
        <v>202323</v>
      </c>
      <c r="B7012" s="5" t="str">
        <f>"23085053712"</f>
        <v>23085053712</v>
      </c>
      <c r="C7012" s="6">
        <v>99</v>
      </c>
      <c r="D7012" s="6">
        <v>114</v>
      </c>
      <c r="E7012" s="6">
        <v>213</v>
      </c>
      <c r="F7012" s="11"/>
    </row>
    <row r="7013" spans="1:6">
      <c r="A7013" s="5" t="str">
        <f t="shared" si="121"/>
        <v>202323</v>
      </c>
      <c r="B7013" s="5" t="str">
        <f>"23085053727"</f>
        <v>23085053727</v>
      </c>
      <c r="C7013" s="6">
        <v>106.5</v>
      </c>
      <c r="D7013" s="6">
        <v>106</v>
      </c>
      <c r="E7013" s="6">
        <v>212.5</v>
      </c>
      <c r="F7013" s="11"/>
    </row>
    <row r="7014" spans="1:6">
      <c r="A7014" s="5" t="str">
        <f t="shared" si="121"/>
        <v>202323</v>
      </c>
      <c r="B7014" s="5" t="str">
        <f>"23085053816"</f>
        <v>23085053816</v>
      </c>
      <c r="C7014" s="6">
        <v>109.5</v>
      </c>
      <c r="D7014" s="6">
        <v>102.5</v>
      </c>
      <c r="E7014" s="6">
        <v>212</v>
      </c>
      <c r="F7014" s="11"/>
    </row>
    <row r="7015" spans="1:6">
      <c r="A7015" s="5" t="str">
        <f t="shared" si="121"/>
        <v>202323</v>
      </c>
      <c r="B7015" s="5" t="str">
        <f>"23085053619"</f>
        <v>23085053619</v>
      </c>
      <c r="C7015" s="6">
        <v>99</v>
      </c>
      <c r="D7015" s="6">
        <v>112.5</v>
      </c>
      <c r="E7015" s="6">
        <v>211.5</v>
      </c>
      <c r="F7015" s="11"/>
    </row>
    <row r="7016" spans="1:6">
      <c r="A7016" s="5" t="str">
        <f t="shared" si="121"/>
        <v>202323</v>
      </c>
      <c r="B7016" s="5" t="str">
        <f>"23085053813"</f>
        <v>23085053813</v>
      </c>
      <c r="C7016" s="6">
        <v>94.5</v>
      </c>
      <c r="D7016" s="6">
        <v>116.5</v>
      </c>
      <c r="E7016" s="6">
        <v>211</v>
      </c>
      <c r="F7016" s="11"/>
    </row>
    <row r="7017" spans="1:6">
      <c r="A7017" s="5" t="str">
        <f t="shared" si="121"/>
        <v>202323</v>
      </c>
      <c r="B7017" s="5" t="str">
        <f>"23085053515"</f>
        <v>23085053515</v>
      </c>
      <c r="C7017" s="6">
        <v>96</v>
      </c>
      <c r="D7017" s="6">
        <v>114.5</v>
      </c>
      <c r="E7017" s="6">
        <v>210.5</v>
      </c>
      <c r="F7017" s="11"/>
    </row>
    <row r="7018" spans="1:6">
      <c r="A7018" s="5" t="str">
        <f t="shared" si="121"/>
        <v>202323</v>
      </c>
      <c r="B7018" s="5" t="str">
        <f>"23085053709"</f>
        <v>23085053709</v>
      </c>
      <c r="C7018" s="6">
        <v>90</v>
      </c>
      <c r="D7018" s="6">
        <v>120</v>
      </c>
      <c r="E7018" s="6">
        <v>210</v>
      </c>
      <c r="F7018" s="11"/>
    </row>
    <row r="7019" spans="1:6">
      <c r="A7019" s="5" t="str">
        <f t="shared" si="121"/>
        <v>202323</v>
      </c>
      <c r="B7019" s="5" t="str">
        <f>"23085053523"</f>
        <v>23085053523</v>
      </c>
      <c r="C7019" s="6">
        <v>91.5</v>
      </c>
      <c r="D7019" s="6">
        <v>118</v>
      </c>
      <c r="E7019" s="6">
        <v>209.5</v>
      </c>
      <c r="F7019" s="11"/>
    </row>
    <row r="7020" spans="1:6">
      <c r="A7020" s="5" t="str">
        <f t="shared" si="121"/>
        <v>202323</v>
      </c>
      <c r="B7020" s="5" t="str">
        <f>"23085053609"</f>
        <v>23085053609</v>
      </c>
      <c r="C7020" s="6">
        <v>102</v>
      </c>
      <c r="D7020" s="6">
        <v>107.5</v>
      </c>
      <c r="E7020" s="6">
        <v>209.5</v>
      </c>
      <c r="F7020" s="11"/>
    </row>
    <row r="7021" spans="1:6">
      <c r="A7021" s="5" t="str">
        <f t="shared" si="121"/>
        <v>202323</v>
      </c>
      <c r="B7021" s="5" t="str">
        <f>"23085053729"</f>
        <v>23085053729</v>
      </c>
      <c r="C7021" s="6">
        <v>99</v>
      </c>
      <c r="D7021" s="6">
        <v>110.5</v>
      </c>
      <c r="E7021" s="6">
        <v>209.5</v>
      </c>
      <c r="F7021" s="11"/>
    </row>
    <row r="7022" spans="1:6">
      <c r="A7022" s="5" t="str">
        <f t="shared" si="121"/>
        <v>202323</v>
      </c>
      <c r="B7022" s="5" t="str">
        <f>"23085053708"</f>
        <v>23085053708</v>
      </c>
      <c r="C7022" s="6">
        <v>97.5</v>
      </c>
      <c r="D7022" s="6">
        <v>110.5</v>
      </c>
      <c r="E7022" s="6">
        <v>208</v>
      </c>
      <c r="F7022" s="11"/>
    </row>
    <row r="7023" spans="1:6">
      <c r="A7023" s="5" t="str">
        <f t="shared" si="121"/>
        <v>202323</v>
      </c>
      <c r="B7023" s="5" t="str">
        <f>"23085053726"</f>
        <v>23085053726</v>
      </c>
      <c r="C7023" s="6">
        <v>94.5</v>
      </c>
      <c r="D7023" s="6">
        <v>113.5</v>
      </c>
      <c r="E7023" s="6">
        <v>208</v>
      </c>
      <c r="F7023" s="11"/>
    </row>
    <row r="7024" spans="1:6">
      <c r="A7024" s="5" t="str">
        <f t="shared" si="121"/>
        <v>202323</v>
      </c>
      <c r="B7024" s="5" t="str">
        <f>"23085053711"</f>
        <v>23085053711</v>
      </c>
      <c r="C7024" s="6">
        <v>100.5</v>
      </c>
      <c r="D7024" s="6">
        <v>107</v>
      </c>
      <c r="E7024" s="6">
        <v>207.5</v>
      </c>
      <c r="F7024" s="11"/>
    </row>
    <row r="7025" spans="1:6">
      <c r="A7025" s="5" t="str">
        <f t="shared" si="121"/>
        <v>202323</v>
      </c>
      <c r="B7025" s="5" t="str">
        <f>"23085053713"</f>
        <v>23085053713</v>
      </c>
      <c r="C7025" s="6">
        <v>99</v>
      </c>
      <c r="D7025" s="6">
        <v>107.5</v>
      </c>
      <c r="E7025" s="6">
        <v>206.5</v>
      </c>
      <c r="F7025" s="11"/>
    </row>
    <row r="7026" spans="1:6">
      <c r="A7026" s="5" t="str">
        <f t="shared" si="121"/>
        <v>202323</v>
      </c>
      <c r="B7026" s="5" t="str">
        <f>"23085053721"</f>
        <v>23085053721</v>
      </c>
      <c r="C7026" s="6">
        <v>94.5</v>
      </c>
      <c r="D7026" s="6">
        <v>111.5</v>
      </c>
      <c r="E7026" s="6">
        <v>206</v>
      </c>
      <c r="F7026" s="11"/>
    </row>
    <row r="7027" spans="1:6">
      <c r="A7027" s="5" t="str">
        <f t="shared" si="121"/>
        <v>202323</v>
      </c>
      <c r="B7027" s="5" t="str">
        <f>"23085053704"</f>
        <v>23085053704</v>
      </c>
      <c r="C7027" s="6">
        <v>88.5</v>
      </c>
      <c r="D7027" s="6">
        <v>117.5</v>
      </c>
      <c r="E7027" s="6">
        <v>206</v>
      </c>
      <c r="F7027" s="11"/>
    </row>
    <row r="7028" spans="1:6">
      <c r="A7028" s="5" t="str">
        <f t="shared" si="121"/>
        <v>202323</v>
      </c>
      <c r="B7028" s="5" t="str">
        <f>"23085053627"</f>
        <v>23085053627</v>
      </c>
      <c r="C7028" s="6">
        <v>96</v>
      </c>
      <c r="D7028" s="6">
        <v>109</v>
      </c>
      <c r="E7028" s="6">
        <v>205</v>
      </c>
      <c r="F7028" s="11"/>
    </row>
    <row r="7029" spans="1:6">
      <c r="A7029" s="5" t="str">
        <f t="shared" si="121"/>
        <v>202323</v>
      </c>
      <c r="B7029" s="5" t="str">
        <f>"23085053719"</f>
        <v>23085053719</v>
      </c>
      <c r="C7029" s="6">
        <v>90</v>
      </c>
      <c r="D7029" s="6">
        <v>114.5</v>
      </c>
      <c r="E7029" s="6">
        <v>204.5</v>
      </c>
      <c r="F7029" s="11"/>
    </row>
    <row r="7030" spans="1:6">
      <c r="A7030" s="5" t="str">
        <f t="shared" si="121"/>
        <v>202323</v>
      </c>
      <c r="B7030" s="5" t="str">
        <f>"23085053520"</f>
        <v>23085053520</v>
      </c>
      <c r="C7030" s="6">
        <v>93</v>
      </c>
      <c r="D7030" s="6">
        <v>111</v>
      </c>
      <c r="E7030" s="6">
        <v>204</v>
      </c>
      <c r="F7030" s="11"/>
    </row>
    <row r="7031" spans="1:6">
      <c r="A7031" s="5" t="str">
        <f t="shared" si="121"/>
        <v>202323</v>
      </c>
      <c r="B7031" s="5" t="str">
        <f>"23085053514"</f>
        <v>23085053514</v>
      </c>
      <c r="C7031" s="6">
        <v>91.5</v>
      </c>
      <c r="D7031" s="6">
        <v>110.5</v>
      </c>
      <c r="E7031" s="6">
        <v>202</v>
      </c>
      <c r="F7031" s="11"/>
    </row>
    <row r="7032" spans="1:6">
      <c r="A7032" s="5" t="str">
        <f t="shared" ref="A7032:A7078" si="122">"202323"</f>
        <v>202323</v>
      </c>
      <c r="B7032" s="5" t="str">
        <f>"23085053507"</f>
        <v>23085053507</v>
      </c>
      <c r="C7032" s="6">
        <v>91.5</v>
      </c>
      <c r="D7032" s="6">
        <v>109.5</v>
      </c>
      <c r="E7032" s="6">
        <v>201</v>
      </c>
      <c r="F7032" s="11"/>
    </row>
    <row r="7033" spans="1:6">
      <c r="A7033" s="5" t="str">
        <f t="shared" si="122"/>
        <v>202323</v>
      </c>
      <c r="B7033" s="5" t="str">
        <f>"23085053521"</f>
        <v>23085053521</v>
      </c>
      <c r="C7033" s="6">
        <v>94.5</v>
      </c>
      <c r="D7033" s="6">
        <v>106</v>
      </c>
      <c r="E7033" s="6">
        <v>200.5</v>
      </c>
      <c r="F7033" s="11"/>
    </row>
    <row r="7034" spans="1:6">
      <c r="A7034" s="5" t="str">
        <f t="shared" si="122"/>
        <v>202323</v>
      </c>
      <c r="B7034" s="5" t="str">
        <f>"23085053821"</f>
        <v>23085053821</v>
      </c>
      <c r="C7034" s="6">
        <v>81</v>
      </c>
      <c r="D7034" s="6">
        <v>119.5</v>
      </c>
      <c r="E7034" s="6">
        <v>200.5</v>
      </c>
      <c r="F7034" s="11"/>
    </row>
    <row r="7035" spans="1:6">
      <c r="A7035" s="5" t="str">
        <f t="shared" si="122"/>
        <v>202323</v>
      </c>
      <c r="B7035" s="5" t="str">
        <f>"23085053513"</f>
        <v>23085053513</v>
      </c>
      <c r="C7035" s="6">
        <v>81</v>
      </c>
      <c r="D7035" s="6">
        <v>119</v>
      </c>
      <c r="E7035" s="6">
        <v>200</v>
      </c>
      <c r="F7035" s="11"/>
    </row>
    <row r="7036" spans="1:6">
      <c r="A7036" s="5" t="str">
        <f t="shared" si="122"/>
        <v>202323</v>
      </c>
      <c r="B7036" s="5" t="str">
        <f>"23085053804"</f>
        <v>23085053804</v>
      </c>
      <c r="C7036" s="6">
        <v>91.5</v>
      </c>
      <c r="D7036" s="6">
        <v>108</v>
      </c>
      <c r="E7036" s="6">
        <v>199.5</v>
      </c>
      <c r="F7036" s="11"/>
    </row>
    <row r="7037" spans="1:6">
      <c r="A7037" s="5" t="str">
        <f t="shared" si="122"/>
        <v>202323</v>
      </c>
      <c r="B7037" s="5" t="str">
        <f>"23085053511"</f>
        <v>23085053511</v>
      </c>
      <c r="C7037" s="6">
        <v>87</v>
      </c>
      <c r="D7037" s="6">
        <v>111.5</v>
      </c>
      <c r="E7037" s="6">
        <v>198.5</v>
      </c>
      <c r="F7037" s="11"/>
    </row>
    <row r="7038" spans="1:6">
      <c r="A7038" s="5" t="str">
        <f t="shared" si="122"/>
        <v>202323</v>
      </c>
      <c r="B7038" s="5" t="str">
        <f>"23085053601"</f>
        <v>23085053601</v>
      </c>
      <c r="C7038" s="6">
        <v>87</v>
      </c>
      <c r="D7038" s="6">
        <v>110</v>
      </c>
      <c r="E7038" s="6">
        <v>197</v>
      </c>
      <c r="F7038" s="11"/>
    </row>
    <row r="7039" spans="1:6">
      <c r="A7039" s="5" t="str">
        <f t="shared" si="122"/>
        <v>202323</v>
      </c>
      <c r="B7039" s="5" t="str">
        <f>"23085053806"</f>
        <v>23085053806</v>
      </c>
      <c r="C7039" s="6">
        <v>85.5</v>
      </c>
      <c r="D7039" s="6">
        <v>111.5</v>
      </c>
      <c r="E7039" s="6">
        <v>197</v>
      </c>
      <c r="F7039" s="11"/>
    </row>
    <row r="7040" spans="1:6">
      <c r="A7040" s="5" t="str">
        <f t="shared" si="122"/>
        <v>202323</v>
      </c>
      <c r="B7040" s="5" t="str">
        <f>"23085053526"</f>
        <v>23085053526</v>
      </c>
      <c r="C7040" s="6">
        <v>91.5</v>
      </c>
      <c r="D7040" s="6">
        <v>99</v>
      </c>
      <c r="E7040" s="6">
        <v>190.5</v>
      </c>
      <c r="F7040" s="11"/>
    </row>
    <row r="7041" spans="1:6">
      <c r="A7041" s="5" t="str">
        <f t="shared" si="122"/>
        <v>202323</v>
      </c>
      <c r="B7041" s="5" t="str">
        <f>"23085053525"</f>
        <v>23085053525</v>
      </c>
      <c r="C7041" s="6">
        <v>76.5</v>
      </c>
      <c r="D7041" s="6">
        <v>114</v>
      </c>
      <c r="E7041" s="6">
        <v>190.5</v>
      </c>
      <c r="F7041" s="11"/>
    </row>
    <row r="7042" spans="1:6">
      <c r="A7042" s="5" t="str">
        <f t="shared" si="122"/>
        <v>202323</v>
      </c>
      <c r="B7042" s="5" t="str">
        <f>"23085053725"</f>
        <v>23085053725</v>
      </c>
      <c r="C7042" s="6">
        <v>73.5</v>
      </c>
      <c r="D7042" s="6">
        <v>116.5</v>
      </c>
      <c r="E7042" s="6">
        <v>190</v>
      </c>
      <c r="F7042" s="11"/>
    </row>
    <row r="7043" spans="1:6">
      <c r="A7043" s="5" t="str">
        <f t="shared" si="122"/>
        <v>202323</v>
      </c>
      <c r="B7043" s="5" t="str">
        <f>"23085053815"</f>
        <v>23085053815</v>
      </c>
      <c r="C7043" s="6">
        <v>76.5</v>
      </c>
      <c r="D7043" s="6">
        <v>112</v>
      </c>
      <c r="E7043" s="6">
        <v>188.5</v>
      </c>
      <c r="F7043" s="11"/>
    </row>
    <row r="7044" spans="1:6">
      <c r="A7044" s="5" t="str">
        <f t="shared" si="122"/>
        <v>202323</v>
      </c>
      <c r="B7044" s="5" t="str">
        <f>"23085053626"</f>
        <v>23085053626</v>
      </c>
      <c r="C7044" s="6">
        <v>76.5</v>
      </c>
      <c r="D7044" s="6">
        <v>110</v>
      </c>
      <c r="E7044" s="6">
        <v>186.5</v>
      </c>
      <c r="F7044" s="11"/>
    </row>
    <row r="7045" spans="1:6">
      <c r="A7045" s="5" t="str">
        <f t="shared" si="122"/>
        <v>202323</v>
      </c>
      <c r="B7045" s="5" t="str">
        <f>"23085053616"</f>
        <v>23085053616</v>
      </c>
      <c r="C7045" s="6">
        <v>90</v>
      </c>
      <c r="D7045" s="6">
        <v>94</v>
      </c>
      <c r="E7045" s="6">
        <v>184</v>
      </c>
      <c r="F7045" s="11"/>
    </row>
    <row r="7046" spans="1:6">
      <c r="A7046" s="5" t="str">
        <f t="shared" si="122"/>
        <v>202323</v>
      </c>
      <c r="B7046" s="5" t="str">
        <f>"23085053522"</f>
        <v>23085053522</v>
      </c>
      <c r="C7046" s="6">
        <v>78</v>
      </c>
      <c r="D7046" s="6">
        <v>102.5</v>
      </c>
      <c r="E7046" s="6">
        <v>180.5</v>
      </c>
      <c r="F7046" s="11"/>
    </row>
    <row r="7047" spans="1:6">
      <c r="A7047" s="5" t="str">
        <f t="shared" si="122"/>
        <v>202323</v>
      </c>
      <c r="B7047" s="5" t="str">
        <f>"23085053718"</f>
        <v>23085053718</v>
      </c>
      <c r="C7047" s="6">
        <v>73.5</v>
      </c>
      <c r="D7047" s="6">
        <v>105.5</v>
      </c>
      <c r="E7047" s="6">
        <v>179</v>
      </c>
      <c r="F7047" s="11"/>
    </row>
    <row r="7048" spans="1:6">
      <c r="A7048" s="5" t="str">
        <f t="shared" si="122"/>
        <v>202323</v>
      </c>
      <c r="B7048" s="5" t="str">
        <f>"23085053506"</f>
        <v>23085053506</v>
      </c>
      <c r="C7048" s="6">
        <v>63</v>
      </c>
      <c r="D7048" s="6">
        <v>112.5</v>
      </c>
      <c r="E7048" s="6">
        <v>175.5</v>
      </c>
      <c r="F7048" s="11"/>
    </row>
    <row r="7049" spans="1:6">
      <c r="A7049" s="5" t="str">
        <f t="shared" si="122"/>
        <v>202323</v>
      </c>
      <c r="B7049" s="5" t="str">
        <f>"23085053805"</f>
        <v>23085053805</v>
      </c>
      <c r="C7049" s="6">
        <v>69</v>
      </c>
      <c r="D7049" s="6">
        <v>101.5</v>
      </c>
      <c r="E7049" s="6">
        <v>170.5</v>
      </c>
      <c r="F7049" s="11"/>
    </row>
    <row r="7050" spans="1:6">
      <c r="A7050" s="5" t="str">
        <f t="shared" si="122"/>
        <v>202323</v>
      </c>
      <c r="B7050" s="5" t="str">
        <f>"23085053608"</f>
        <v>23085053608</v>
      </c>
      <c r="C7050" s="6">
        <v>96</v>
      </c>
      <c r="D7050" s="6">
        <v>69</v>
      </c>
      <c r="E7050" s="6">
        <v>165</v>
      </c>
      <c r="F7050" s="11"/>
    </row>
    <row r="7051" spans="1:6">
      <c r="A7051" s="5" t="str">
        <f t="shared" si="122"/>
        <v>202323</v>
      </c>
      <c r="B7051" s="5" t="str">
        <f>"23085053823"</f>
        <v>23085053823</v>
      </c>
      <c r="C7051" s="6">
        <v>82.5</v>
      </c>
      <c r="D7051" s="6">
        <v>37</v>
      </c>
      <c r="E7051" s="6">
        <v>119.5</v>
      </c>
      <c r="F7051" s="11"/>
    </row>
    <row r="7052" spans="1:6">
      <c r="A7052" s="5" t="str">
        <f t="shared" si="122"/>
        <v>202323</v>
      </c>
      <c r="B7052" s="5" t="str">
        <f>"23085053612"</f>
        <v>23085053612</v>
      </c>
      <c r="C7052" s="6">
        <v>39</v>
      </c>
      <c r="D7052" s="6">
        <v>0</v>
      </c>
      <c r="E7052" s="6">
        <v>39</v>
      </c>
      <c r="F7052" s="11"/>
    </row>
    <row r="7053" spans="1:6">
      <c r="A7053" s="5" t="str">
        <f t="shared" si="122"/>
        <v>202323</v>
      </c>
      <c r="B7053" s="5" t="str">
        <f>"23085053508"</f>
        <v>23085053508</v>
      </c>
      <c r="C7053" s="6">
        <v>0</v>
      </c>
      <c r="D7053" s="6">
        <v>0</v>
      </c>
      <c r="E7053" s="6">
        <v>0</v>
      </c>
      <c r="F7053" s="11" t="s">
        <v>7</v>
      </c>
    </row>
    <row r="7054" spans="1:6">
      <c r="A7054" s="5" t="str">
        <f t="shared" si="122"/>
        <v>202323</v>
      </c>
      <c r="B7054" s="5" t="str">
        <f>"23085053614"</f>
        <v>23085053614</v>
      </c>
      <c r="C7054" s="6">
        <v>0</v>
      </c>
      <c r="D7054" s="6">
        <v>0</v>
      </c>
      <c r="E7054" s="6">
        <v>0</v>
      </c>
      <c r="F7054" s="11" t="s">
        <v>7</v>
      </c>
    </row>
    <row r="7055" spans="1:6">
      <c r="A7055" s="5" t="str">
        <f t="shared" si="122"/>
        <v>202323</v>
      </c>
      <c r="B7055" s="5" t="str">
        <f>"23085053628"</f>
        <v>23085053628</v>
      </c>
      <c r="C7055" s="6">
        <v>0</v>
      </c>
      <c r="D7055" s="6">
        <v>0</v>
      </c>
      <c r="E7055" s="6">
        <v>0</v>
      </c>
      <c r="F7055" s="11" t="s">
        <v>7</v>
      </c>
    </row>
    <row r="7056" spans="1:6">
      <c r="A7056" s="5" t="str">
        <f t="shared" si="122"/>
        <v>202323</v>
      </c>
      <c r="B7056" s="5" t="str">
        <f>"23085053701"</f>
        <v>23085053701</v>
      </c>
      <c r="C7056" s="6">
        <v>0</v>
      </c>
      <c r="D7056" s="6">
        <v>0</v>
      </c>
      <c r="E7056" s="6">
        <v>0</v>
      </c>
      <c r="F7056" s="11" t="s">
        <v>7</v>
      </c>
    </row>
    <row r="7057" spans="1:6">
      <c r="A7057" s="5" t="str">
        <f t="shared" si="122"/>
        <v>202323</v>
      </c>
      <c r="B7057" s="5" t="str">
        <f>"23085053807"</f>
        <v>23085053807</v>
      </c>
      <c r="C7057" s="6">
        <v>0</v>
      </c>
      <c r="D7057" s="6">
        <v>0</v>
      </c>
      <c r="E7057" s="6">
        <v>0</v>
      </c>
      <c r="F7057" s="11" t="s">
        <v>7</v>
      </c>
    </row>
    <row r="7058" spans="1:6">
      <c r="A7058" s="5" t="str">
        <f t="shared" si="122"/>
        <v>202323</v>
      </c>
      <c r="B7058" s="5" t="str">
        <f>"23085053817"</f>
        <v>23085053817</v>
      </c>
      <c r="C7058" s="6">
        <v>0</v>
      </c>
      <c r="D7058" s="6">
        <v>0</v>
      </c>
      <c r="E7058" s="6">
        <v>0</v>
      </c>
      <c r="F7058" s="11" t="s">
        <v>7</v>
      </c>
    </row>
    <row r="7059" spans="1:6">
      <c r="A7059" s="5" t="str">
        <f t="shared" si="122"/>
        <v>202323</v>
      </c>
      <c r="B7059" s="5" t="str">
        <f>"23085053811"</f>
        <v>23085053811</v>
      </c>
      <c r="C7059" s="6">
        <v>0</v>
      </c>
      <c r="D7059" s="6">
        <v>0</v>
      </c>
      <c r="E7059" s="6">
        <v>0</v>
      </c>
      <c r="F7059" s="11" t="s">
        <v>7</v>
      </c>
    </row>
    <row r="7060" spans="1:6">
      <c r="A7060" s="5" t="str">
        <f t="shared" si="122"/>
        <v>202323</v>
      </c>
      <c r="B7060" s="5" t="str">
        <f>"23085053621"</f>
        <v>23085053621</v>
      </c>
      <c r="C7060" s="6">
        <v>0</v>
      </c>
      <c r="D7060" s="6">
        <v>0</v>
      </c>
      <c r="E7060" s="6">
        <v>0</v>
      </c>
      <c r="F7060" s="11" t="s">
        <v>7</v>
      </c>
    </row>
    <row r="7061" spans="1:6">
      <c r="A7061" s="5" t="str">
        <f t="shared" si="122"/>
        <v>202323</v>
      </c>
      <c r="B7061" s="5" t="str">
        <f>"23085053630"</f>
        <v>23085053630</v>
      </c>
      <c r="C7061" s="6">
        <v>0</v>
      </c>
      <c r="D7061" s="6">
        <v>0</v>
      </c>
      <c r="E7061" s="6">
        <v>0</v>
      </c>
      <c r="F7061" s="11" t="s">
        <v>7</v>
      </c>
    </row>
    <row r="7062" spans="1:6">
      <c r="A7062" s="5" t="str">
        <f t="shared" si="122"/>
        <v>202323</v>
      </c>
      <c r="B7062" s="5" t="str">
        <f>"23085053724"</f>
        <v>23085053724</v>
      </c>
      <c r="C7062" s="6">
        <v>0</v>
      </c>
      <c r="D7062" s="6">
        <v>0</v>
      </c>
      <c r="E7062" s="6">
        <v>0</v>
      </c>
      <c r="F7062" s="11" t="s">
        <v>7</v>
      </c>
    </row>
    <row r="7063" spans="1:6">
      <c r="A7063" s="5" t="str">
        <f t="shared" si="122"/>
        <v>202323</v>
      </c>
      <c r="B7063" s="5" t="str">
        <f>"23085053625"</f>
        <v>23085053625</v>
      </c>
      <c r="C7063" s="6">
        <v>0</v>
      </c>
      <c r="D7063" s="6">
        <v>0</v>
      </c>
      <c r="E7063" s="6">
        <v>0</v>
      </c>
      <c r="F7063" s="11" t="s">
        <v>7</v>
      </c>
    </row>
    <row r="7064" spans="1:6">
      <c r="A7064" s="5" t="str">
        <f t="shared" si="122"/>
        <v>202323</v>
      </c>
      <c r="B7064" s="5" t="str">
        <f>"23085053606"</f>
        <v>23085053606</v>
      </c>
      <c r="C7064" s="6">
        <v>0</v>
      </c>
      <c r="D7064" s="6">
        <v>0</v>
      </c>
      <c r="E7064" s="6">
        <v>0</v>
      </c>
      <c r="F7064" s="11" t="s">
        <v>7</v>
      </c>
    </row>
    <row r="7065" spans="1:6">
      <c r="A7065" s="5" t="str">
        <f t="shared" si="122"/>
        <v>202323</v>
      </c>
      <c r="B7065" s="5" t="str">
        <f>"23085053728"</f>
        <v>23085053728</v>
      </c>
      <c r="C7065" s="6">
        <v>0</v>
      </c>
      <c r="D7065" s="6">
        <v>0</v>
      </c>
      <c r="E7065" s="6">
        <v>0</v>
      </c>
      <c r="F7065" s="11" t="s">
        <v>7</v>
      </c>
    </row>
    <row r="7066" spans="1:6">
      <c r="A7066" s="5" t="str">
        <f t="shared" si="122"/>
        <v>202323</v>
      </c>
      <c r="B7066" s="5" t="str">
        <f>"23085053620"</f>
        <v>23085053620</v>
      </c>
      <c r="C7066" s="6">
        <v>0</v>
      </c>
      <c r="D7066" s="6">
        <v>0</v>
      </c>
      <c r="E7066" s="6">
        <v>0</v>
      </c>
      <c r="F7066" s="11" t="s">
        <v>7</v>
      </c>
    </row>
    <row r="7067" spans="1:6">
      <c r="A7067" s="5" t="str">
        <f t="shared" si="122"/>
        <v>202323</v>
      </c>
      <c r="B7067" s="5" t="str">
        <f>"23085053809"</f>
        <v>23085053809</v>
      </c>
      <c r="C7067" s="6">
        <v>0</v>
      </c>
      <c r="D7067" s="6">
        <v>0</v>
      </c>
      <c r="E7067" s="6">
        <v>0</v>
      </c>
      <c r="F7067" s="11" t="s">
        <v>7</v>
      </c>
    </row>
    <row r="7068" spans="1:6">
      <c r="A7068" s="5" t="str">
        <f t="shared" si="122"/>
        <v>202323</v>
      </c>
      <c r="B7068" s="5" t="str">
        <f>"23085053512"</f>
        <v>23085053512</v>
      </c>
      <c r="C7068" s="6">
        <v>0</v>
      </c>
      <c r="D7068" s="6">
        <v>0</v>
      </c>
      <c r="E7068" s="6">
        <v>0</v>
      </c>
      <c r="F7068" s="11" t="s">
        <v>7</v>
      </c>
    </row>
    <row r="7069" spans="1:6">
      <c r="A7069" s="5" t="str">
        <f t="shared" si="122"/>
        <v>202323</v>
      </c>
      <c r="B7069" s="5" t="str">
        <f>"23085053715"</f>
        <v>23085053715</v>
      </c>
      <c r="C7069" s="6">
        <v>0</v>
      </c>
      <c r="D7069" s="6">
        <v>0</v>
      </c>
      <c r="E7069" s="6">
        <v>0</v>
      </c>
      <c r="F7069" s="11" t="s">
        <v>7</v>
      </c>
    </row>
    <row r="7070" spans="1:6">
      <c r="A7070" s="5" t="str">
        <f t="shared" si="122"/>
        <v>202323</v>
      </c>
      <c r="B7070" s="5" t="str">
        <f>"23085053826"</f>
        <v>23085053826</v>
      </c>
      <c r="C7070" s="6">
        <v>0</v>
      </c>
      <c r="D7070" s="6">
        <v>0</v>
      </c>
      <c r="E7070" s="6">
        <v>0</v>
      </c>
      <c r="F7070" s="11" t="s">
        <v>7</v>
      </c>
    </row>
    <row r="7071" spans="1:6">
      <c r="A7071" s="5" t="str">
        <f t="shared" si="122"/>
        <v>202323</v>
      </c>
      <c r="B7071" s="5" t="str">
        <f>"23085053611"</f>
        <v>23085053611</v>
      </c>
      <c r="C7071" s="6">
        <v>0</v>
      </c>
      <c r="D7071" s="6">
        <v>0</v>
      </c>
      <c r="E7071" s="6">
        <v>0</v>
      </c>
      <c r="F7071" s="11" t="s">
        <v>7</v>
      </c>
    </row>
    <row r="7072" spans="1:6">
      <c r="A7072" s="5" t="str">
        <f t="shared" si="122"/>
        <v>202323</v>
      </c>
      <c r="B7072" s="5" t="str">
        <f>"23085053706"</f>
        <v>23085053706</v>
      </c>
      <c r="C7072" s="6">
        <v>0</v>
      </c>
      <c r="D7072" s="6">
        <v>0</v>
      </c>
      <c r="E7072" s="6">
        <v>0</v>
      </c>
      <c r="F7072" s="11" t="s">
        <v>7</v>
      </c>
    </row>
    <row r="7073" spans="1:6">
      <c r="A7073" s="5" t="str">
        <f t="shared" si="122"/>
        <v>202323</v>
      </c>
      <c r="B7073" s="5" t="str">
        <f>"23085053622"</f>
        <v>23085053622</v>
      </c>
      <c r="C7073" s="6">
        <v>0</v>
      </c>
      <c r="D7073" s="6">
        <v>0</v>
      </c>
      <c r="E7073" s="6">
        <v>0</v>
      </c>
      <c r="F7073" s="11" t="s">
        <v>7</v>
      </c>
    </row>
    <row r="7074" spans="1:6">
      <c r="A7074" s="5" t="str">
        <f t="shared" si="122"/>
        <v>202323</v>
      </c>
      <c r="B7074" s="5" t="str">
        <f>"23085053516"</f>
        <v>23085053516</v>
      </c>
      <c r="C7074" s="6">
        <v>0</v>
      </c>
      <c r="D7074" s="6">
        <v>0</v>
      </c>
      <c r="E7074" s="6">
        <v>0</v>
      </c>
      <c r="F7074" s="11" t="s">
        <v>7</v>
      </c>
    </row>
    <row r="7075" spans="1:6">
      <c r="A7075" s="5" t="str">
        <f t="shared" si="122"/>
        <v>202323</v>
      </c>
      <c r="B7075" s="5" t="str">
        <f>"23085053702"</f>
        <v>23085053702</v>
      </c>
      <c r="C7075" s="6">
        <v>0</v>
      </c>
      <c r="D7075" s="6">
        <v>0</v>
      </c>
      <c r="E7075" s="6">
        <v>0</v>
      </c>
      <c r="F7075" s="11" t="s">
        <v>7</v>
      </c>
    </row>
    <row r="7076" spans="1:6">
      <c r="A7076" s="5" t="str">
        <f t="shared" si="122"/>
        <v>202323</v>
      </c>
      <c r="B7076" s="5" t="str">
        <f>"23085053822"</f>
        <v>23085053822</v>
      </c>
      <c r="C7076" s="6">
        <v>0</v>
      </c>
      <c r="D7076" s="6">
        <v>0</v>
      </c>
      <c r="E7076" s="6">
        <v>0</v>
      </c>
      <c r="F7076" s="11" t="s">
        <v>7</v>
      </c>
    </row>
    <row r="7077" spans="1:6">
      <c r="A7077" s="5" t="str">
        <f t="shared" si="122"/>
        <v>202323</v>
      </c>
      <c r="B7077" s="5" t="str">
        <f>"23085053818"</f>
        <v>23085053818</v>
      </c>
      <c r="C7077" s="6">
        <v>0</v>
      </c>
      <c r="D7077" s="6">
        <v>0</v>
      </c>
      <c r="E7077" s="6">
        <v>0</v>
      </c>
      <c r="F7077" s="11" t="s">
        <v>7</v>
      </c>
    </row>
    <row r="7078" spans="1:6">
      <c r="A7078" s="5" t="str">
        <f t="shared" si="122"/>
        <v>202323</v>
      </c>
      <c r="B7078" s="5" t="str">
        <f>"23085053810"</f>
        <v>23085053810</v>
      </c>
      <c r="C7078" s="6">
        <v>0</v>
      </c>
      <c r="D7078" s="6">
        <v>0</v>
      </c>
      <c r="E7078" s="6">
        <v>0</v>
      </c>
      <c r="F7078" s="11" t="s">
        <v>7</v>
      </c>
    </row>
    <row r="7079" spans="1:6">
      <c r="A7079" s="5" t="str">
        <f t="shared" ref="A7079:A7142" si="123">"202324"</f>
        <v>202324</v>
      </c>
      <c r="B7079" s="5" t="str">
        <f>"23085053917"</f>
        <v>23085053917</v>
      </c>
      <c r="C7079" s="6">
        <v>121.5</v>
      </c>
      <c r="D7079" s="6">
        <v>122</v>
      </c>
      <c r="E7079" s="6">
        <v>243.5</v>
      </c>
      <c r="F7079" s="11"/>
    </row>
    <row r="7080" spans="1:6">
      <c r="A7080" s="5" t="str">
        <f t="shared" si="123"/>
        <v>202324</v>
      </c>
      <c r="B7080" s="5" t="str">
        <f>"23085053930"</f>
        <v>23085053930</v>
      </c>
      <c r="C7080" s="6">
        <v>121.5</v>
      </c>
      <c r="D7080" s="6">
        <v>118</v>
      </c>
      <c r="E7080" s="6">
        <v>239.5</v>
      </c>
      <c r="F7080" s="11"/>
    </row>
    <row r="7081" spans="1:6">
      <c r="A7081" s="5" t="str">
        <f t="shared" si="123"/>
        <v>202324</v>
      </c>
      <c r="B7081" s="5" t="str">
        <f>"23085054004"</f>
        <v>23085054004</v>
      </c>
      <c r="C7081" s="6">
        <v>121.5</v>
      </c>
      <c r="D7081" s="6">
        <v>116.5</v>
      </c>
      <c r="E7081" s="6">
        <v>238</v>
      </c>
      <c r="F7081" s="11"/>
    </row>
    <row r="7082" spans="1:6">
      <c r="A7082" s="5" t="str">
        <f t="shared" si="123"/>
        <v>202324</v>
      </c>
      <c r="B7082" s="5" t="str">
        <f>"23085054023"</f>
        <v>23085054023</v>
      </c>
      <c r="C7082" s="6">
        <v>118.5</v>
      </c>
      <c r="D7082" s="6">
        <v>117</v>
      </c>
      <c r="E7082" s="6">
        <v>235.5</v>
      </c>
      <c r="F7082" s="11"/>
    </row>
    <row r="7083" spans="1:6">
      <c r="A7083" s="5" t="str">
        <f t="shared" si="123"/>
        <v>202324</v>
      </c>
      <c r="B7083" s="5" t="str">
        <f>"23085053907"</f>
        <v>23085053907</v>
      </c>
      <c r="C7083" s="6">
        <v>114</v>
      </c>
      <c r="D7083" s="6">
        <v>119.5</v>
      </c>
      <c r="E7083" s="6">
        <v>233.5</v>
      </c>
      <c r="F7083" s="11"/>
    </row>
    <row r="7084" spans="1:6">
      <c r="A7084" s="5" t="str">
        <f t="shared" si="123"/>
        <v>202324</v>
      </c>
      <c r="B7084" s="5" t="str">
        <f>"23085053915"</f>
        <v>23085053915</v>
      </c>
      <c r="C7084" s="6">
        <v>117</v>
      </c>
      <c r="D7084" s="6">
        <v>116.5</v>
      </c>
      <c r="E7084" s="6">
        <v>233.5</v>
      </c>
      <c r="F7084" s="11"/>
    </row>
    <row r="7085" spans="1:6">
      <c r="A7085" s="5" t="str">
        <f t="shared" si="123"/>
        <v>202324</v>
      </c>
      <c r="B7085" s="5" t="str">
        <f>"23085053912"</f>
        <v>23085053912</v>
      </c>
      <c r="C7085" s="6">
        <v>124.5</v>
      </c>
      <c r="D7085" s="6">
        <v>108</v>
      </c>
      <c r="E7085" s="6">
        <v>232.5</v>
      </c>
      <c r="F7085" s="11"/>
    </row>
    <row r="7086" spans="1:6">
      <c r="A7086" s="5" t="str">
        <f t="shared" si="123"/>
        <v>202324</v>
      </c>
      <c r="B7086" s="5" t="str">
        <f>"23085053909"</f>
        <v>23085053909</v>
      </c>
      <c r="C7086" s="6">
        <v>112.5</v>
      </c>
      <c r="D7086" s="6">
        <v>120</v>
      </c>
      <c r="E7086" s="6">
        <v>232.5</v>
      </c>
      <c r="F7086" s="11"/>
    </row>
    <row r="7087" spans="1:6">
      <c r="A7087" s="5" t="str">
        <f t="shared" si="123"/>
        <v>202324</v>
      </c>
      <c r="B7087" s="5" t="str">
        <f>"23085054019"</f>
        <v>23085054019</v>
      </c>
      <c r="C7087" s="6">
        <v>115.5</v>
      </c>
      <c r="D7087" s="6">
        <v>115.5</v>
      </c>
      <c r="E7087" s="6">
        <v>231</v>
      </c>
      <c r="F7087" s="11"/>
    </row>
    <row r="7088" spans="1:6">
      <c r="A7088" s="5" t="str">
        <f t="shared" si="123"/>
        <v>202324</v>
      </c>
      <c r="B7088" s="5" t="str">
        <f>"23085053830"</f>
        <v>23085053830</v>
      </c>
      <c r="C7088" s="6">
        <v>109.5</v>
      </c>
      <c r="D7088" s="6">
        <v>121.5</v>
      </c>
      <c r="E7088" s="6">
        <v>231</v>
      </c>
      <c r="F7088" s="11"/>
    </row>
    <row r="7089" spans="1:6">
      <c r="A7089" s="5" t="str">
        <f t="shared" si="123"/>
        <v>202324</v>
      </c>
      <c r="B7089" s="5" t="str">
        <f>"23085053928"</f>
        <v>23085053928</v>
      </c>
      <c r="C7089" s="6">
        <v>117</v>
      </c>
      <c r="D7089" s="6">
        <v>113.5</v>
      </c>
      <c r="E7089" s="6">
        <v>230.5</v>
      </c>
      <c r="F7089" s="11"/>
    </row>
    <row r="7090" spans="1:6">
      <c r="A7090" s="5" t="str">
        <f t="shared" si="123"/>
        <v>202324</v>
      </c>
      <c r="B7090" s="5" t="str">
        <f>"23085053922"</f>
        <v>23085053922</v>
      </c>
      <c r="C7090" s="6">
        <v>114</v>
      </c>
      <c r="D7090" s="6">
        <v>116.5</v>
      </c>
      <c r="E7090" s="6">
        <v>230.5</v>
      </c>
      <c r="F7090" s="11"/>
    </row>
    <row r="7091" spans="1:6">
      <c r="A7091" s="5" t="str">
        <f t="shared" si="123"/>
        <v>202324</v>
      </c>
      <c r="B7091" s="5" t="str">
        <f>"23085054026"</f>
        <v>23085054026</v>
      </c>
      <c r="C7091" s="6">
        <v>120</v>
      </c>
      <c r="D7091" s="6">
        <v>110</v>
      </c>
      <c r="E7091" s="6">
        <v>230</v>
      </c>
      <c r="F7091" s="11"/>
    </row>
    <row r="7092" spans="1:6">
      <c r="A7092" s="5" t="str">
        <f t="shared" si="123"/>
        <v>202324</v>
      </c>
      <c r="B7092" s="5" t="str">
        <f>"23085053918"</f>
        <v>23085053918</v>
      </c>
      <c r="C7092" s="6">
        <v>117</v>
      </c>
      <c r="D7092" s="6">
        <v>112.5</v>
      </c>
      <c r="E7092" s="6">
        <v>229.5</v>
      </c>
      <c r="F7092" s="11"/>
    </row>
    <row r="7093" spans="1:6">
      <c r="A7093" s="5" t="str">
        <f t="shared" si="123"/>
        <v>202324</v>
      </c>
      <c r="B7093" s="5" t="str">
        <f>"23085054030"</f>
        <v>23085054030</v>
      </c>
      <c r="C7093" s="6">
        <v>111</v>
      </c>
      <c r="D7093" s="6">
        <v>118.5</v>
      </c>
      <c r="E7093" s="6">
        <v>229.5</v>
      </c>
      <c r="F7093" s="11"/>
    </row>
    <row r="7094" spans="1:6">
      <c r="A7094" s="5" t="str">
        <f t="shared" si="123"/>
        <v>202324</v>
      </c>
      <c r="B7094" s="5" t="str">
        <f>"23085054005"</f>
        <v>23085054005</v>
      </c>
      <c r="C7094" s="6">
        <v>109.5</v>
      </c>
      <c r="D7094" s="6">
        <v>118.5</v>
      </c>
      <c r="E7094" s="6">
        <v>228</v>
      </c>
      <c r="F7094" s="11"/>
    </row>
    <row r="7095" spans="1:6">
      <c r="A7095" s="5" t="str">
        <f t="shared" si="123"/>
        <v>202324</v>
      </c>
      <c r="B7095" s="5" t="str">
        <f>"23085053924"</f>
        <v>23085053924</v>
      </c>
      <c r="C7095" s="6">
        <v>114</v>
      </c>
      <c r="D7095" s="6">
        <v>114</v>
      </c>
      <c r="E7095" s="6">
        <v>228</v>
      </c>
      <c r="F7095" s="11"/>
    </row>
    <row r="7096" spans="1:6">
      <c r="A7096" s="5" t="str">
        <f t="shared" si="123"/>
        <v>202324</v>
      </c>
      <c r="B7096" s="5" t="str">
        <f>"23085053911"</f>
        <v>23085053911</v>
      </c>
      <c r="C7096" s="6">
        <v>106.5</v>
      </c>
      <c r="D7096" s="6">
        <v>120</v>
      </c>
      <c r="E7096" s="6">
        <v>226.5</v>
      </c>
      <c r="F7096" s="11"/>
    </row>
    <row r="7097" spans="1:6">
      <c r="A7097" s="5" t="str">
        <f t="shared" si="123"/>
        <v>202324</v>
      </c>
      <c r="B7097" s="5" t="str">
        <f>"23085053914"</f>
        <v>23085053914</v>
      </c>
      <c r="C7097" s="6">
        <v>115.5</v>
      </c>
      <c r="D7097" s="6">
        <v>111</v>
      </c>
      <c r="E7097" s="6">
        <v>226.5</v>
      </c>
      <c r="F7097" s="11"/>
    </row>
    <row r="7098" spans="1:6">
      <c r="A7098" s="5" t="str">
        <f t="shared" si="123"/>
        <v>202324</v>
      </c>
      <c r="B7098" s="5" t="str">
        <f>"23085054011"</f>
        <v>23085054011</v>
      </c>
      <c r="C7098" s="6">
        <v>120</v>
      </c>
      <c r="D7098" s="6">
        <v>106</v>
      </c>
      <c r="E7098" s="6">
        <v>226</v>
      </c>
      <c r="F7098" s="11"/>
    </row>
    <row r="7099" spans="1:6">
      <c r="A7099" s="5" t="str">
        <f t="shared" si="123"/>
        <v>202324</v>
      </c>
      <c r="B7099" s="5" t="str">
        <f>"23085053913"</f>
        <v>23085053913</v>
      </c>
      <c r="C7099" s="6">
        <v>111</v>
      </c>
      <c r="D7099" s="6">
        <v>115</v>
      </c>
      <c r="E7099" s="6">
        <v>226</v>
      </c>
      <c r="F7099" s="11"/>
    </row>
    <row r="7100" spans="1:6">
      <c r="A7100" s="5" t="str">
        <f t="shared" si="123"/>
        <v>202324</v>
      </c>
      <c r="B7100" s="5" t="str">
        <f>"23085053829"</f>
        <v>23085053829</v>
      </c>
      <c r="C7100" s="6">
        <v>111</v>
      </c>
      <c r="D7100" s="6">
        <v>113.5</v>
      </c>
      <c r="E7100" s="6">
        <v>224.5</v>
      </c>
      <c r="F7100" s="11"/>
    </row>
    <row r="7101" spans="1:6">
      <c r="A7101" s="5" t="str">
        <f t="shared" si="123"/>
        <v>202324</v>
      </c>
      <c r="B7101" s="5" t="str">
        <f>"23085053903"</f>
        <v>23085053903</v>
      </c>
      <c r="C7101" s="6">
        <v>108</v>
      </c>
      <c r="D7101" s="6">
        <v>116</v>
      </c>
      <c r="E7101" s="6">
        <v>224</v>
      </c>
      <c r="F7101" s="11"/>
    </row>
    <row r="7102" spans="1:6">
      <c r="A7102" s="5" t="str">
        <f t="shared" si="123"/>
        <v>202324</v>
      </c>
      <c r="B7102" s="5" t="str">
        <f>"23085054007"</f>
        <v>23085054007</v>
      </c>
      <c r="C7102" s="6">
        <v>106.5</v>
      </c>
      <c r="D7102" s="6">
        <v>117.5</v>
      </c>
      <c r="E7102" s="6">
        <v>224</v>
      </c>
      <c r="F7102" s="11"/>
    </row>
    <row r="7103" spans="1:6">
      <c r="A7103" s="5" t="str">
        <f t="shared" si="123"/>
        <v>202324</v>
      </c>
      <c r="B7103" s="5" t="str">
        <f>"23085054010"</f>
        <v>23085054010</v>
      </c>
      <c r="C7103" s="6">
        <v>114</v>
      </c>
      <c r="D7103" s="6">
        <v>110</v>
      </c>
      <c r="E7103" s="6">
        <v>224</v>
      </c>
      <c r="F7103" s="11"/>
    </row>
    <row r="7104" spans="1:6">
      <c r="A7104" s="5" t="str">
        <f t="shared" si="123"/>
        <v>202324</v>
      </c>
      <c r="B7104" s="5" t="str">
        <f>"23085053904"</f>
        <v>23085053904</v>
      </c>
      <c r="C7104" s="6">
        <v>111</v>
      </c>
      <c r="D7104" s="6">
        <v>113</v>
      </c>
      <c r="E7104" s="6">
        <v>224</v>
      </c>
      <c r="F7104" s="11"/>
    </row>
    <row r="7105" spans="1:6">
      <c r="A7105" s="5" t="str">
        <f t="shared" si="123"/>
        <v>202324</v>
      </c>
      <c r="B7105" s="5" t="str">
        <f>"23085054107"</f>
        <v>23085054107</v>
      </c>
      <c r="C7105" s="6">
        <v>106.5</v>
      </c>
      <c r="D7105" s="6">
        <v>116.5</v>
      </c>
      <c r="E7105" s="6">
        <v>223</v>
      </c>
      <c r="F7105" s="11"/>
    </row>
    <row r="7106" spans="1:6">
      <c r="A7106" s="5" t="str">
        <f t="shared" si="123"/>
        <v>202324</v>
      </c>
      <c r="B7106" s="5" t="str">
        <f>"23085054003"</f>
        <v>23085054003</v>
      </c>
      <c r="C7106" s="6">
        <v>103.5</v>
      </c>
      <c r="D7106" s="6">
        <v>118</v>
      </c>
      <c r="E7106" s="6">
        <v>221.5</v>
      </c>
      <c r="F7106" s="11"/>
    </row>
    <row r="7107" spans="1:6">
      <c r="A7107" s="5" t="str">
        <f t="shared" si="123"/>
        <v>202324</v>
      </c>
      <c r="B7107" s="5" t="str">
        <f>"23085054006"</f>
        <v>23085054006</v>
      </c>
      <c r="C7107" s="6">
        <v>100.5</v>
      </c>
      <c r="D7107" s="6">
        <v>120.5</v>
      </c>
      <c r="E7107" s="6">
        <v>221</v>
      </c>
      <c r="F7107" s="11"/>
    </row>
    <row r="7108" spans="1:6">
      <c r="A7108" s="5" t="str">
        <f t="shared" si="123"/>
        <v>202324</v>
      </c>
      <c r="B7108" s="5" t="str">
        <f>"23085054103"</f>
        <v>23085054103</v>
      </c>
      <c r="C7108" s="6">
        <v>103.5</v>
      </c>
      <c r="D7108" s="6">
        <v>116.5</v>
      </c>
      <c r="E7108" s="6">
        <v>220</v>
      </c>
      <c r="F7108" s="11"/>
    </row>
    <row r="7109" spans="1:6">
      <c r="A7109" s="5" t="str">
        <f t="shared" si="123"/>
        <v>202324</v>
      </c>
      <c r="B7109" s="5" t="str">
        <f>"23085054027"</f>
        <v>23085054027</v>
      </c>
      <c r="C7109" s="6">
        <v>106.5</v>
      </c>
      <c r="D7109" s="6">
        <v>113</v>
      </c>
      <c r="E7109" s="6">
        <v>219.5</v>
      </c>
      <c r="F7109" s="11"/>
    </row>
    <row r="7110" spans="1:6">
      <c r="A7110" s="5" t="str">
        <f t="shared" si="123"/>
        <v>202324</v>
      </c>
      <c r="B7110" s="5" t="str">
        <f>"23085054008"</f>
        <v>23085054008</v>
      </c>
      <c r="C7110" s="6">
        <v>99</v>
      </c>
      <c r="D7110" s="6">
        <v>119.5</v>
      </c>
      <c r="E7110" s="6">
        <v>218.5</v>
      </c>
      <c r="F7110" s="11"/>
    </row>
    <row r="7111" spans="1:6">
      <c r="A7111" s="5" t="str">
        <f t="shared" si="123"/>
        <v>202324</v>
      </c>
      <c r="B7111" s="5" t="str">
        <f>"23085053906"</f>
        <v>23085053906</v>
      </c>
      <c r="C7111" s="6">
        <v>108</v>
      </c>
      <c r="D7111" s="6">
        <v>110</v>
      </c>
      <c r="E7111" s="6">
        <v>218</v>
      </c>
      <c r="F7111" s="11"/>
    </row>
    <row r="7112" spans="1:6">
      <c r="A7112" s="5" t="str">
        <f t="shared" si="123"/>
        <v>202324</v>
      </c>
      <c r="B7112" s="5" t="str">
        <f>"23085053916"</f>
        <v>23085053916</v>
      </c>
      <c r="C7112" s="6">
        <v>105</v>
      </c>
      <c r="D7112" s="6">
        <v>112.5</v>
      </c>
      <c r="E7112" s="6">
        <v>217.5</v>
      </c>
      <c r="F7112" s="11"/>
    </row>
    <row r="7113" spans="1:6">
      <c r="A7113" s="5" t="str">
        <f t="shared" si="123"/>
        <v>202324</v>
      </c>
      <c r="B7113" s="5" t="str">
        <f>"23085053902"</f>
        <v>23085053902</v>
      </c>
      <c r="C7113" s="6">
        <v>109.5</v>
      </c>
      <c r="D7113" s="6">
        <v>108</v>
      </c>
      <c r="E7113" s="6">
        <v>217.5</v>
      </c>
      <c r="F7113" s="11"/>
    </row>
    <row r="7114" spans="1:6">
      <c r="A7114" s="5" t="str">
        <f t="shared" si="123"/>
        <v>202324</v>
      </c>
      <c r="B7114" s="5" t="str">
        <f>"23085054102"</f>
        <v>23085054102</v>
      </c>
      <c r="C7114" s="6">
        <v>103.5</v>
      </c>
      <c r="D7114" s="6">
        <v>112.5</v>
      </c>
      <c r="E7114" s="6">
        <v>216</v>
      </c>
      <c r="F7114" s="11"/>
    </row>
    <row r="7115" spans="1:6">
      <c r="A7115" s="5" t="str">
        <f t="shared" si="123"/>
        <v>202324</v>
      </c>
      <c r="B7115" s="5" t="str">
        <f>"23085054025"</f>
        <v>23085054025</v>
      </c>
      <c r="C7115" s="6">
        <v>102</v>
      </c>
      <c r="D7115" s="6">
        <v>113.5</v>
      </c>
      <c r="E7115" s="6">
        <v>215.5</v>
      </c>
      <c r="F7115" s="11"/>
    </row>
    <row r="7116" spans="1:6">
      <c r="A7116" s="5" t="str">
        <f t="shared" si="123"/>
        <v>202324</v>
      </c>
      <c r="B7116" s="5" t="str">
        <f>"23085054110"</f>
        <v>23085054110</v>
      </c>
      <c r="C7116" s="6">
        <v>96</v>
      </c>
      <c r="D7116" s="6">
        <v>119.5</v>
      </c>
      <c r="E7116" s="6">
        <v>215.5</v>
      </c>
      <c r="F7116" s="11"/>
    </row>
    <row r="7117" spans="1:6">
      <c r="A7117" s="5" t="str">
        <f t="shared" si="123"/>
        <v>202324</v>
      </c>
      <c r="B7117" s="5" t="str">
        <f>"23085054029"</f>
        <v>23085054029</v>
      </c>
      <c r="C7117" s="6">
        <v>97.5</v>
      </c>
      <c r="D7117" s="6">
        <v>117</v>
      </c>
      <c r="E7117" s="6">
        <v>214.5</v>
      </c>
      <c r="F7117" s="11"/>
    </row>
    <row r="7118" spans="1:6">
      <c r="A7118" s="5" t="str">
        <f t="shared" si="123"/>
        <v>202324</v>
      </c>
      <c r="B7118" s="5" t="str">
        <f>"23085054024"</f>
        <v>23085054024</v>
      </c>
      <c r="C7118" s="6">
        <v>105</v>
      </c>
      <c r="D7118" s="6">
        <v>108.5</v>
      </c>
      <c r="E7118" s="6">
        <v>213.5</v>
      </c>
      <c r="F7118" s="11"/>
    </row>
    <row r="7119" spans="1:6">
      <c r="A7119" s="5" t="str">
        <f t="shared" si="123"/>
        <v>202324</v>
      </c>
      <c r="B7119" s="5" t="str">
        <f>"23085054028"</f>
        <v>23085054028</v>
      </c>
      <c r="C7119" s="6">
        <v>99</v>
      </c>
      <c r="D7119" s="6">
        <v>114.5</v>
      </c>
      <c r="E7119" s="6">
        <v>213.5</v>
      </c>
      <c r="F7119" s="11"/>
    </row>
    <row r="7120" spans="1:6">
      <c r="A7120" s="5" t="str">
        <f t="shared" si="123"/>
        <v>202324</v>
      </c>
      <c r="B7120" s="5" t="str">
        <f>"23085053828"</f>
        <v>23085053828</v>
      </c>
      <c r="C7120" s="6">
        <v>99</v>
      </c>
      <c r="D7120" s="6">
        <v>112.5</v>
      </c>
      <c r="E7120" s="6">
        <v>211.5</v>
      </c>
      <c r="F7120" s="11"/>
    </row>
    <row r="7121" spans="1:6">
      <c r="A7121" s="5" t="str">
        <f t="shared" si="123"/>
        <v>202324</v>
      </c>
      <c r="B7121" s="5" t="str">
        <f>"23085054014"</f>
        <v>23085054014</v>
      </c>
      <c r="C7121" s="6">
        <v>105</v>
      </c>
      <c r="D7121" s="6">
        <v>105</v>
      </c>
      <c r="E7121" s="6">
        <v>210</v>
      </c>
      <c r="F7121" s="11"/>
    </row>
    <row r="7122" spans="1:6">
      <c r="A7122" s="5" t="str">
        <f t="shared" si="123"/>
        <v>202324</v>
      </c>
      <c r="B7122" s="5" t="str">
        <f>"23085053925"</f>
        <v>23085053925</v>
      </c>
      <c r="C7122" s="6">
        <v>97.5</v>
      </c>
      <c r="D7122" s="6">
        <v>111.5</v>
      </c>
      <c r="E7122" s="6">
        <v>209</v>
      </c>
      <c r="F7122" s="11"/>
    </row>
    <row r="7123" spans="1:6">
      <c r="A7123" s="5" t="str">
        <f t="shared" si="123"/>
        <v>202324</v>
      </c>
      <c r="B7123" s="5" t="str">
        <f>"23085053929"</f>
        <v>23085053929</v>
      </c>
      <c r="C7123" s="6">
        <v>96</v>
      </c>
      <c r="D7123" s="6">
        <v>111.5</v>
      </c>
      <c r="E7123" s="6">
        <v>207.5</v>
      </c>
      <c r="F7123" s="11"/>
    </row>
    <row r="7124" spans="1:6">
      <c r="A7124" s="5" t="str">
        <f t="shared" si="123"/>
        <v>202324</v>
      </c>
      <c r="B7124" s="5" t="str">
        <f>"23085054106"</f>
        <v>23085054106</v>
      </c>
      <c r="C7124" s="6">
        <v>94.5</v>
      </c>
      <c r="D7124" s="6">
        <v>113</v>
      </c>
      <c r="E7124" s="6">
        <v>207.5</v>
      </c>
      <c r="F7124" s="11"/>
    </row>
    <row r="7125" spans="1:6">
      <c r="A7125" s="5" t="str">
        <f t="shared" si="123"/>
        <v>202324</v>
      </c>
      <c r="B7125" s="5" t="str">
        <f>"23085053927"</f>
        <v>23085053927</v>
      </c>
      <c r="C7125" s="6">
        <v>91.5</v>
      </c>
      <c r="D7125" s="6">
        <v>115</v>
      </c>
      <c r="E7125" s="6">
        <v>206.5</v>
      </c>
      <c r="F7125" s="11"/>
    </row>
    <row r="7126" spans="1:6">
      <c r="A7126" s="5" t="str">
        <f t="shared" si="123"/>
        <v>202324</v>
      </c>
      <c r="B7126" s="5" t="str">
        <f>"23085054018"</f>
        <v>23085054018</v>
      </c>
      <c r="C7126" s="6">
        <v>88.5</v>
      </c>
      <c r="D7126" s="6">
        <v>117.5</v>
      </c>
      <c r="E7126" s="6">
        <v>206</v>
      </c>
      <c r="F7126" s="11"/>
    </row>
    <row r="7127" spans="1:6">
      <c r="A7127" s="5" t="str">
        <f t="shared" si="123"/>
        <v>202324</v>
      </c>
      <c r="B7127" s="5" t="str">
        <f>"23085053926"</f>
        <v>23085053926</v>
      </c>
      <c r="C7127" s="6">
        <v>103.5</v>
      </c>
      <c r="D7127" s="6">
        <v>102</v>
      </c>
      <c r="E7127" s="6">
        <v>205.5</v>
      </c>
      <c r="F7127" s="11"/>
    </row>
    <row r="7128" spans="1:6">
      <c r="A7128" s="5" t="str">
        <f t="shared" si="123"/>
        <v>202324</v>
      </c>
      <c r="B7128" s="5" t="str">
        <f>"23085053827"</f>
        <v>23085053827</v>
      </c>
      <c r="C7128" s="6">
        <v>81</v>
      </c>
      <c r="D7128" s="6">
        <v>117</v>
      </c>
      <c r="E7128" s="6">
        <v>198</v>
      </c>
      <c r="F7128" s="11"/>
    </row>
    <row r="7129" spans="1:6">
      <c r="A7129" s="5" t="str">
        <f t="shared" si="123"/>
        <v>202324</v>
      </c>
      <c r="B7129" s="5" t="str">
        <f>"23085054109"</f>
        <v>23085054109</v>
      </c>
      <c r="C7129" s="6">
        <v>81</v>
      </c>
      <c r="D7129" s="6">
        <v>115.5</v>
      </c>
      <c r="E7129" s="6">
        <v>196.5</v>
      </c>
      <c r="F7129" s="11"/>
    </row>
    <row r="7130" spans="1:6">
      <c r="A7130" s="5" t="str">
        <f t="shared" si="123"/>
        <v>202324</v>
      </c>
      <c r="B7130" s="5" t="str">
        <f>"23085054013"</f>
        <v>23085054013</v>
      </c>
      <c r="C7130" s="6">
        <v>88.5</v>
      </c>
      <c r="D7130" s="6">
        <v>100</v>
      </c>
      <c r="E7130" s="6">
        <v>188.5</v>
      </c>
      <c r="F7130" s="11"/>
    </row>
    <row r="7131" spans="1:6">
      <c r="A7131" s="5" t="str">
        <f t="shared" si="123"/>
        <v>202324</v>
      </c>
      <c r="B7131" s="5" t="str">
        <f>"23085054021"</f>
        <v>23085054021</v>
      </c>
      <c r="C7131" s="6">
        <v>81</v>
      </c>
      <c r="D7131" s="6">
        <v>103</v>
      </c>
      <c r="E7131" s="6">
        <v>184</v>
      </c>
      <c r="F7131" s="11"/>
    </row>
    <row r="7132" spans="1:6">
      <c r="A7132" s="5" t="str">
        <f t="shared" si="123"/>
        <v>202324</v>
      </c>
      <c r="B7132" s="5" t="str">
        <f>"23085053908"</f>
        <v>23085053908</v>
      </c>
      <c r="C7132" s="6">
        <v>0</v>
      </c>
      <c r="D7132" s="6">
        <v>0</v>
      </c>
      <c r="E7132" s="6">
        <v>0</v>
      </c>
      <c r="F7132" s="11" t="s">
        <v>7</v>
      </c>
    </row>
    <row r="7133" spans="1:6">
      <c r="A7133" s="5" t="str">
        <f t="shared" si="123"/>
        <v>202324</v>
      </c>
      <c r="B7133" s="5" t="str">
        <f>"23085054002"</f>
        <v>23085054002</v>
      </c>
      <c r="C7133" s="6">
        <v>0</v>
      </c>
      <c r="D7133" s="6">
        <v>0</v>
      </c>
      <c r="E7133" s="6">
        <v>0</v>
      </c>
      <c r="F7133" s="11" t="s">
        <v>7</v>
      </c>
    </row>
    <row r="7134" spans="1:6">
      <c r="A7134" s="5" t="str">
        <f t="shared" si="123"/>
        <v>202324</v>
      </c>
      <c r="B7134" s="5" t="str">
        <f>"23085054101"</f>
        <v>23085054101</v>
      </c>
      <c r="C7134" s="6">
        <v>0</v>
      </c>
      <c r="D7134" s="6">
        <v>0</v>
      </c>
      <c r="E7134" s="6">
        <v>0</v>
      </c>
      <c r="F7134" s="11" t="s">
        <v>7</v>
      </c>
    </row>
    <row r="7135" spans="1:6">
      <c r="A7135" s="5" t="str">
        <f t="shared" si="123"/>
        <v>202324</v>
      </c>
      <c r="B7135" s="5" t="str">
        <f>"23085054108"</f>
        <v>23085054108</v>
      </c>
      <c r="C7135" s="6">
        <v>0</v>
      </c>
      <c r="D7135" s="6">
        <v>0</v>
      </c>
      <c r="E7135" s="6">
        <v>0</v>
      </c>
      <c r="F7135" s="11" t="s">
        <v>7</v>
      </c>
    </row>
    <row r="7136" spans="1:6">
      <c r="A7136" s="5" t="str">
        <f t="shared" si="123"/>
        <v>202324</v>
      </c>
      <c r="B7136" s="5" t="str">
        <f>"23085053920"</f>
        <v>23085053920</v>
      </c>
      <c r="C7136" s="6">
        <v>0</v>
      </c>
      <c r="D7136" s="6">
        <v>0</v>
      </c>
      <c r="E7136" s="6">
        <v>0</v>
      </c>
      <c r="F7136" s="11" t="s">
        <v>7</v>
      </c>
    </row>
    <row r="7137" spans="1:6">
      <c r="A7137" s="5" t="str">
        <f t="shared" si="123"/>
        <v>202324</v>
      </c>
      <c r="B7137" s="5" t="str">
        <f>"23085054012"</f>
        <v>23085054012</v>
      </c>
      <c r="C7137" s="6">
        <v>0</v>
      </c>
      <c r="D7137" s="6">
        <v>0</v>
      </c>
      <c r="E7137" s="6">
        <v>0</v>
      </c>
      <c r="F7137" s="11" t="s">
        <v>7</v>
      </c>
    </row>
    <row r="7138" spans="1:6">
      <c r="A7138" s="5" t="str">
        <f t="shared" si="123"/>
        <v>202324</v>
      </c>
      <c r="B7138" s="5" t="str">
        <f>"23085054111"</f>
        <v>23085054111</v>
      </c>
      <c r="C7138" s="6">
        <v>0</v>
      </c>
      <c r="D7138" s="6">
        <v>0</v>
      </c>
      <c r="E7138" s="6">
        <v>0</v>
      </c>
      <c r="F7138" s="11" t="s">
        <v>7</v>
      </c>
    </row>
    <row r="7139" spans="1:6">
      <c r="A7139" s="5" t="str">
        <f t="shared" si="123"/>
        <v>202324</v>
      </c>
      <c r="B7139" s="5" t="str">
        <f>"23085054016"</f>
        <v>23085054016</v>
      </c>
      <c r="C7139" s="6">
        <v>0</v>
      </c>
      <c r="D7139" s="6">
        <v>0</v>
      </c>
      <c r="E7139" s="6">
        <v>0</v>
      </c>
      <c r="F7139" s="11" t="s">
        <v>7</v>
      </c>
    </row>
    <row r="7140" spans="1:6">
      <c r="A7140" s="5" t="str">
        <f t="shared" si="123"/>
        <v>202324</v>
      </c>
      <c r="B7140" s="5" t="str">
        <f>"23085053919"</f>
        <v>23085053919</v>
      </c>
      <c r="C7140" s="6">
        <v>0</v>
      </c>
      <c r="D7140" s="6">
        <v>0</v>
      </c>
      <c r="E7140" s="6">
        <v>0</v>
      </c>
      <c r="F7140" s="11" t="s">
        <v>7</v>
      </c>
    </row>
    <row r="7141" spans="1:6">
      <c r="A7141" s="5" t="str">
        <f t="shared" si="123"/>
        <v>202324</v>
      </c>
      <c r="B7141" s="5" t="str">
        <f>"23085053923"</f>
        <v>23085053923</v>
      </c>
      <c r="C7141" s="6">
        <v>0</v>
      </c>
      <c r="D7141" s="6">
        <v>0</v>
      </c>
      <c r="E7141" s="6">
        <v>0</v>
      </c>
      <c r="F7141" s="11" t="s">
        <v>7</v>
      </c>
    </row>
    <row r="7142" spans="1:6">
      <c r="A7142" s="5" t="str">
        <f t="shared" si="123"/>
        <v>202324</v>
      </c>
      <c r="B7142" s="5" t="str">
        <f>"23085054020"</f>
        <v>23085054020</v>
      </c>
      <c r="C7142" s="6">
        <v>0</v>
      </c>
      <c r="D7142" s="6">
        <v>0</v>
      </c>
      <c r="E7142" s="6">
        <v>0</v>
      </c>
      <c r="F7142" s="11" t="s">
        <v>7</v>
      </c>
    </row>
    <row r="7143" spans="1:6">
      <c r="A7143" s="5" t="str">
        <f t="shared" ref="A7143:A7153" si="124">"202324"</f>
        <v>202324</v>
      </c>
      <c r="B7143" s="5" t="str">
        <f>"23085054105"</f>
        <v>23085054105</v>
      </c>
      <c r="C7143" s="6">
        <v>0</v>
      </c>
      <c r="D7143" s="6">
        <v>0</v>
      </c>
      <c r="E7143" s="6">
        <v>0</v>
      </c>
      <c r="F7143" s="11" t="s">
        <v>7</v>
      </c>
    </row>
    <row r="7144" spans="1:6">
      <c r="A7144" s="5" t="str">
        <f t="shared" si="124"/>
        <v>202324</v>
      </c>
      <c r="B7144" s="5" t="str">
        <f>"23085054022"</f>
        <v>23085054022</v>
      </c>
      <c r="C7144" s="6">
        <v>0</v>
      </c>
      <c r="D7144" s="6">
        <v>0</v>
      </c>
      <c r="E7144" s="6">
        <v>0</v>
      </c>
      <c r="F7144" s="11" t="s">
        <v>7</v>
      </c>
    </row>
    <row r="7145" spans="1:6">
      <c r="A7145" s="5" t="str">
        <f t="shared" si="124"/>
        <v>202324</v>
      </c>
      <c r="B7145" s="5" t="str">
        <f>"23085053910"</f>
        <v>23085053910</v>
      </c>
      <c r="C7145" s="6">
        <v>0</v>
      </c>
      <c r="D7145" s="6">
        <v>0</v>
      </c>
      <c r="E7145" s="6">
        <v>0</v>
      </c>
      <c r="F7145" s="11" t="s">
        <v>7</v>
      </c>
    </row>
    <row r="7146" spans="1:6">
      <c r="A7146" s="5" t="str">
        <f t="shared" si="124"/>
        <v>202324</v>
      </c>
      <c r="B7146" s="5" t="str">
        <f>"23085053905"</f>
        <v>23085053905</v>
      </c>
      <c r="C7146" s="6">
        <v>0</v>
      </c>
      <c r="D7146" s="6">
        <v>0</v>
      </c>
      <c r="E7146" s="6">
        <v>0</v>
      </c>
      <c r="F7146" s="11" t="s">
        <v>7</v>
      </c>
    </row>
    <row r="7147" spans="1:6">
      <c r="A7147" s="5" t="str">
        <f t="shared" si="124"/>
        <v>202324</v>
      </c>
      <c r="B7147" s="5" t="str">
        <f>"23085054017"</f>
        <v>23085054017</v>
      </c>
      <c r="C7147" s="6">
        <v>0</v>
      </c>
      <c r="D7147" s="6">
        <v>0</v>
      </c>
      <c r="E7147" s="6">
        <v>0</v>
      </c>
      <c r="F7147" s="11" t="s">
        <v>7</v>
      </c>
    </row>
    <row r="7148" spans="1:6">
      <c r="A7148" s="5" t="str">
        <f t="shared" si="124"/>
        <v>202324</v>
      </c>
      <c r="B7148" s="5" t="str">
        <f>"23085053901"</f>
        <v>23085053901</v>
      </c>
      <c r="C7148" s="6">
        <v>0</v>
      </c>
      <c r="D7148" s="6">
        <v>0</v>
      </c>
      <c r="E7148" s="6">
        <v>0</v>
      </c>
      <c r="F7148" s="11" t="s">
        <v>7</v>
      </c>
    </row>
    <row r="7149" spans="1:6">
      <c r="A7149" s="5" t="str">
        <f t="shared" si="124"/>
        <v>202324</v>
      </c>
      <c r="B7149" s="5" t="str">
        <f>"23085054009"</f>
        <v>23085054009</v>
      </c>
      <c r="C7149" s="6">
        <v>0</v>
      </c>
      <c r="D7149" s="6">
        <v>0</v>
      </c>
      <c r="E7149" s="6">
        <v>0</v>
      </c>
      <c r="F7149" s="11" t="s">
        <v>7</v>
      </c>
    </row>
    <row r="7150" spans="1:6">
      <c r="A7150" s="5" t="str">
        <f t="shared" si="124"/>
        <v>202324</v>
      </c>
      <c r="B7150" s="5" t="str">
        <f>"23085054015"</f>
        <v>23085054015</v>
      </c>
      <c r="C7150" s="6">
        <v>0</v>
      </c>
      <c r="D7150" s="6">
        <v>0</v>
      </c>
      <c r="E7150" s="6">
        <v>0</v>
      </c>
      <c r="F7150" s="11" t="s">
        <v>7</v>
      </c>
    </row>
    <row r="7151" spans="1:6">
      <c r="A7151" s="5" t="str">
        <f t="shared" si="124"/>
        <v>202324</v>
      </c>
      <c r="B7151" s="5" t="str">
        <f>"23085053921"</f>
        <v>23085053921</v>
      </c>
      <c r="C7151" s="6">
        <v>0</v>
      </c>
      <c r="D7151" s="6">
        <v>0</v>
      </c>
      <c r="E7151" s="6">
        <v>0</v>
      </c>
      <c r="F7151" s="11" t="s">
        <v>7</v>
      </c>
    </row>
    <row r="7152" spans="1:6">
      <c r="A7152" s="5" t="str">
        <f t="shared" si="124"/>
        <v>202324</v>
      </c>
      <c r="B7152" s="5" t="str">
        <f>"23085054001"</f>
        <v>23085054001</v>
      </c>
      <c r="C7152" s="6">
        <v>0</v>
      </c>
      <c r="D7152" s="6">
        <v>0</v>
      </c>
      <c r="E7152" s="6">
        <v>0</v>
      </c>
      <c r="F7152" s="11" t="s">
        <v>7</v>
      </c>
    </row>
    <row r="7153" spans="1:6">
      <c r="A7153" s="5" t="str">
        <f t="shared" si="124"/>
        <v>202324</v>
      </c>
      <c r="B7153" s="5" t="str">
        <f>"23085054104"</f>
        <v>23085054104</v>
      </c>
      <c r="C7153" s="6">
        <v>0</v>
      </c>
      <c r="D7153" s="6">
        <v>0</v>
      </c>
      <c r="E7153" s="6">
        <v>0</v>
      </c>
      <c r="F7153" s="11" t="s">
        <v>7</v>
      </c>
    </row>
    <row r="7154" spans="1:6">
      <c r="A7154" s="5" t="str">
        <f t="shared" ref="A7154:A7217" si="125">"202325"</f>
        <v>202325</v>
      </c>
      <c r="B7154" s="5" t="str">
        <f>"23085054514"</f>
        <v>23085054514</v>
      </c>
      <c r="C7154" s="6">
        <v>120</v>
      </c>
      <c r="D7154" s="6">
        <v>115</v>
      </c>
      <c r="E7154" s="6">
        <v>235</v>
      </c>
      <c r="F7154" s="11"/>
    </row>
    <row r="7155" spans="1:6">
      <c r="A7155" s="5" t="str">
        <f t="shared" si="125"/>
        <v>202325</v>
      </c>
      <c r="B7155" s="5" t="str">
        <f>"23085054518"</f>
        <v>23085054518</v>
      </c>
      <c r="C7155" s="6">
        <v>117</v>
      </c>
      <c r="D7155" s="6">
        <v>117</v>
      </c>
      <c r="E7155" s="6">
        <v>234</v>
      </c>
      <c r="F7155" s="11"/>
    </row>
    <row r="7156" spans="1:6">
      <c r="A7156" s="5" t="str">
        <f t="shared" si="125"/>
        <v>202325</v>
      </c>
      <c r="B7156" s="5" t="str">
        <f>"23085054515"</f>
        <v>23085054515</v>
      </c>
      <c r="C7156" s="6">
        <v>117</v>
      </c>
      <c r="D7156" s="6">
        <v>116.5</v>
      </c>
      <c r="E7156" s="6">
        <v>233.5</v>
      </c>
      <c r="F7156" s="11"/>
    </row>
    <row r="7157" spans="1:6">
      <c r="A7157" s="5" t="str">
        <f t="shared" si="125"/>
        <v>202325</v>
      </c>
      <c r="B7157" s="5" t="str">
        <f>"23085054422"</f>
        <v>23085054422</v>
      </c>
      <c r="C7157" s="6">
        <v>112.5</v>
      </c>
      <c r="D7157" s="6">
        <v>120</v>
      </c>
      <c r="E7157" s="6">
        <v>232.5</v>
      </c>
      <c r="F7157" s="11"/>
    </row>
    <row r="7158" spans="1:6">
      <c r="A7158" s="5" t="str">
        <f t="shared" si="125"/>
        <v>202325</v>
      </c>
      <c r="B7158" s="5" t="str">
        <f>"23085054522"</f>
        <v>23085054522</v>
      </c>
      <c r="C7158" s="6">
        <v>111</v>
      </c>
      <c r="D7158" s="6">
        <v>120.5</v>
      </c>
      <c r="E7158" s="6">
        <v>231.5</v>
      </c>
      <c r="F7158" s="11"/>
    </row>
    <row r="7159" spans="1:6">
      <c r="A7159" s="5" t="str">
        <f t="shared" si="125"/>
        <v>202325</v>
      </c>
      <c r="B7159" s="5" t="str">
        <f>"23085054116"</f>
        <v>23085054116</v>
      </c>
      <c r="C7159" s="6">
        <v>112.5</v>
      </c>
      <c r="D7159" s="6">
        <v>118</v>
      </c>
      <c r="E7159" s="6">
        <v>230.5</v>
      </c>
      <c r="F7159" s="11"/>
    </row>
    <row r="7160" spans="1:6">
      <c r="A7160" s="5" t="str">
        <f t="shared" si="125"/>
        <v>202325</v>
      </c>
      <c r="B7160" s="5" t="str">
        <f>"23085054527"</f>
        <v>23085054527</v>
      </c>
      <c r="C7160" s="6">
        <v>111</v>
      </c>
      <c r="D7160" s="6">
        <v>118.5</v>
      </c>
      <c r="E7160" s="6">
        <v>229.5</v>
      </c>
      <c r="F7160" s="11"/>
    </row>
    <row r="7161" spans="1:6">
      <c r="A7161" s="5" t="str">
        <f t="shared" si="125"/>
        <v>202325</v>
      </c>
      <c r="B7161" s="5" t="str">
        <f>"23085054202"</f>
        <v>23085054202</v>
      </c>
      <c r="C7161" s="6">
        <v>112.5</v>
      </c>
      <c r="D7161" s="6">
        <v>116.5</v>
      </c>
      <c r="E7161" s="6">
        <v>229</v>
      </c>
      <c r="F7161" s="11"/>
    </row>
    <row r="7162" spans="1:6">
      <c r="A7162" s="5" t="str">
        <f t="shared" si="125"/>
        <v>202325</v>
      </c>
      <c r="B7162" s="5" t="str">
        <f>"23085054323"</f>
        <v>23085054323</v>
      </c>
      <c r="C7162" s="6">
        <v>105</v>
      </c>
      <c r="D7162" s="6">
        <v>123</v>
      </c>
      <c r="E7162" s="6">
        <v>228</v>
      </c>
      <c r="F7162" s="11"/>
    </row>
    <row r="7163" spans="1:6">
      <c r="A7163" s="5" t="str">
        <f t="shared" si="125"/>
        <v>202325</v>
      </c>
      <c r="B7163" s="5" t="str">
        <f>"23085054330"</f>
        <v>23085054330</v>
      </c>
      <c r="C7163" s="6">
        <v>112.5</v>
      </c>
      <c r="D7163" s="6">
        <v>115</v>
      </c>
      <c r="E7163" s="6">
        <v>227.5</v>
      </c>
      <c r="F7163" s="11"/>
    </row>
    <row r="7164" spans="1:6">
      <c r="A7164" s="5" t="str">
        <f t="shared" si="125"/>
        <v>202325</v>
      </c>
      <c r="B7164" s="5" t="str">
        <f>"23085054118"</f>
        <v>23085054118</v>
      </c>
      <c r="C7164" s="6">
        <v>109.5</v>
      </c>
      <c r="D7164" s="6">
        <v>118</v>
      </c>
      <c r="E7164" s="6">
        <v>227.5</v>
      </c>
      <c r="F7164" s="11"/>
    </row>
    <row r="7165" spans="1:6">
      <c r="A7165" s="5" t="str">
        <f t="shared" si="125"/>
        <v>202325</v>
      </c>
      <c r="B7165" s="5" t="str">
        <f>"23085054126"</f>
        <v>23085054126</v>
      </c>
      <c r="C7165" s="6">
        <v>108</v>
      </c>
      <c r="D7165" s="6">
        <v>119</v>
      </c>
      <c r="E7165" s="6">
        <v>227</v>
      </c>
      <c r="F7165" s="11"/>
    </row>
    <row r="7166" spans="1:6">
      <c r="A7166" s="5" t="str">
        <f t="shared" si="125"/>
        <v>202325</v>
      </c>
      <c r="B7166" s="5" t="str">
        <f>"23085054304"</f>
        <v>23085054304</v>
      </c>
      <c r="C7166" s="6">
        <v>105</v>
      </c>
      <c r="D7166" s="6">
        <v>121.5</v>
      </c>
      <c r="E7166" s="6">
        <v>226.5</v>
      </c>
      <c r="F7166" s="11"/>
    </row>
    <row r="7167" spans="1:6">
      <c r="A7167" s="5" t="str">
        <f t="shared" si="125"/>
        <v>202325</v>
      </c>
      <c r="B7167" s="5" t="str">
        <f>"23085054519"</f>
        <v>23085054519</v>
      </c>
      <c r="C7167" s="6">
        <v>111</v>
      </c>
      <c r="D7167" s="6">
        <v>114.5</v>
      </c>
      <c r="E7167" s="6">
        <v>225.5</v>
      </c>
      <c r="F7167" s="11"/>
    </row>
    <row r="7168" spans="1:6">
      <c r="A7168" s="5" t="str">
        <f t="shared" si="125"/>
        <v>202325</v>
      </c>
      <c r="B7168" s="5" t="str">
        <f>"23085054319"</f>
        <v>23085054319</v>
      </c>
      <c r="C7168" s="6">
        <v>106.5</v>
      </c>
      <c r="D7168" s="6">
        <v>119</v>
      </c>
      <c r="E7168" s="6">
        <v>225.5</v>
      </c>
      <c r="F7168" s="11"/>
    </row>
    <row r="7169" spans="1:6">
      <c r="A7169" s="5" t="str">
        <f t="shared" si="125"/>
        <v>202325</v>
      </c>
      <c r="B7169" s="5" t="str">
        <f>"23085054425"</f>
        <v>23085054425</v>
      </c>
      <c r="C7169" s="6">
        <v>108</v>
      </c>
      <c r="D7169" s="6">
        <v>116.5</v>
      </c>
      <c r="E7169" s="6">
        <v>224.5</v>
      </c>
      <c r="F7169" s="11"/>
    </row>
    <row r="7170" spans="1:6">
      <c r="A7170" s="5" t="str">
        <f t="shared" si="125"/>
        <v>202325</v>
      </c>
      <c r="B7170" s="5" t="str">
        <f>"23085054528"</f>
        <v>23085054528</v>
      </c>
      <c r="C7170" s="6">
        <v>105</v>
      </c>
      <c r="D7170" s="6">
        <v>119.5</v>
      </c>
      <c r="E7170" s="6">
        <v>224.5</v>
      </c>
      <c r="F7170" s="11"/>
    </row>
    <row r="7171" spans="1:6">
      <c r="A7171" s="5" t="str">
        <f t="shared" si="125"/>
        <v>202325</v>
      </c>
      <c r="B7171" s="5" t="str">
        <f>"23085054416"</f>
        <v>23085054416</v>
      </c>
      <c r="C7171" s="6">
        <v>102</v>
      </c>
      <c r="D7171" s="6">
        <v>121.5</v>
      </c>
      <c r="E7171" s="6">
        <v>223.5</v>
      </c>
      <c r="F7171" s="11"/>
    </row>
    <row r="7172" spans="1:6">
      <c r="A7172" s="5" t="str">
        <f t="shared" si="125"/>
        <v>202325</v>
      </c>
      <c r="B7172" s="5" t="str">
        <f>"23085054215"</f>
        <v>23085054215</v>
      </c>
      <c r="C7172" s="6">
        <v>106.5</v>
      </c>
      <c r="D7172" s="6">
        <v>117</v>
      </c>
      <c r="E7172" s="6">
        <v>223.5</v>
      </c>
      <c r="F7172" s="11"/>
    </row>
    <row r="7173" spans="1:6">
      <c r="A7173" s="5" t="str">
        <f t="shared" si="125"/>
        <v>202325</v>
      </c>
      <c r="B7173" s="5" t="str">
        <f>"23085054114"</f>
        <v>23085054114</v>
      </c>
      <c r="C7173" s="6">
        <v>105</v>
      </c>
      <c r="D7173" s="6">
        <v>118</v>
      </c>
      <c r="E7173" s="6">
        <v>223</v>
      </c>
      <c r="F7173" s="11"/>
    </row>
    <row r="7174" spans="1:6">
      <c r="A7174" s="5" t="str">
        <f t="shared" si="125"/>
        <v>202325</v>
      </c>
      <c r="B7174" s="5" t="str">
        <f>"23085054121"</f>
        <v>23085054121</v>
      </c>
      <c r="C7174" s="6">
        <v>108</v>
      </c>
      <c r="D7174" s="6">
        <v>115</v>
      </c>
      <c r="E7174" s="6">
        <v>223</v>
      </c>
      <c r="F7174" s="11"/>
    </row>
    <row r="7175" spans="1:6">
      <c r="A7175" s="5" t="str">
        <f t="shared" si="125"/>
        <v>202325</v>
      </c>
      <c r="B7175" s="5" t="str">
        <f>"23085054501"</f>
        <v>23085054501</v>
      </c>
      <c r="C7175" s="6">
        <v>103.5</v>
      </c>
      <c r="D7175" s="6">
        <v>119</v>
      </c>
      <c r="E7175" s="6">
        <v>222.5</v>
      </c>
      <c r="F7175" s="11"/>
    </row>
    <row r="7176" spans="1:6">
      <c r="A7176" s="5" t="str">
        <f t="shared" si="125"/>
        <v>202325</v>
      </c>
      <c r="B7176" s="5" t="str">
        <f>"23085054512"</f>
        <v>23085054512</v>
      </c>
      <c r="C7176" s="6">
        <v>105</v>
      </c>
      <c r="D7176" s="6">
        <v>117.5</v>
      </c>
      <c r="E7176" s="6">
        <v>222.5</v>
      </c>
      <c r="F7176" s="11"/>
    </row>
    <row r="7177" spans="1:6">
      <c r="A7177" s="5" t="str">
        <f t="shared" si="125"/>
        <v>202325</v>
      </c>
      <c r="B7177" s="5" t="str">
        <f>"23085054227"</f>
        <v>23085054227</v>
      </c>
      <c r="C7177" s="6">
        <v>102</v>
      </c>
      <c r="D7177" s="6">
        <v>120.5</v>
      </c>
      <c r="E7177" s="6">
        <v>222.5</v>
      </c>
      <c r="F7177" s="11"/>
    </row>
    <row r="7178" spans="1:6">
      <c r="A7178" s="5" t="str">
        <f t="shared" si="125"/>
        <v>202325</v>
      </c>
      <c r="B7178" s="5" t="str">
        <f>"23085054415"</f>
        <v>23085054415</v>
      </c>
      <c r="C7178" s="6">
        <v>106.5</v>
      </c>
      <c r="D7178" s="6">
        <v>115</v>
      </c>
      <c r="E7178" s="6">
        <v>221.5</v>
      </c>
      <c r="F7178" s="11"/>
    </row>
    <row r="7179" spans="1:6">
      <c r="A7179" s="5" t="str">
        <f t="shared" si="125"/>
        <v>202325</v>
      </c>
      <c r="B7179" s="5" t="str">
        <f>"23085054130"</f>
        <v>23085054130</v>
      </c>
      <c r="C7179" s="6">
        <v>114</v>
      </c>
      <c r="D7179" s="6">
        <v>107.5</v>
      </c>
      <c r="E7179" s="6">
        <v>221.5</v>
      </c>
      <c r="F7179" s="11"/>
    </row>
    <row r="7180" spans="1:6">
      <c r="A7180" s="5" t="str">
        <f t="shared" si="125"/>
        <v>202325</v>
      </c>
      <c r="B7180" s="5" t="str">
        <f>"23085054328"</f>
        <v>23085054328</v>
      </c>
      <c r="C7180" s="6">
        <v>111</v>
      </c>
      <c r="D7180" s="6">
        <v>110.5</v>
      </c>
      <c r="E7180" s="6">
        <v>221.5</v>
      </c>
      <c r="F7180" s="11"/>
    </row>
    <row r="7181" spans="1:6">
      <c r="A7181" s="5" t="str">
        <f t="shared" si="125"/>
        <v>202325</v>
      </c>
      <c r="B7181" s="5" t="str">
        <f>"23085054516"</f>
        <v>23085054516</v>
      </c>
      <c r="C7181" s="6">
        <v>115.5</v>
      </c>
      <c r="D7181" s="6">
        <v>106</v>
      </c>
      <c r="E7181" s="6">
        <v>221.5</v>
      </c>
      <c r="F7181" s="11"/>
    </row>
    <row r="7182" spans="1:6">
      <c r="A7182" s="5" t="str">
        <f t="shared" si="125"/>
        <v>202325</v>
      </c>
      <c r="B7182" s="5" t="str">
        <f>"23085054606"</f>
        <v>23085054606</v>
      </c>
      <c r="C7182" s="6">
        <v>102</v>
      </c>
      <c r="D7182" s="6">
        <v>119</v>
      </c>
      <c r="E7182" s="6">
        <v>221</v>
      </c>
      <c r="F7182" s="11"/>
    </row>
    <row r="7183" spans="1:6">
      <c r="A7183" s="5" t="str">
        <f t="shared" si="125"/>
        <v>202325</v>
      </c>
      <c r="B7183" s="5" t="str">
        <f>"23085054327"</f>
        <v>23085054327</v>
      </c>
      <c r="C7183" s="6">
        <v>97.5</v>
      </c>
      <c r="D7183" s="6">
        <v>123.5</v>
      </c>
      <c r="E7183" s="6">
        <v>221</v>
      </c>
      <c r="F7183" s="11"/>
    </row>
    <row r="7184" spans="1:6">
      <c r="A7184" s="5" t="str">
        <f t="shared" si="125"/>
        <v>202325</v>
      </c>
      <c r="B7184" s="5" t="str">
        <f>"23085054403"</f>
        <v>23085054403</v>
      </c>
      <c r="C7184" s="6">
        <v>106.5</v>
      </c>
      <c r="D7184" s="6">
        <v>114.5</v>
      </c>
      <c r="E7184" s="6">
        <v>221</v>
      </c>
      <c r="F7184" s="11"/>
    </row>
    <row r="7185" spans="1:6">
      <c r="A7185" s="5" t="str">
        <f t="shared" si="125"/>
        <v>202325</v>
      </c>
      <c r="B7185" s="5" t="str">
        <f>"23085054325"</f>
        <v>23085054325</v>
      </c>
      <c r="C7185" s="6">
        <v>100.5</v>
      </c>
      <c r="D7185" s="6">
        <v>120</v>
      </c>
      <c r="E7185" s="6">
        <v>220.5</v>
      </c>
      <c r="F7185" s="11"/>
    </row>
    <row r="7186" spans="1:6">
      <c r="A7186" s="5" t="str">
        <f t="shared" si="125"/>
        <v>202325</v>
      </c>
      <c r="B7186" s="5" t="str">
        <f>"23085054413"</f>
        <v>23085054413</v>
      </c>
      <c r="C7186" s="6">
        <v>112.5</v>
      </c>
      <c r="D7186" s="6">
        <v>108</v>
      </c>
      <c r="E7186" s="6">
        <v>220.5</v>
      </c>
      <c r="F7186" s="11"/>
    </row>
    <row r="7187" spans="1:6">
      <c r="A7187" s="5" t="str">
        <f t="shared" si="125"/>
        <v>202325</v>
      </c>
      <c r="B7187" s="5" t="str">
        <f>"23085054210"</f>
        <v>23085054210</v>
      </c>
      <c r="C7187" s="6">
        <v>105</v>
      </c>
      <c r="D7187" s="6">
        <v>115</v>
      </c>
      <c r="E7187" s="6">
        <v>220</v>
      </c>
      <c r="F7187" s="11"/>
    </row>
    <row r="7188" spans="1:6">
      <c r="A7188" s="5" t="str">
        <f t="shared" si="125"/>
        <v>202325</v>
      </c>
      <c r="B7188" s="5" t="str">
        <f>"23085054310"</f>
        <v>23085054310</v>
      </c>
      <c r="C7188" s="6">
        <v>99</v>
      </c>
      <c r="D7188" s="6">
        <v>121</v>
      </c>
      <c r="E7188" s="6">
        <v>220</v>
      </c>
      <c r="F7188" s="11"/>
    </row>
    <row r="7189" spans="1:6">
      <c r="A7189" s="5" t="str">
        <f t="shared" si="125"/>
        <v>202325</v>
      </c>
      <c r="B7189" s="5" t="str">
        <f>"23085054204"</f>
        <v>23085054204</v>
      </c>
      <c r="C7189" s="6">
        <v>103.5</v>
      </c>
      <c r="D7189" s="6">
        <v>116.5</v>
      </c>
      <c r="E7189" s="6">
        <v>220</v>
      </c>
      <c r="F7189" s="11"/>
    </row>
    <row r="7190" spans="1:6">
      <c r="A7190" s="5" t="str">
        <f t="shared" si="125"/>
        <v>202325</v>
      </c>
      <c r="B7190" s="5" t="str">
        <f>"23085054222"</f>
        <v>23085054222</v>
      </c>
      <c r="C7190" s="6">
        <v>103.5</v>
      </c>
      <c r="D7190" s="6">
        <v>116</v>
      </c>
      <c r="E7190" s="6">
        <v>219.5</v>
      </c>
      <c r="F7190" s="11"/>
    </row>
    <row r="7191" spans="1:6">
      <c r="A7191" s="5" t="str">
        <f t="shared" si="125"/>
        <v>202325</v>
      </c>
      <c r="B7191" s="5" t="str">
        <f>"23085054608"</f>
        <v>23085054608</v>
      </c>
      <c r="C7191" s="6">
        <v>100.5</v>
      </c>
      <c r="D7191" s="6">
        <v>119</v>
      </c>
      <c r="E7191" s="6">
        <v>219.5</v>
      </c>
      <c r="F7191" s="11"/>
    </row>
    <row r="7192" spans="1:6">
      <c r="A7192" s="5" t="str">
        <f t="shared" si="125"/>
        <v>202325</v>
      </c>
      <c r="B7192" s="5" t="str">
        <f>"23085054427"</f>
        <v>23085054427</v>
      </c>
      <c r="C7192" s="6">
        <v>106.5</v>
      </c>
      <c r="D7192" s="6">
        <v>112.5</v>
      </c>
      <c r="E7192" s="6">
        <v>219</v>
      </c>
      <c r="F7192" s="11"/>
    </row>
    <row r="7193" spans="1:6">
      <c r="A7193" s="5" t="str">
        <f t="shared" si="125"/>
        <v>202325</v>
      </c>
      <c r="B7193" s="5" t="str">
        <f>"23085054526"</f>
        <v>23085054526</v>
      </c>
      <c r="C7193" s="6">
        <v>108</v>
      </c>
      <c r="D7193" s="6">
        <v>110.5</v>
      </c>
      <c r="E7193" s="6">
        <v>218.5</v>
      </c>
      <c r="F7193" s="11"/>
    </row>
    <row r="7194" spans="1:6">
      <c r="A7194" s="5" t="str">
        <f t="shared" si="125"/>
        <v>202325</v>
      </c>
      <c r="B7194" s="5" t="str">
        <f>"23085054220"</f>
        <v>23085054220</v>
      </c>
      <c r="C7194" s="6">
        <v>103.5</v>
      </c>
      <c r="D7194" s="6">
        <v>115</v>
      </c>
      <c r="E7194" s="6">
        <v>218.5</v>
      </c>
      <c r="F7194" s="11"/>
    </row>
    <row r="7195" spans="1:6">
      <c r="A7195" s="5" t="str">
        <f t="shared" si="125"/>
        <v>202325</v>
      </c>
      <c r="B7195" s="5" t="str">
        <f>"23085054119"</f>
        <v>23085054119</v>
      </c>
      <c r="C7195" s="6">
        <v>102</v>
      </c>
      <c r="D7195" s="6">
        <v>116</v>
      </c>
      <c r="E7195" s="6">
        <v>218</v>
      </c>
      <c r="F7195" s="11"/>
    </row>
    <row r="7196" spans="1:6">
      <c r="A7196" s="5" t="str">
        <f t="shared" si="125"/>
        <v>202325</v>
      </c>
      <c r="B7196" s="5" t="str">
        <f>"23085054412"</f>
        <v>23085054412</v>
      </c>
      <c r="C7196" s="6">
        <v>108</v>
      </c>
      <c r="D7196" s="6">
        <v>110</v>
      </c>
      <c r="E7196" s="6">
        <v>218</v>
      </c>
      <c r="F7196" s="11"/>
    </row>
    <row r="7197" spans="1:6">
      <c r="A7197" s="5" t="str">
        <f t="shared" si="125"/>
        <v>202325</v>
      </c>
      <c r="B7197" s="5" t="str">
        <f>"23085054419"</f>
        <v>23085054419</v>
      </c>
      <c r="C7197" s="6">
        <v>100.5</v>
      </c>
      <c r="D7197" s="6">
        <v>117.5</v>
      </c>
      <c r="E7197" s="6">
        <v>218</v>
      </c>
      <c r="F7197" s="11"/>
    </row>
    <row r="7198" spans="1:6">
      <c r="A7198" s="5" t="str">
        <f t="shared" si="125"/>
        <v>202325</v>
      </c>
      <c r="B7198" s="5" t="str">
        <f>"23085054214"</f>
        <v>23085054214</v>
      </c>
      <c r="C7198" s="6">
        <v>99</v>
      </c>
      <c r="D7198" s="6">
        <v>118.5</v>
      </c>
      <c r="E7198" s="6">
        <v>217.5</v>
      </c>
      <c r="F7198" s="11"/>
    </row>
    <row r="7199" spans="1:6">
      <c r="A7199" s="5" t="str">
        <f t="shared" si="125"/>
        <v>202325</v>
      </c>
      <c r="B7199" s="5" t="str">
        <f>"23085054128"</f>
        <v>23085054128</v>
      </c>
      <c r="C7199" s="6">
        <v>103.5</v>
      </c>
      <c r="D7199" s="6">
        <v>113.5</v>
      </c>
      <c r="E7199" s="6">
        <v>217</v>
      </c>
      <c r="F7199" s="11"/>
    </row>
    <row r="7200" spans="1:6">
      <c r="A7200" s="5" t="str">
        <f t="shared" si="125"/>
        <v>202325</v>
      </c>
      <c r="B7200" s="5" t="str">
        <f>"23085054506"</f>
        <v>23085054506</v>
      </c>
      <c r="C7200" s="6">
        <v>97.5</v>
      </c>
      <c r="D7200" s="6">
        <v>119</v>
      </c>
      <c r="E7200" s="6">
        <v>216.5</v>
      </c>
      <c r="F7200" s="11"/>
    </row>
    <row r="7201" spans="1:6">
      <c r="A7201" s="5" t="str">
        <f t="shared" si="125"/>
        <v>202325</v>
      </c>
      <c r="B7201" s="5" t="str">
        <f>"23085054314"</f>
        <v>23085054314</v>
      </c>
      <c r="C7201" s="6">
        <v>99</v>
      </c>
      <c r="D7201" s="6">
        <v>117</v>
      </c>
      <c r="E7201" s="6">
        <v>216</v>
      </c>
      <c r="F7201" s="11"/>
    </row>
    <row r="7202" spans="1:6">
      <c r="A7202" s="5" t="str">
        <f t="shared" si="125"/>
        <v>202325</v>
      </c>
      <c r="B7202" s="5" t="str">
        <f>"23085054405"</f>
        <v>23085054405</v>
      </c>
      <c r="C7202" s="6">
        <v>106.5</v>
      </c>
      <c r="D7202" s="6">
        <v>109.5</v>
      </c>
      <c r="E7202" s="6">
        <v>216</v>
      </c>
      <c r="F7202" s="11"/>
    </row>
    <row r="7203" spans="1:6">
      <c r="A7203" s="5" t="str">
        <f t="shared" si="125"/>
        <v>202325</v>
      </c>
      <c r="B7203" s="5" t="str">
        <f>"23085054112"</f>
        <v>23085054112</v>
      </c>
      <c r="C7203" s="6">
        <v>102</v>
      </c>
      <c r="D7203" s="6">
        <v>114</v>
      </c>
      <c r="E7203" s="6">
        <v>216</v>
      </c>
      <c r="F7203" s="11"/>
    </row>
    <row r="7204" spans="1:6">
      <c r="A7204" s="5" t="str">
        <f t="shared" si="125"/>
        <v>202325</v>
      </c>
      <c r="B7204" s="5" t="str">
        <f>"23085054508"</f>
        <v>23085054508</v>
      </c>
      <c r="C7204" s="6">
        <v>106.5</v>
      </c>
      <c r="D7204" s="6">
        <v>107</v>
      </c>
      <c r="E7204" s="6">
        <v>213.5</v>
      </c>
      <c r="F7204" s="11"/>
    </row>
    <row r="7205" spans="1:6">
      <c r="A7205" s="5" t="str">
        <f t="shared" si="125"/>
        <v>202325</v>
      </c>
      <c r="B7205" s="5" t="str">
        <f>"23085054206"</f>
        <v>23085054206</v>
      </c>
      <c r="C7205" s="6">
        <v>97.5</v>
      </c>
      <c r="D7205" s="6">
        <v>115.5</v>
      </c>
      <c r="E7205" s="6">
        <v>213</v>
      </c>
      <c r="F7205" s="11"/>
    </row>
    <row r="7206" spans="1:6">
      <c r="A7206" s="5" t="str">
        <f t="shared" si="125"/>
        <v>202325</v>
      </c>
      <c r="B7206" s="5" t="str">
        <f>"23085054211"</f>
        <v>23085054211</v>
      </c>
      <c r="C7206" s="6">
        <v>93</v>
      </c>
      <c r="D7206" s="6">
        <v>119.5</v>
      </c>
      <c r="E7206" s="6">
        <v>212.5</v>
      </c>
      <c r="F7206" s="11"/>
    </row>
    <row r="7207" spans="1:6">
      <c r="A7207" s="5" t="str">
        <f t="shared" si="125"/>
        <v>202325</v>
      </c>
      <c r="B7207" s="5" t="str">
        <f>"23085054523"</f>
        <v>23085054523</v>
      </c>
      <c r="C7207" s="6">
        <v>94.5</v>
      </c>
      <c r="D7207" s="6">
        <v>117.5</v>
      </c>
      <c r="E7207" s="6">
        <v>212</v>
      </c>
      <c r="F7207" s="11"/>
    </row>
    <row r="7208" spans="1:6">
      <c r="A7208" s="5" t="str">
        <f t="shared" si="125"/>
        <v>202325</v>
      </c>
      <c r="B7208" s="5" t="str">
        <f>"23085054216"</f>
        <v>23085054216</v>
      </c>
      <c r="C7208" s="6">
        <v>97.5</v>
      </c>
      <c r="D7208" s="6">
        <v>114.5</v>
      </c>
      <c r="E7208" s="6">
        <v>212</v>
      </c>
      <c r="F7208" s="11"/>
    </row>
    <row r="7209" spans="1:6">
      <c r="A7209" s="5" t="str">
        <f t="shared" si="125"/>
        <v>202325</v>
      </c>
      <c r="B7209" s="5" t="str">
        <f>"23085054610"</f>
        <v>23085054610</v>
      </c>
      <c r="C7209" s="6">
        <v>93</v>
      </c>
      <c r="D7209" s="6">
        <v>118.5</v>
      </c>
      <c r="E7209" s="6">
        <v>211.5</v>
      </c>
      <c r="F7209" s="11"/>
    </row>
    <row r="7210" spans="1:6">
      <c r="A7210" s="5" t="str">
        <f t="shared" si="125"/>
        <v>202325</v>
      </c>
      <c r="B7210" s="5" t="str">
        <f>"23085054513"</f>
        <v>23085054513</v>
      </c>
      <c r="C7210" s="6">
        <v>105</v>
      </c>
      <c r="D7210" s="6">
        <v>106</v>
      </c>
      <c r="E7210" s="6">
        <v>211</v>
      </c>
      <c r="F7210" s="11"/>
    </row>
    <row r="7211" spans="1:6">
      <c r="A7211" s="5" t="str">
        <f t="shared" si="125"/>
        <v>202325</v>
      </c>
      <c r="B7211" s="5" t="str">
        <f>"23085054511"</f>
        <v>23085054511</v>
      </c>
      <c r="C7211" s="6">
        <v>105</v>
      </c>
      <c r="D7211" s="6">
        <v>105.5</v>
      </c>
      <c r="E7211" s="6">
        <v>210.5</v>
      </c>
      <c r="F7211" s="11"/>
    </row>
    <row r="7212" spans="1:6">
      <c r="A7212" s="5" t="str">
        <f t="shared" si="125"/>
        <v>202325</v>
      </c>
      <c r="B7212" s="5" t="str">
        <f>"23085054201"</f>
        <v>23085054201</v>
      </c>
      <c r="C7212" s="6">
        <v>85.5</v>
      </c>
      <c r="D7212" s="6">
        <v>125</v>
      </c>
      <c r="E7212" s="6">
        <v>210.5</v>
      </c>
      <c r="F7212" s="11"/>
    </row>
    <row r="7213" spans="1:6">
      <c r="A7213" s="5" t="str">
        <f t="shared" si="125"/>
        <v>202325</v>
      </c>
      <c r="B7213" s="5" t="str">
        <f>"23085054122"</f>
        <v>23085054122</v>
      </c>
      <c r="C7213" s="6">
        <v>100.5</v>
      </c>
      <c r="D7213" s="6">
        <v>109.5</v>
      </c>
      <c r="E7213" s="6">
        <v>210</v>
      </c>
      <c r="F7213" s="11"/>
    </row>
    <row r="7214" spans="1:6">
      <c r="A7214" s="5" t="str">
        <f t="shared" si="125"/>
        <v>202325</v>
      </c>
      <c r="B7214" s="5" t="str">
        <f>"23085054426"</f>
        <v>23085054426</v>
      </c>
      <c r="C7214" s="6">
        <v>93</v>
      </c>
      <c r="D7214" s="6">
        <v>117</v>
      </c>
      <c r="E7214" s="6">
        <v>210</v>
      </c>
      <c r="F7214" s="11"/>
    </row>
    <row r="7215" spans="1:6">
      <c r="A7215" s="5" t="str">
        <f t="shared" si="125"/>
        <v>202325</v>
      </c>
      <c r="B7215" s="5" t="str">
        <f>"23085054203"</f>
        <v>23085054203</v>
      </c>
      <c r="C7215" s="6">
        <v>99</v>
      </c>
      <c r="D7215" s="6">
        <v>110.5</v>
      </c>
      <c r="E7215" s="6">
        <v>209.5</v>
      </c>
      <c r="F7215" s="11"/>
    </row>
    <row r="7216" spans="1:6">
      <c r="A7216" s="5" t="str">
        <f t="shared" si="125"/>
        <v>202325</v>
      </c>
      <c r="B7216" s="5" t="str">
        <f>"23085054306"</f>
        <v>23085054306</v>
      </c>
      <c r="C7216" s="6">
        <v>94.5</v>
      </c>
      <c r="D7216" s="6">
        <v>114.5</v>
      </c>
      <c r="E7216" s="6">
        <v>209</v>
      </c>
      <c r="F7216" s="11"/>
    </row>
    <row r="7217" spans="1:6">
      <c r="A7217" s="5" t="str">
        <f t="shared" si="125"/>
        <v>202325</v>
      </c>
      <c r="B7217" s="5" t="str">
        <f>"23085054525"</f>
        <v>23085054525</v>
      </c>
      <c r="C7217" s="6">
        <v>97.5</v>
      </c>
      <c r="D7217" s="6">
        <v>110.5</v>
      </c>
      <c r="E7217" s="6">
        <v>208</v>
      </c>
      <c r="F7217" s="11"/>
    </row>
    <row r="7218" spans="1:6">
      <c r="A7218" s="5" t="str">
        <f t="shared" ref="A7218:A7281" si="126">"202325"</f>
        <v>202325</v>
      </c>
      <c r="B7218" s="5" t="str">
        <f>"23085054129"</f>
        <v>23085054129</v>
      </c>
      <c r="C7218" s="6">
        <v>87</v>
      </c>
      <c r="D7218" s="6">
        <v>119.5</v>
      </c>
      <c r="E7218" s="6">
        <v>206.5</v>
      </c>
      <c r="F7218" s="11"/>
    </row>
    <row r="7219" spans="1:6">
      <c r="A7219" s="5" t="str">
        <f t="shared" si="126"/>
        <v>202325</v>
      </c>
      <c r="B7219" s="5" t="str">
        <f>"23085054505"</f>
        <v>23085054505</v>
      </c>
      <c r="C7219" s="6">
        <v>85.5</v>
      </c>
      <c r="D7219" s="6">
        <v>120.5</v>
      </c>
      <c r="E7219" s="6">
        <v>206</v>
      </c>
      <c r="F7219" s="11"/>
    </row>
    <row r="7220" spans="1:6">
      <c r="A7220" s="5" t="str">
        <f t="shared" si="126"/>
        <v>202325</v>
      </c>
      <c r="B7220" s="5" t="str">
        <f>"23085054224"</f>
        <v>23085054224</v>
      </c>
      <c r="C7220" s="6">
        <v>90</v>
      </c>
      <c r="D7220" s="6">
        <v>115.5</v>
      </c>
      <c r="E7220" s="6">
        <v>205.5</v>
      </c>
      <c r="F7220" s="11"/>
    </row>
    <row r="7221" spans="1:6">
      <c r="A7221" s="5" t="str">
        <f t="shared" si="126"/>
        <v>202325</v>
      </c>
      <c r="B7221" s="5" t="str">
        <f>"23085054411"</f>
        <v>23085054411</v>
      </c>
      <c r="C7221" s="6">
        <v>99</v>
      </c>
      <c r="D7221" s="6">
        <v>106.5</v>
      </c>
      <c r="E7221" s="6">
        <v>205.5</v>
      </c>
      <c r="F7221" s="11"/>
    </row>
    <row r="7222" spans="1:6">
      <c r="A7222" s="5" t="str">
        <f t="shared" si="126"/>
        <v>202325</v>
      </c>
      <c r="B7222" s="5" t="str">
        <f>"23085054604"</f>
        <v>23085054604</v>
      </c>
      <c r="C7222" s="6">
        <v>91.5</v>
      </c>
      <c r="D7222" s="6">
        <v>113.5</v>
      </c>
      <c r="E7222" s="6">
        <v>205</v>
      </c>
      <c r="F7222" s="11"/>
    </row>
    <row r="7223" spans="1:6">
      <c r="A7223" s="5" t="str">
        <f t="shared" si="126"/>
        <v>202325</v>
      </c>
      <c r="B7223" s="5" t="str">
        <f>"23085054524"</f>
        <v>23085054524</v>
      </c>
      <c r="C7223" s="6">
        <v>97.5</v>
      </c>
      <c r="D7223" s="6">
        <v>107.5</v>
      </c>
      <c r="E7223" s="6">
        <v>205</v>
      </c>
      <c r="F7223" s="11"/>
    </row>
    <row r="7224" spans="1:6">
      <c r="A7224" s="5" t="str">
        <f t="shared" si="126"/>
        <v>202325</v>
      </c>
      <c r="B7224" s="5" t="str">
        <f>"23085054305"</f>
        <v>23085054305</v>
      </c>
      <c r="C7224" s="6">
        <v>87</v>
      </c>
      <c r="D7224" s="6">
        <v>117.5</v>
      </c>
      <c r="E7224" s="6">
        <v>204.5</v>
      </c>
      <c r="F7224" s="11"/>
    </row>
    <row r="7225" spans="1:6">
      <c r="A7225" s="5" t="str">
        <f t="shared" si="126"/>
        <v>202325</v>
      </c>
      <c r="B7225" s="5" t="str">
        <f>"23085054607"</f>
        <v>23085054607</v>
      </c>
      <c r="C7225" s="6">
        <v>88.5</v>
      </c>
      <c r="D7225" s="6">
        <v>115.5</v>
      </c>
      <c r="E7225" s="6">
        <v>204</v>
      </c>
      <c r="F7225" s="11"/>
    </row>
    <row r="7226" spans="1:6">
      <c r="A7226" s="5" t="str">
        <f t="shared" si="126"/>
        <v>202325</v>
      </c>
      <c r="B7226" s="5" t="str">
        <f>"23085054313"</f>
        <v>23085054313</v>
      </c>
      <c r="C7226" s="6">
        <v>84</v>
      </c>
      <c r="D7226" s="6">
        <v>119</v>
      </c>
      <c r="E7226" s="6">
        <v>203</v>
      </c>
      <c r="F7226" s="11"/>
    </row>
    <row r="7227" spans="1:6">
      <c r="A7227" s="5" t="str">
        <f t="shared" si="126"/>
        <v>202325</v>
      </c>
      <c r="B7227" s="5" t="str">
        <f>"23085054423"</f>
        <v>23085054423</v>
      </c>
      <c r="C7227" s="6">
        <v>96</v>
      </c>
      <c r="D7227" s="6">
        <v>107</v>
      </c>
      <c r="E7227" s="6">
        <v>203</v>
      </c>
      <c r="F7227" s="11"/>
    </row>
    <row r="7228" spans="1:6">
      <c r="A7228" s="5" t="str">
        <f t="shared" si="126"/>
        <v>202325</v>
      </c>
      <c r="B7228" s="5" t="str">
        <f>"23085054213"</f>
        <v>23085054213</v>
      </c>
      <c r="C7228" s="6">
        <v>94.5</v>
      </c>
      <c r="D7228" s="6">
        <v>108.5</v>
      </c>
      <c r="E7228" s="6">
        <v>203</v>
      </c>
      <c r="F7228" s="11"/>
    </row>
    <row r="7229" spans="1:6">
      <c r="A7229" s="5" t="str">
        <f t="shared" si="126"/>
        <v>202325</v>
      </c>
      <c r="B7229" s="5" t="str">
        <f>"23085054217"</f>
        <v>23085054217</v>
      </c>
      <c r="C7229" s="6">
        <v>102</v>
      </c>
      <c r="D7229" s="6">
        <v>101</v>
      </c>
      <c r="E7229" s="6">
        <v>203</v>
      </c>
      <c r="F7229" s="11"/>
    </row>
    <row r="7230" spans="1:6">
      <c r="A7230" s="5" t="str">
        <f t="shared" si="126"/>
        <v>202325</v>
      </c>
      <c r="B7230" s="5" t="str">
        <f>"23085054510"</f>
        <v>23085054510</v>
      </c>
      <c r="C7230" s="6">
        <v>93</v>
      </c>
      <c r="D7230" s="6">
        <v>109.5</v>
      </c>
      <c r="E7230" s="6">
        <v>202.5</v>
      </c>
      <c r="F7230" s="11"/>
    </row>
    <row r="7231" spans="1:6">
      <c r="A7231" s="5" t="str">
        <f t="shared" si="126"/>
        <v>202325</v>
      </c>
      <c r="B7231" s="5" t="str">
        <f>"23085054123"</f>
        <v>23085054123</v>
      </c>
      <c r="C7231" s="6">
        <v>90</v>
      </c>
      <c r="D7231" s="6">
        <v>112</v>
      </c>
      <c r="E7231" s="6">
        <v>202</v>
      </c>
      <c r="F7231" s="11"/>
    </row>
    <row r="7232" spans="1:6">
      <c r="A7232" s="5" t="str">
        <f t="shared" si="126"/>
        <v>202325</v>
      </c>
      <c r="B7232" s="5" t="str">
        <f>"23085054219"</f>
        <v>23085054219</v>
      </c>
      <c r="C7232" s="6">
        <v>88.5</v>
      </c>
      <c r="D7232" s="6">
        <v>113.5</v>
      </c>
      <c r="E7232" s="6">
        <v>202</v>
      </c>
      <c r="F7232" s="11"/>
    </row>
    <row r="7233" spans="1:6">
      <c r="A7233" s="5" t="str">
        <f t="shared" si="126"/>
        <v>202325</v>
      </c>
      <c r="B7233" s="5" t="str">
        <f>"23085054430"</f>
        <v>23085054430</v>
      </c>
      <c r="C7233" s="6">
        <v>82.5</v>
      </c>
      <c r="D7233" s="6">
        <v>117</v>
      </c>
      <c r="E7233" s="6">
        <v>199.5</v>
      </c>
      <c r="F7233" s="11"/>
    </row>
    <row r="7234" spans="1:6">
      <c r="A7234" s="5" t="str">
        <f t="shared" si="126"/>
        <v>202325</v>
      </c>
      <c r="B7234" s="5" t="str">
        <f>"23085054324"</f>
        <v>23085054324</v>
      </c>
      <c r="C7234" s="6">
        <v>90</v>
      </c>
      <c r="D7234" s="6">
        <v>109.5</v>
      </c>
      <c r="E7234" s="6">
        <v>199.5</v>
      </c>
      <c r="F7234" s="11"/>
    </row>
    <row r="7235" spans="1:6">
      <c r="A7235" s="5" t="str">
        <f t="shared" si="126"/>
        <v>202325</v>
      </c>
      <c r="B7235" s="5" t="str">
        <f>"23085054115"</f>
        <v>23085054115</v>
      </c>
      <c r="C7235" s="6">
        <v>85.5</v>
      </c>
      <c r="D7235" s="6">
        <v>114</v>
      </c>
      <c r="E7235" s="6">
        <v>199.5</v>
      </c>
      <c r="F7235" s="11"/>
    </row>
    <row r="7236" spans="1:6">
      <c r="A7236" s="5" t="str">
        <f t="shared" si="126"/>
        <v>202325</v>
      </c>
      <c r="B7236" s="5" t="str">
        <f>"23085054520"</f>
        <v>23085054520</v>
      </c>
      <c r="C7236" s="6">
        <v>81</v>
      </c>
      <c r="D7236" s="6">
        <v>118</v>
      </c>
      <c r="E7236" s="6">
        <v>199</v>
      </c>
      <c r="F7236" s="11"/>
    </row>
    <row r="7237" spans="1:6">
      <c r="A7237" s="5" t="str">
        <f t="shared" si="126"/>
        <v>202325</v>
      </c>
      <c r="B7237" s="5" t="str">
        <f>"23085054318"</f>
        <v>23085054318</v>
      </c>
      <c r="C7237" s="6">
        <v>76.5</v>
      </c>
      <c r="D7237" s="6">
        <v>122.5</v>
      </c>
      <c r="E7237" s="6">
        <v>199</v>
      </c>
      <c r="F7237" s="11"/>
    </row>
    <row r="7238" spans="1:6">
      <c r="A7238" s="5" t="str">
        <f t="shared" si="126"/>
        <v>202325</v>
      </c>
      <c r="B7238" s="5" t="str">
        <f>"23085054321"</f>
        <v>23085054321</v>
      </c>
      <c r="C7238" s="6">
        <v>85.5</v>
      </c>
      <c r="D7238" s="6">
        <v>113</v>
      </c>
      <c r="E7238" s="6">
        <v>198.5</v>
      </c>
      <c r="F7238" s="11"/>
    </row>
    <row r="7239" spans="1:6">
      <c r="A7239" s="5" t="str">
        <f t="shared" si="126"/>
        <v>202325</v>
      </c>
      <c r="B7239" s="5" t="str">
        <f>"23085054125"</f>
        <v>23085054125</v>
      </c>
      <c r="C7239" s="6">
        <v>85.5</v>
      </c>
      <c r="D7239" s="6">
        <v>112</v>
      </c>
      <c r="E7239" s="6">
        <v>197.5</v>
      </c>
      <c r="F7239" s="11"/>
    </row>
    <row r="7240" spans="1:6">
      <c r="A7240" s="5" t="str">
        <f t="shared" si="126"/>
        <v>202325</v>
      </c>
      <c r="B7240" s="5" t="str">
        <f>"23085054605"</f>
        <v>23085054605</v>
      </c>
      <c r="C7240" s="6">
        <v>90</v>
      </c>
      <c r="D7240" s="6">
        <v>106.5</v>
      </c>
      <c r="E7240" s="6">
        <v>196.5</v>
      </c>
      <c r="F7240" s="11"/>
    </row>
    <row r="7241" spans="1:6">
      <c r="A7241" s="5" t="str">
        <f t="shared" si="126"/>
        <v>202325</v>
      </c>
      <c r="B7241" s="5" t="str">
        <f>"23085054424"</f>
        <v>23085054424</v>
      </c>
      <c r="C7241" s="6">
        <v>84</v>
      </c>
      <c r="D7241" s="6">
        <v>111.5</v>
      </c>
      <c r="E7241" s="6">
        <v>195.5</v>
      </c>
      <c r="F7241" s="11"/>
    </row>
    <row r="7242" spans="1:6">
      <c r="A7242" s="5" t="str">
        <f t="shared" si="126"/>
        <v>202325</v>
      </c>
      <c r="B7242" s="5" t="str">
        <f>"23085054521"</f>
        <v>23085054521</v>
      </c>
      <c r="C7242" s="6">
        <v>90</v>
      </c>
      <c r="D7242" s="6">
        <v>104.5</v>
      </c>
      <c r="E7242" s="6">
        <v>194.5</v>
      </c>
      <c r="F7242" s="11"/>
    </row>
    <row r="7243" spans="1:6">
      <c r="A7243" s="5" t="str">
        <f t="shared" si="126"/>
        <v>202325</v>
      </c>
      <c r="B7243" s="5" t="str">
        <f>"23085054303"</f>
        <v>23085054303</v>
      </c>
      <c r="C7243" s="6">
        <v>76.5</v>
      </c>
      <c r="D7243" s="6">
        <v>117</v>
      </c>
      <c r="E7243" s="6">
        <v>193.5</v>
      </c>
      <c r="F7243" s="11"/>
    </row>
    <row r="7244" spans="1:6">
      <c r="A7244" s="5" t="str">
        <f t="shared" si="126"/>
        <v>202325</v>
      </c>
      <c r="B7244" s="5" t="str">
        <f>"23085054409"</f>
        <v>23085054409</v>
      </c>
      <c r="C7244" s="6">
        <v>79.5</v>
      </c>
      <c r="D7244" s="6">
        <v>114</v>
      </c>
      <c r="E7244" s="6">
        <v>193.5</v>
      </c>
      <c r="F7244" s="11"/>
    </row>
    <row r="7245" spans="1:6">
      <c r="A7245" s="5" t="str">
        <f t="shared" si="126"/>
        <v>202325</v>
      </c>
      <c r="B7245" s="5" t="str">
        <f>"23085054418"</f>
        <v>23085054418</v>
      </c>
      <c r="C7245" s="6">
        <v>96</v>
      </c>
      <c r="D7245" s="6">
        <v>97</v>
      </c>
      <c r="E7245" s="6">
        <v>193</v>
      </c>
      <c r="F7245" s="11"/>
    </row>
    <row r="7246" spans="1:6">
      <c r="A7246" s="5" t="str">
        <f t="shared" si="126"/>
        <v>202325</v>
      </c>
      <c r="B7246" s="5" t="str">
        <f>"23085054404"</f>
        <v>23085054404</v>
      </c>
      <c r="C7246" s="6">
        <v>87</v>
      </c>
      <c r="D7246" s="6">
        <v>105</v>
      </c>
      <c r="E7246" s="6">
        <v>192</v>
      </c>
      <c r="F7246" s="11"/>
    </row>
    <row r="7247" spans="1:6">
      <c r="A7247" s="5" t="str">
        <f t="shared" si="126"/>
        <v>202325</v>
      </c>
      <c r="B7247" s="5" t="str">
        <f>"23085054316"</f>
        <v>23085054316</v>
      </c>
      <c r="C7247" s="6">
        <v>88.5</v>
      </c>
      <c r="D7247" s="6">
        <v>103</v>
      </c>
      <c r="E7247" s="6">
        <v>191.5</v>
      </c>
      <c r="F7247" s="11"/>
    </row>
    <row r="7248" spans="1:6">
      <c r="A7248" s="5" t="str">
        <f t="shared" si="126"/>
        <v>202325</v>
      </c>
      <c r="B7248" s="5" t="str">
        <f>"23085054127"</f>
        <v>23085054127</v>
      </c>
      <c r="C7248" s="6">
        <v>87</v>
      </c>
      <c r="D7248" s="6">
        <v>104.5</v>
      </c>
      <c r="E7248" s="6">
        <v>191.5</v>
      </c>
      <c r="F7248" s="11"/>
    </row>
    <row r="7249" spans="1:6">
      <c r="A7249" s="5" t="str">
        <f t="shared" si="126"/>
        <v>202325</v>
      </c>
      <c r="B7249" s="5" t="str">
        <f>"23085054602"</f>
        <v>23085054602</v>
      </c>
      <c r="C7249" s="6">
        <v>72</v>
      </c>
      <c r="D7249" s="6">
        <v>119.5</v>
      </c>
      <c r="E7249" s="6">
        <v>191.5</v>
      </c>
      <c r="F7249" s="11"/>
    </row>
    <row r="7250" spans="1:6">
      <c r="A7250" s="5" t="str">
        <f t="shared" si="126"/>
        <v>202325</v>
      </c>
      <c r="B7250" s="5" t="str">
        <f>"23085054408"</f>
        <v>23085054408</v>
      </c>
      <c r="C7250" s="6">
        <v>81</v>
      </c>
      <c r="D7250" s="6">
        <v>109</v>
      </c>
      <c r="E7250" s="6">
        <v>190</v>
      </c>
      <c r="F7250" s="11"/>
    </row>
    <row r="7251" spans="1:6">
      <c r="A7251" s="5" t="str">
        <f t="shared" si="126"/>
        <v>202325</v>
      </c>
      <c r="B7251" s="5" t="str">
        <f>"23085054326"</f>
        <v>23085054326</v>
      </c>
      <c r="C7251" s="6">
        <v>88.5</v>
      </c>
      <c r="D7251" s="6">
        <v>101.5</v>
      </c>
      <c r="E7251" s="6">
        <v>190</v>
      </c>
      <c r="F7251" s="11"/>
    </row>
    <row r="7252" spans="1:6">
      <c r="A7252" s="5" t="str">
        <f t="shared" si="126"/>
        <v>202325</v>
      </c>
      <c r="B7252" s="5" t="str">
        <f>"23085054117"</f>
        <v>23085054117</v>
      </c>
      <c r="C7252" s="6">
        <v>78</v>
      </c>
      <c r="D7252" s="6">
        <v>111.5</v>
      </c>
      <c r="E7252" s="6">
        <v>189.5</v>
      </c>
      <c r="F7252" s="11"/>
    </row>
    <row r="7253" spans="1:6">
      <c r="A7253" s="5" t="str">
        <f t="shared" si="126"/>
        <v>202325</v>
      </c>
      <c r="B7253" s="5" t="str">
        <f>"23085054302"</f>
        <v>23085054302</v>
      </c>
      <c r="C7253" s="6">
        <v>79.5</v>
      </c>
      <c r="D7253" s="6">
        <v>108</v>
      </c>
      <c r="E7253" s="6">
        <v>187.5</v>
      </c>
      <c r="F7253" s="11"/>
    </row>
    <row r="7254" spans="1:6">
      <c r="A7254" s="5" t="str">
        <f t="shared" si="126"/>
        <v>202325</v>
      </c>
      <c r="B7254" s="5" t="str">
        <f>"23085054417"</f>
        <v>23085054417</v>
      </c>
      <c r="C7254" s="6">
        <v>75</v>
      </c>
      <c r="D7254" s="6">
        <v>111.5</v>
      </c>
      <c r="E7254" s="6">
        <v>186.5</v>
      </c>
      <c r="F7254" s="11"/>
    </row>
    <row r="7255" spans="1:6">
      <c r="A7255" s="5" t="str">
        <f t="shared" si="126"/>
        <v>202325</v>
      </c>
      <c r="B7255" s="5" t="str">
        <f>"23085054218"</f>
        <v>23085054218</v>
      </c>
      <c r="C7255" s="6">
        <v>73.5</v>
      </c>
      <c r="D7255" s="6">
        <v>111.5</v>
      </c>
      <c r="E7255" s="6">
        <v>185</v>
      </c>
      <c r="F7255" s="11"/>
    </row>
    <row r="7256" spans="1:6">
      <c r="A7256" s="5" t="str">
        <f t="shared" si="126"/>
        <v>202325</v>
      </c>
      <c r="B7256" s="5" t="str">
        <f>"23085054601"</f>
        <v>23085054601</v>
      </c>
      <c r="C7256" s="6">
        <v>82.5</v>
      </c>
      <c r="D7256" s="6">
        <v>102.5</v>
      </c>
      <c r="E7256" s="6">
        <v>185</v>
      </c>
      <c r="F7256" s="11"/>
    </row>
    <row r="7257" spans="1:6">
      <c r="A7257" s="5" t="str">
        <f t="shared" si="126"/>
        <v>202325</v>
      </c>
      <c r="B7257" s="5" t="str">
        <f>"23085054609"</f>
        <v>23085054609</v>
      </c>
      <c r="C7257" s="6">
        <v>70.5</v>
      </c>
      <c r="D7257" s="6">
        <v>113</v>
      </c>
      <c r="E7257" s="6">
        <v>183.5</v>
      </c>
      <c r="F7257" s="11"/>
    </row>
    <row r="7258" spans="1:6">
      <c r="A7258" s="5" t="str">
        <f t="shared" si="126"/>
        <v>202325</v>
      </c>
      <c r="B7258" s="5" t="str">
        <f>"23085054504"</f>
        <v>23085054504</v>
      </c>
      <c r="C7258" s="6">
        <v>67.5</v>
      </c>
      <c r="D7258" s="6">
        <v>115.5</v>
      </c>
      <c r="E7258" s="6">
        <v>183</v>
      </c>
      <c r="F7258" s="11"/>
    </row>
    <row r="7259" spans="1:6">
      <c r="A7259" s="5" t="str">
        <f t="shared" si="126"/>
        <v>202325</v>
      </c>
      <c r="B7259" s="5" t="str">
        <f>"23085054212"</f>
        <v>23085054212</v>
      </c>
      <c r="C7259" s="6">
        <v>61.5</v>
      </c>
      <c r="D7259" s="6">
        <v>120.5</v>
      </c>
      <c r="E7259" s="6">
        <v>182</v>
      </c>
      <c r="F7259" s="11"/>
    </row>
    <row r="7260" spans="1:6">
      <c r="A7260" s="5" t="str">
        <f t="shared" si="126"/>
        <v>202325</v>
      </c>
      <c r="B7260" s="5" t="str">
        <f>"23085054509"</f>
        <v>23085054509</v>
      </c>
      <c r="C7260" s="6">
        <v>76.5</v>
      </c>
      <c r="D7260" s="6">
        <v>104.5</v>
      </c>
      <c r="E7260" s="6">
        <v>181</v>
      </c>
      <c r="F7260" s="11"/>
    </row>
    <row r="7261" spans="1:6">
      <c r="A7261" s="5" t="str">
        <f t="shared" si="126"/>
        <v>202325</v>
      </c>
      <c r="B7261" s="5" t="str">
        <f>"23085054517"</f>
        <v>23085054517</v>
      </c>
      <c r="C7261" s="6">
        <v>87</v>
      </c>
      <c r="D7261" s="6">
        <v>91</v>
      </c>
      <c r="E7261" s="6">
        <v>178</v>
      </c>
      <c r="F7261" s="11"/>
    </row>
    <row r="7262" spans="1:6">
      <c r="A7262" s="5" t="str">
        <f t="shared" si="126"/>
        <v>202325</v>
      </c>
      <c r="B7262" s="5" t="str">
        <f>"23085054209"</f>
        <v>23085054209</v>
      </c>
      <c r="C7262" s="6">
        <v>66</v>
      </c>
      <c r="D7262" s="6">
        <v>111.5</v>
      </c>
      <c r="E7262" s="6">
        <v>177.5</v>
      </c>
      <c r="F7262" s="11"/>
    </row>
    <row r="7263" spans="1:6">
      <c r="A7263" s="5" t="str">
        <f t="shared" si="126"/>
        <v>202325</v>
      </c>
      <c r="B7263" s="5" t="str">
        <f>"23085054420"</f>
        <v>23085054420</v>
      </c>
      <c r="C7263" s="6">
        <v>70.5</v>
      </c>
      <c r="D7263" s="6">
        <v>106.5</v>
      </c>
      <c r="E7263" s="6">
        <v>177</v>
      </c>
      <c r="F7263" s="11"/>
    </row>
    <row r="7264" spans="1:6">
      <c r="A7264" s="5" t="str">
        <f t="shared" si="126"/>
        <v>202325</v>
      </c>
      <c r="B7264" s="5" t="str">
        <f>"23085054429"</f>
        <v>23085054429</v>
      </c>
      <c r="C7264" s="6">
        <v>64.5</v>
      </c>
      <c r="D7264" s="6">
        <v>110.5</v>
      </c>
      <c r="E7264" s="6">
        <v>175</v>
      </c>
      <c r="F7264" s="11"/>
    </row>
    <row r="7265" spans="1:6">
      <c r="A7265" s="5" t="str">
        <f t="shared" si="126"/>
        <v>202325</v>
      </c>
      <c r="B7265" s="5" t="str">
        <f>"23085054225"</f>
        <v>23085054225</v>
      </c>
      <c r="C7265" s="6">
        <v>84</v>
      </c>
      <c r="D7265" s="6">
        <v>86.5</v>
      </c>
      <c r="E7265" s="6">
        <v>170.5</v>
      </c>
      <c r="F7265" s="11"/>
    </row>
    <row r="7266" spans="1:6">
      <c r="A7266" s="5" t="str">
        <f t="shared" si="126"/>
        <v>202325</v>
      </c>
      <c r="B7266" s="5" t="str">
        <f>"23085054205"</f>
        <v>23085054205</v>
      </c>
      <c r="C7266" s="6">
        <v>90</v>
      </c>
      <c r="D7266" s="6">
        <v>80.5</v>
      </c>
      <c r="E7266" s="6">
        <v>170.5</v>
      </c>
      <c r="F7266" s="11"/>
    </row>
    <row r="7267" spans="1:6">
      <c r="A7267" s="5" t="str">
        <f t="shared" si="126"/>
        <v>202325</v>
      </c>
      <c r="B7267" s="5" t="str">
        <f>"23085054207"</f>
        <v>23085054207</v>
      </c>
      <c r="C7267" s="6">
        <v>69</v>
      </c>
      <c r="D7267" s="6">
        <v>96.5</v>
      </c>
      <c r="E7267" s="6">
        <v>165.5</v>
      </c>
      <c r="F7267" s="11"/>
    </row>
    <row r="7268" spans="1:6">
      <c r="A7268" s="5" t="str">
        <f t="shared" si="126"/>
        <v>202325</v>
      </c>
      <c r="B7268" s="5" t="str">
        <f>"23085054113"</f>
        <v>23085054113</v>
      </c>
      <c r="C7268" s="6">
        <v>84</v>
      </c>
      <c r="D7268" s="6">
        <v>75.5</v>
      </c>
      <c r="E7268" s="6">
        <v>159.5</v>
      </c>
      <c r="F7268" s="11"/>
    </row>
    <row r="7269" spans="1:6">
      <c r="A7269" s="5" t="str">
        <f t="shared" si="126"/>
        <v>202325</v>
      </c>
      <c r="B7269" s="5" t="str">
        <f>"23085054529"</f>
        <v>23085054529</v>
      </c>
      <c r="C7269" s="6">
        <v>64.5</v>
      </c>
      <c r="D7269" s="6">
        <v>66</v>
      </c>
      <c r="E7269" s="6">
        <v>130.5</v>
      </c>
      <c r="F7269" s="11"/>
    </row>
    <row r="7270" spans="1:6">
      <c r="A7270" s="5" t="str">
        <f t="shared" si="126"/>
        <v>202325</v>
      </c>
      <c r="B7270" s="5" t="str">
        <f>"23085054221"</f>
        <v>23085054221</v>
      </c>
      <c r="C7270" s="6">
        <v>0</v>
      </c>
      <c r="D7270" s="6">
        <v>0</v>
      </c>
      <c r="E7270" s="6">
        <v>0</v>
      </c>
      <c r="F7270" s="11" t="s">
        <v>7</v>
      </c>
    </row>
    <row r="7271" spans="1:6">
      <c r="A7271" s="5" t="str">
        <f t="shared" si="126"/>
        <v>202325</v>
      </c>
      <c r="B7271" s="5" t="str">
        <f>"23085054410"</f>
        <v>23085054410</v>
      </c>
      <c r="C7271" s="6">
        <v>0</v>
      </c>
      <c r="D7271" s="6">
        <v>0</v>
      </c>
      <c r="E7271" s="6">
        <v>0</v>
      </c>
      <c r="F7271" s="11" t="s">
        <v>7</v>
      </c>
    </row>
    <row r="7272" spans="1:6">
      <c r="A7272" s="5" t="str">
        <f t="shared" si="126"/>
        <v>202325</v>
      </c>
      <c r="B7272" s="5" t="str">
        <f>"23085054401"</f>
        <v>23085054401</v>
      </c>
      <c r="C7272" s="6">
        <v>0</v>
      </c>
      <c r="D7272" s="6">
        <v>0</v>
      </c>
      <c r="E7272" s="6">
        <v>0</v>
      </c>
      <c r="F7272" s="11" t="s">
        <v>7</v>
      </c>
    </row>
    <row r="7273" spans="1:6">
      <c r="A7273" s="5" t="str">
        <f t="shared" si="126"/>
        <v>202325</v>
      </c>
      <c r="B7273" s="5" t="str">
        <f>"23085054503"</f>
        <v>23085054503</v>
      </c>
      <c r="C7273" s="6">
        <v>0</v>
      </c>
      <c r="D7273" s="6">
        <v>0</v>
      </c>
      <c r="E7273" s="6">
        <v>0</v>
      </c>
      <c r="F7273" s="11" t="s">
        <v>7</v>
      </c>
    </row>
    <row r="7274" spans="1:6">
      <c r="A7274" s="5" t="str">
        <f t="shared" si="126"/>
        <v>202325</v>
      </c>
      <c r="B7274" s="5" t="str">
        <f>"23085054402"</f>
        <v>23085054402</v>
      </c>
      <c r="C7274" s="6">
        <v>0</v>
      </c>
      <c r="D7274" s="6">
        <v>0</v>
      </c>
      <c r="E7274" s="6">
        <v>0</v>
      </c>
      <c r="F7274" s="11" t="s">
        <v>7</v>
      </c>
    </row>
    <row r="7275" spans="1:6">
      <c r="A7275" s="5" t="str">
        <f t="shared" si="126"/>
        <v>202325</v>
      </c>
      <c r="B7275" s="5" t="str">
        <f>"23085054414"</f>
        <v>23085054414</v>
      </c>
      <c r="C7275" s="6">
        <v>0</v>
      </c>
      <c r="D7275" s="6">
        <v>0</v>
      </c>
      <c r="E7275" s="6">
        <v>0</v>
      </c>
      <c r="F7275" s="11" t="s">
        <v>7</v>
      </c>
    </row>
    <row r="7276" spans="1:6">
      <c r="A7276" s="5" t="str">
        <f t="shared" si="126"/>
        <v>202325</v>
      </c>
      <c r="B7276" s="5" t="str">
        <f>"23085054317"</f>
        <v>23085054317</v>
      </c>
      <c r="C7276" s="6">
        <v>0</v>
      </c>
      <c r="D7276" s="6">
        <v>0</v>
      </c>
      <c r="E7276" s="6">
        <v>0</v>
      </c>
      <c r="F7276" s="11" t="s">
        <v>7</v>
      </c>
    </row>
    <row r="7277" spans="1:6">
      <c r="A7277" s="5" t="str">
        <f t="shared" si="126"/>
        <v>202325</v>
      </c>
      <c r="B7277" s="5" t="str">
        <f>"23085054603"</f>
        <v>23085054603</v>
      </c>
      <c r="C7277" s="6">
        <v>0</v>
      </c>
      <c r="D7277" s="6">
        <v>0</v>
      </c>
      <c r="E7277" s="6">
        <v>0</v>
      </c>
      <c r="F7277" s="11" t="s">
        <v>7</v>
      </c>
    </row>
    <row r="7278" spans="1:6">
      <c r="A7278" s="5" t="str">
        <f t="shared" si="126"/>
        <v>202325</v>
      </c>
      <c r="B7278" s="5" t="str">
        <f>"23085054322"</f>
        <v>23085054322</v>
      </c>
      <c r="C7278" s="6">
        <v>0</v>
      </c>
      <c r="D7278" s="6">
        <v>0</v>
      </c>
      <c r="E7278" s="6">
        <v>0</v>
      </c>
      <c r="F7278" s="11" t="s">
        <v>7</v>
      </c>
    </row>
    <row r="7279" spans="1:6">
      <c r="A7279" s="5" t="str">
        <f t="shared" si="126"/>
        <v>202325</v>
      </c>
      <c r="B7279" s="5" t="str">
        <f>"23085054309"</f>
        <v>23085054309</v>
      </c>
      <c r="C7279" s="6">
        <v>0</v>
      </c>
      <c r="D7279" s="6">
        <v>0</v>
      </c>
      <c r="E7279" s="6">
        <v>0</v>
      </c>
      <c r="F7279" s="11" t="s">
        <v>7</v>
      </c>
    </row>
    <row r="7280" spans="1:6">
      <c r="A7280" s="5" t="str">
        <f t="shared" si="126"/>
        <v>202325</v>
      </c>
      <c r="B7280" s="5" t="str">
        <f>"23085054308"</f>
        <v>23085054308</v>
      </c>
      <c r="C7280" s="6">
        <v>0</v>
      </c>
      <c r="D7280" s="6">
        <v>0</v>
      </c>
      <c r="E7280" s="6">
        <v>0</v>
      </c>
      <c r="F7280" s="11" t="s">
        <v>7</v>
      </c>
    </row>
    <row r="7281" spans="1:6">
      <c r="A7281" s="5" t="str">
        <f t="shared" si="126"/>
        <v>202325</v>
      </c>
      <c r="B7281" s="5" t="str">
        <f>"23085054229"</f>
        <v>23085054229</v>
      </c>
      <c r="C7281" s="6">
        <v>0</v>
      </c>
      <c r="D7281" s="6">
        <v>0</v>
      </c>
      <c r="E7281" s="6">
        <v>0</v>
      </c>
      <c r="F7281" s="11" t="s">
        <v>7</v>
      </c>
    </row>
    <row r="7282" spans="1:6">
      <c r="A7282" s="5" t="str">
        <f t="shared" ref="A7282:A7302" si="127">"202325"</f>
        <v>202325</v>
      </c>
      <c r="B7282" s="5" t="str">
        <f>"23085054230"</f>
        <v>23085054230</v>
      </c>
      <c r="C7282" s="6">
        <v>0</v>
      </c>
      <c r="D7282" s="6">
        <v>0</v>
      </c>
      <c r="E7282" s="6">
        <v>0</v>
      </c>
      <c r="F7282" s="11" t="s">
        <v>7</v>
      </c>
    </row>
    <row r="7283" spans="1:6">
      <c r="A7283" s="5" t="str">
        <f t="shared" si="127"/>
        <v>202325</v>
      </c>
      <c r="B7283" s="5" t="str">
        <f>"23085054406"</f>
        <v>23085054406</v>
      </c>
      <c r="C7283" s="6">
        <v>0</v>
      </c>
      <c r="D7283" s="6">
        <v>0</v>
      </c>
      <c r="E7283" s="6">
        <v>0</v>
      </c>
      <c r="F7283" s="11" t="s">
        <v>7</v>
      </c>
    </row>
    <row r="7284" spans="1:6">
      <c r="A7284" s="5" t="str">
        <f t="shared" si="127"/>
        <v>202325</v>
      </c>
      <c r="B7284" s="5" t="str">
        <f>"23085054301"</f>
        <v>23085054301</v>
      </c>
      <c r="C7284" s="6">
        <v>0</v>
      </c>
      <c r="D7284" s="6">
        <v>0</v>
      </c>
      <c r="E7284" s="6">
        <v>0</v>
      </c>
      <c r="F7284" s="11" t="s">
        <v>7</v>
      </c>
    </row>
    <row r="7285" spans="1:6">
      <c r="A7285" s="5" t="str">
        <f t="shared" si="127"/>
        <v>202325</v>
      </c>
      <c r="B7285" s="5" t="str">
        <f>"23085054208"</f>
        <v>23085054208</v>
      </c>
      <c r="C7285" s="6">
        <v>0</v>
      </c>
      <c r="D7285" s="6">
        <v>0</v>
      </c>
      <c r="E7285" s="6">
        <v>0</v>
      </c>
      <c r="F7285" s="11" t="s">
        <v>7</v>
      </c>
    </row>
    <row r="7286" spans="1:6">
      <c r="A7286" s="5" t="str">
        <f t="shared" si="127"/>
        <v>202325</v>
      </c>
      <c r="B7286" s="5" t="str">
        <f>"23085054307"</f>
        <v>23085054307</v>
      </c>
      <c r="C7286" s="6">
        <v>0</v>
      </c>
      <c r="D7286" s="6">
        <v>0</v>
      </c>
      <c r="E7286" s="6">
        <v>0</v>
      </c>
      <c r="F7286" s="11" t="s">
        <v>7</v>
      </c>
    </row>
    <row r="7287" spans="1:6">
      <c r="A7287" s="5" t="str">
        <f t="shared" si="127"/>
        <v>202325</v>
      </c>
      <c r="B7287" s="5" t="str">
        <f>"23085054311"</f>
        <v>23085054311</v>
      </c>
      <c r="C7287" s="6">
        <v>0</v>
      </c>
      <c r="D7287" s="6">
        <v>0</v>
      </c>
      <c r="E7287" s="6">
        <v>0</v>
      </c>
      <c r="F7287" s="11" t="s">
        <v>7</v>
      </c>
    </row>
    <row r="7288" spans="1:6">
      <c r="A7288" s="5" t="str">
        <f t="shared" si="127"/>
        <v>202325</v>
      </c>
      <c r="B7288" s="5" t="str">
        <f>"23085054315"</f>
        <v>23085054315</v>
      </c>
      <c r="C7288" s="6">
        <v>0</v>
      </c>
      <c r="D7288" s="6">
        <v>0</v>
      </c>
      <c r="E7288" s="6">
        <v>0</v>
      </c>
      <c r="F7288" s="11" t="s">
        <v>7</v>
      </c>
    </row>
    <row r="7289" spans="1:6">
      <c r="A7289" s="5" t="str">
        <f t="shared" si="127"/>
        <v>202325</v>
      </c>
      <c r="B7289" s="5" t="str">
        <f>"23085054223"</f>
        <v>23085054223</v>
      </c>
      <c r="C7289" s="6">
        <v>0</v>
      </c>
      <c r="D7289" s="6">
        <v>0</v>
      </c>
      <c r="E7289" s="6">
        <v>0</v>
      </c>
      <c r="F7289" s="11" t="s">
        <v>7</v>
      </c>
    </row>
    <row r="7290" spans="1:6">
      <c r="A7290" s="5" t="str">
        <f t="shared" si="127"/>
        <v>202325</v>
      </c>
      <c r="B7290" s="5" t="str">
        <f>"23085054320"</f>
        <v>23085054320</v>
      </c>
      <c r="C7290" s="6">
        <v>0</v>
      </c>
      <c r="D7290" s="6">
        <v>0</v>
      </c>
      <c r="E7290" s="6">
        <v>0</v>
      </c>
      <c r="F7290" s="11" t="s">
        <v>7</v>
      </c>
    </row>
    <row r="7291" spans="1:6">
      <c r="A7291" s="5" t="str">
        <f t="shared" si="127"/>
        <v>202325</v>
      </c>
      <c r="B7291" s="5" t="str">
        <f>"23085054428"</f>
        <v>23085054428</v>
      </c>
      <c r="C7291" s="6">
        <v>0</v>
      </c>
      <c r="D7291" s="6">
        <v>0</v>
      </c>
      <c r="E7291" s="6">
        <v>0</v>
      </c>
      <c r="F7291" s="11" t="s">
        <v>7</v>
      </c>
    </row>
    <row r="7292" spans="1:6">
      <c r="A7292" s="5" t="str">
        <f t="shared" si="127"/>
        <v>202325</v>
      </c>
      <c r="B7292" s="5" t="str">
        <f>"23085054329"</f>
        <v>23085054329</v>
      </c>
      <c r="C7292" s="6">
        <v>0</v>
      </c>
      <c r="D7292" s="6">
        <v>0</v>
      </c>
      <c r="E7292" s="6">
        <v>0</v>
      </c>
      <c r="F7292" s="11" t="s">
        <v>7</v>
      </c>
    </row>
    <row r="7293" spans="1:6">
      <c r="A7293" s="5" t="str">
        <f t="shared" si="127"/>
        <v>202325</v>
      </c>
      <c r="B7293" s="5" t="str">
        <f>"23085054226"</f>
        <v>23085054226</v>
      </c>
      <c r="C7293" s="6">
        <v>0</v>
      </c>
      <c r="D7293" s="6">
        <v>0</v>
      </c>
      <c r="E7293" s="6">
        <v>0</v>
      </c>
      <c r="F7293" s="11" t="s">
        <v>7</v>
      </c>
    </row>
    <row r="7294" spans="1:6">
      <c r="A7294" s="5" t="str">
        <f t="shared" si="127"/>
        <v>202325</v>
      </c>
      <c r="B7294" s="5" t="str">
        <f>"23085054228"</f>
        <v>23085054228</v>
      </c>
      <c r="C7294" s="6">
        <v>0</v>
      </c>
      <c r="D7294" s="6">
        <v>0</v>
      </c>
      <c r="E7294" s="6">
        <v>0</v>
      </c>
      <c r="F7294" s="11" t="s">
        <v>7</v>
      </c>
    </row>
    <row r="7295" spans="1:6">
      <c r="A7295" s="5" t="str">
        <f t="shared" si="127"/>
        <v>202325</v>
      </c>
      <c r="B7295" s="5" t="str">
        <f>"23085054312"</f>
        <v>23085054312</v>
      </c>
      <c r="C7295" s="6">
        <v>0</v>
      </c>
      <c r="D7295" s="6">
        <v>0</v>
      </c>
      <c r="E7295" s="6">
        <v>0</v>
      </c>
      <c r="F7295" s="11" t="s">
        <v>7</v>
      </c>
    </row>
    <row r="7296" spans="1:6">
      <c r="A7296" s="5" t="str">
        <f t="shared" si="127"/>
        <v>202325</v>
      </c>
      <c r="B7296" s="5" t="str">
        <f>"23085054407"</f>
        <v>23085054407</v>
      </c>
      <c r="C7296" s="6">
        <v>0</v>
      </c>
      <c r="D7296" s="6">
        <v>0</v>
      </c>
      <c r="E7296" s="6">
        <v>0</v>
      </c>
      <c r="F7296" s="11" t="s">
        <v>7</v>
      </c>
    </row>
    <row r="7297" spans="1:6">
      <c r="A7297" s="5" t="str">
        <f t="shared" si="127"/>
        <v>202325</v>
      </c>
      <c r="B7297" s="5" t="str">
        <f>"23085054502"</f>
        <v>23085054502</v>
      </c>
      <c r="C7297" s="6">
        <v>0</v>
      </c>
      <c r="D7297" s="6">
        <v>0</v>
      </c>
      <c r="E7297" s="6">
        <v>0</v>
      </c>
      <c r="F7297" s="11" t="s">
        <v>7</v>
      </c>
    </row>
    <row r="7298" spans="1:6">
      <c r="A7298" s="5" t="str">
        <f t="shared" si="127"/>
        <v>202325</v>
      </c>
      <c r="B7298" s="5" t="str">
        <f>"23085054124"</f>
        <v>23085054124</v>
      </c>
      <c r="C7298" s="6">
        <v>0</v>
      </c>
      <c r="D7298" s="6">
        <v>0</v>
      </c>
      <c r="E7298" s="6">
        <v>0</v>
      </c>
      <c r="F7298" s="11" t="s">
        <v>7</v>
      </c>
    </row>
    <row r="7299" spans="1:6">
      <c r="A7299" s="5" t="str">
        <f t="shared" si="127"/>
        <v>202325</v>
      </c>
      <c r="B7299" s="5" t="str">
        <f>"23085054120"</f>
        <v>23085054120</v>
      </c>
      <c r="C7299" s="6">
        <v>0</v>
      </c>
      <c r="D7299" s="6">
        <v>0</v>
      </c>
      <c r="E7299" s="6">
        <v>0</v>
      </c>
      <c r="F7299" s="11" t="s">
        <v>7</v>
      </c>
    </row>
    <row r="7300" spans="1:6">
      <c r="A7300" s="5" t="str">
        <f t="shared" si="127"/>
        <v>202325</v>
      </c>
      <c r="B7300" s="5" t="str">
        <f>"23085054507"</f>
        <v>23085054507</v>
      </c>
      <c r="C7300" s="6">
        <v>0</v>
      </c>
      <c r="D7300" s="6">
        <v>0</v>
      </c>
      <c r="E7300" s="6">
        <v>0</v>
      </c>
      <c r="F7300" s="11" t="s">
        <v>7</v>
      </c>
    </row>
    <row r="7301" spans="1:6">
      <c r="A7301" s="5" t="str">
        <f t="shared" si="127"/>
        <v>202325</v>
      </c>
      <c r="B7301" s="5" t="str">
        <f>"23085054421"</f>
        <v>23085054421</v>
      </c>
      <c r="C7301" s="6">
        <v>0</v>
      </c>
      <c r="D7301" s="6">
        <v>0</v>
      </c>
      <c r="E7301" s="6">
        <v>0</v>
      </c>
      <c r="F7301" s="11" t="s">
        <v>7</v>
      </c>
    </row>
    <row r="7302" spans="1:6">
      <c r="A7302" s="5" t="str">
        <f t="shared" si="127"/>
        <v>202325</v>
      </c>
      <c r="B7302" s="5" t="str">
        <f>"23085054530"</f>
        <v>23085054530</v>
      </c>
      <c r="C7302" s="6">
        <v>0</v>
      </c>
      <c r="D7302" s="6">
        <v>0</v>
      </c>
      <c r="E7302" s="6">
        <v>0</v>
      </c>
      <c r="F7302" s="11" t="s">
        <v>7</v>
      </c>
    </row>
    <row r="7303" spans="1:6">
      <c r="A7303" s="5" t="str">
        <f t="shared" ref="A7303:A7366" si="128">"202326"</f>
        <v>202326</v>
      </c>
      <c r="B7303" s="5" t="str">
        <f>"23085054710"</f>
        <v>23085054710</v>
      </c>
      <c r="C7303" s="6">
        <v>121.5</v>
      </c>
      <c r="D7303" s="6">
        <v>117.5</v>
      </c>
      <c r="E7303" s="6">
        <v>239</v>
      </c>
      <c r="F7303" s="11"/>
    </row>
    <row r="7304" spans="1:6">
      <c r="A7304" s="5" t="str">
        <f t="shared" si="128"/>
        <v>202326</v>
      </c>
      <c r="B7304" s="5" t="str">
        <f>"23085054616"</f>
        <v>23085054616</v>
      </c>
      <c r="C7304" s="6">
        <v>124.5</v>
      </c>
      <c r="D7304" s="6">
        <v>114</v>
      </c>
      <c r="E7304" s="6">
        <v>238.5</v>
      </c>
      <c r="F7304" s="11"/>
    </row>
    <row r="7305" spans="1:6">
      <c r="A7305" s="5" t="str">
        <f t="shared" si="128"/>
        <v>202326</v>
      </c>
      <c r="B7305" s="5" t="str">
        <f>"23085054716"</f>
        <v>23085054716</v>
      </c>
      <c r="C7305" s="6">
        <v>114</v>
      </c>
      <c r="D7305" s="6">
        <v>123</v>
      </c>
      <c r="E7305" s="6">
        <v>237</v>
      </c>
      <c r="F7305" s="11"/>
    </row>
    <row r="7306" spans="1:6">
      <c r="A7306" s="5" t="str">
        <f t="shared" si="128"/>
        <v>202326</v>
      </c>
      <c r="B7306" s="5" t="str">
        <f>"23085054903"</f>
        <v>23085054903</v>
      </c>
      <c r="C7306" s="6">
        <v>115.5</v>
      </c>
      <c r="D7306" s="6">
        <v>116.5</v>
      </c>
      <c r="E7306" s="6">
        <v>232</v>
      </c>
      <c r="F7306" s="11"/>
    </row>
    <row r="7307" spans="1:6">
      <c r="A7307" s="5" t="str">
        <f t="shared" si="128"/>
        <v>202326</v>
      </c>
      <c r="B7307" s="5" t="str">
        <f>"23085054823"</f>
        <v>23085054823</v>
      </c>
      <c r="C7307" s="6">
        <v>118.5</v>
      </c>
      <c r="D7307" s="6">
        <v>112.5</v>
      </c>
      <c r="E7307" s="6">
        <v>231</v>
      </c>
      <c r="F7307" s="11"/>
    </row>
    <row r="7308" spans="1:6">
      <c r="A7308" s="5" t="str">
        <f t="shared" si="128"/>
        <v>202326</v>
      </c>
      <c r="B7308" s="5" t="str">
        <f>"23085054815"</f>
        <v>23085054815</v>
      </c>
      <c r="C7308" s="6">
        <v>114</v>
      </c>
      <c r="D7308" s="6">
        <v>117</v>
      </c>
      <c r="E7308" s="6">
        <v>231</v>
      </c>
      <c r="F7308" s="11"/>
    </row>
    <row r="7309" spans="1:6">
      <c r="A7309" s="5" t="str">
        <f t="shared" si="128"/>
        <v>202326</v>
      </c>
      <c r="B7309" s="5" t="str">
        <f>"23085054913"</f>
        <v>23085054913</v>
      </c>
      <c r="C7309" s="6">
        <v>108</v>
      </c>
      <c r="D7309" s="6">
        <v>122</v>
      </c>
      <c r="E7309" s="6">
        <v>230</v>
      </c>
      <c r="F7309" s="11"/>
    </row>
    <row r="7310" spans="1:6">
      <c r="A7310" s="5" t="str">
        <f t="shared" si="128"/>
        <v>202326</v>
      </c>
      <c r="B7310" s="5" t="str">
        <f>"23085054812"</f>
        <v>23085054812</v>
      </c>
      <c r="C7310" s="6">
        <v>112.5</v>
      </c>
      <c r="D7310" s="6">
        <v>117.5</v>
      </c>
      <c r="E7310" s="6">
        <v>230</v>
      </c>
      <c r="F7310" s="11"/>
    </row>
    <row r="7311" spans="1:6">
      <c r="A7311" s="5" t="str">
        <f t="shared" si="128"/>
        <v>202326</v>
      </c>
      <c r="B7311" s="5" t="str">
        <f>"23085054914"</f>
        <v>23085054914</v>
      </c>
      <c r="C7311" s="6">
        <v>126</v>
      </c>
      <c r="D7311" s="6">
        <v>103.5</v>
      </c>
      <c r="E7311" s="6">
        <v>229.5</v>
      </c>
      <c r="F7311" s="11"/>
    </row>
    <row r="7312" spans="1:6">
      <c r="A7312" s="5" t="str">
        <f t="shared" si="128"/>
        <v>202326</v>
      </c>
      <c r="B7312" s="5" t="str">
        <f>"23085054723"</f>
        <v>23085054723</v>
      </c>
      <c r="C7312" s="6">
        <v>112.5</v>
      </c>
      <c r="D7312" s="6">
        <v>117</v>
      </c>
      <c r="E7312" s="6">
        <v>229.5</v>
      </c>
      <c r="F7312" s="11"/>
    </row>
    <row r="7313" spans="1:6">
      <c r="A7313" s="5" t="str">
        <f t="shared" si="128"/>
        <v>202326</v>
      </c>
      <c r="B7313" s="5" t="str">
        <f>"23085054703"</f>
        <v>23085054703</v>
      </c>
      <c r="C7313" s="6">
        <v>115.5</v>
      </c>
      <c r="D7313" s="6">
        <v>111.5</v>
      </c>
      <c r="E7313" s="6">
        <v>227</v>
      </c>
      <c r="F7313" s="11"/>
    </row>
    <row r="7314" spans="1:6">
      <c r="A7314" s="5" t="str">
        <f t="shared" si="128"/>
        <v>202326</v>
      </c>
      <c r="B7314" s="5" t="str">
        <f>"23085054618"</f>
        <v>23085054618</v>
      </c>
      <c r="C7314" s="6">
        <v>105</v>
      </c>
      <c r="D7314" s="6">
        <v>121.5</v>
      </c>
      <c r="E7314" s="6">
        <v>226.5</v>
      </c>
      <c r="F7314" s="11"/>
    </row>
    <row r="7315" spans="1:6">
      <c r="A7315" s="5" t="str">
        <f t="shared" si="128"/>
        <v>202326</v>
      </c>
      <c r="B7315" s="5" t="str">
        <f>"23085054811"</f>
        <v>23085054811</v>
      </c>
      <c r="C7315" s="6">
        <v>106.5</v>
      </c>
      <c r="D7315" s="6">
        <v>119.5</v>
      </c>
      <c r="E7315" s="6">
        <v>226</v>
      </c>
      <c r="F7315" s="11"/>
    </row>
    <row r="7316" spans="1:6">
      <c r="A7316" s="5" t="str">
        <f t="shared" si="128"/>
        <v>202326</v>
      </c>
      <c r="B7316" s="5" t="str">
        <f>"23085054830"</f>
        <v>23085054830</v>
      </c>
      <c r="C7316" s="6">
        <v>106.5</v>
      </c>
      <c r="D7316" s="6">
        <v>119.5</v>
      </c>
      <c r="E7316" s="6">
        <v>226</v>
      </c>
      <c r="F7316" s="11"/>
    </row>
    <row r="7317" spans="1:6">
      <c r="A7317" s="5" t="str">
        <f t="shared" si="128"/>
        <v>202326</v>
      </c>
      <c r="B7317" s="5" t="str">
        <f>"23085054927"</f>
        <v>23085054927</v>
      </c>
      <c r="C7317" s="6">
        <v>117</v>
      </c>
      <c r="D7317" s="6">
        <v>109</v>
      </c>
      <c r="E7317" s="6">
        <v>226</v>
      </c>
      <c r="F7317" s="11"/>
    </row>
    <row r="7318" spans="1:6">
      <c r="A7318" s="5" t="str">
        <f t="shared" si="128"/>
        <v>202326</v>
      </c>
      <c r="B7318" s="5" t="str">
        <f>"23085054909"</f>
        <v>23085054909</v>
      </c>
      <c r="C7318" s="6">
        <v>112.5</v>
      </c>
      <c r="D7318" s="6">
        <v>113.5</v>
      </c>
      <c r="E7318" s="6">
        <v>226</v>
      </c>
      <c r="F7318" s="11"/>
    </row>
    <row r="7319" spans="1:6">
      <c r="A7319" s="5" t="str">
        <f t="shared" si="128"/>
        <v>202326</v>
      </c>
      <c r="B7319" s="5" t="str">
        <f>"23085054713"</f>
        <v>23085054713</v>
      </c>
      <c r="C7319" s="6">
        <v>99</v>
      </c>
      <c r="D7319" s="6">
        <v>126.5</v>
      </c>
      <c r="E7319" s="6">
        <v>225.5</v>
      </c>
      <c r="F7319" s="11"/>
    </row>
    <row r="7320" spans="1:6">
      <c r="A7320" s="5" t="str">
        <f t="shared" si="128"/>
        <v>202326</v>
      </c>
      <c r="B7320" s="5" t="str">
        <f>"23085054912"</f>
        <v>23085054912</v>
      </c>
      <c r="C7320" s="6">
        <v>109.5</v>
      </c>
      <c r="D7320" s="6">
        <v>115.5</v>
      </c>
      <c r="E7320" s="6">
        <v>225</v>
      </c>
      <c r="F7320" s="11"/>
    </row>
    <row r="7321" spans="1:6">
      <c r="A7321" s="5" t="str">
        <f t="shared" si="128"/>
        <v>202326</v>
      </c>
      <c r="B7321" s="5" t="str">
        <f>"23085054925"</f>
        <v>23085054925</v>
      </c>
      <c r="C7321" s="6">
        <v>111</v>
      </c>
      <c r="D7321" s="6">
        <v>113.5</v>
      </c>
      <c r="E7321" s="6">
        <v>224.5</v>
      </c>
      <c r="F7321" s="11"/>
    </row>
    <row r="7322" spans="1:6">
      <c r="A7322" s="5" t="str">
        <f t="shared" si="128"/>
        <v>202326</v>
      </c>
      <c r="B7322" s="5" t="str">
        <f>"23085054802"</f>
        <v>23085054802</v>
      </c>
      <c r="C7322" s="6">
        <v>109.5</v>
      </c>
      <c r="D7322" s="6">
        <v>114.5</v>
      </c>
      <c r="E7322" s="6">
        <v>224</v>
      </c>
      <c r="F7322" s="11"/>
    </row>
    <row r="7323" spans="1:6">
      <c r="A7323" s="5" t="str">
        <f t="shared" si="128"/>
        <v>202326</v>
      </c>
      <c r="B7323" s="5" t="str">
        <f>"23085054805"</f>
        <v>23085054805</v>
      </c>
      <c r="C7323" s="6">
        <v>112.5</v>
      </c>
      <c r="D7323" s="6">
        <v>111</v>
      </c>
      <c r="E7323" s="6">
        <v>223.5</v>
      </c>
      <c r="F7323" s="11"/>
    </row>
    <row r="7324" spans="1:6">
      <c r="A7324" s="5" t="str">
        <f t="shared" si="128"/>
        <v>202326</v>
      </c>
      <c r="B7324" s="5" t="str">
        <f>"23085054926"</f>
        <v>23085054926</v>
      </c>
      <c r="C7324" s="6">
        <v>112.5</v>
      </c>
      <c r="D7324" s="6">
        <v>111</v>
      </c>
      <c r="E7324" s="6">
        <v>223.5</v>
      </c>
      <c r="F7324" s="11"/>
    </row>
    <row r="7325" spans="1:6">
      <c r="A7325" s="5" t="str">
        <f t="shared" si="128"/>
        <v>202326</v>
      </c>
      <c r="B7325" s="5" t="str">
        <f>"23085054622"</f>
        <v>23085054622</v>
      </c>
      <c r="C7325" s="6">
        <v>108</v>
      </c>
      <c r="D7325" s="6">
        <v>113.5</v>
      </c>
      <c r="E7325" s="6">
        <v>221.5</v>
      </c>
      <c r="F7325" s="11"/>
    </row>
    <row r="7326" spans="1:6">
      <c r="A7326" s="5" t="str">
        <f t="shared" si="128"/>
        <v>202326</v>
      </c>
      <c r="B7326" s="5" t="str">
        <f>"23085054729"</f>
        <v>23085054729</v>
      </c>
      <c r="C7326" s="6">
        <v>106.5</v>
      </c>
      <c r="D7326" s="6">
        <v>115</v>
      </c>
      <c r="E7326" s="6">
        <v>221.5</v>
      </c>
      <c r="F7326" s="11"/>
    </row>
    <row r="7327" spans="1:6">
      <c r="A7327" s="5" t="str">
        <f t="shared" si="128"/>
        <v>202326</v>
      </c>
      <c r="B7327" s="5" t="str">
        <f>"23085054905"</f>
        <v>23085054905</v>
      </c>
      <c r="C7327" s="6">
        <v>102</v>
      </c>
      <c r="D7327" s="6">
        <v>119.5</v>
      </c>
      <c r="E7327" s="6">
        <v>221.5</v>
      </c>
      <c r="F7327" s="11"/>
    </row>
    <row r="7328" spans="1:6">
      <c r="A7328" s="5" t="str">
        <f t="shared" si="128"/>
        <v>202326</v>
      </c>
      <c r="B7328" s="5" t="str">
        <f>"23085054817"</f>
        <v>23085054817</v>
      </c>
      <c r="C7328" s="6">
        <v>108</v>
      </c>
      <c r="D7328" s="6">
        <v>113</v>
      </c>
      <c r="E7328" s="6">
        <v>221</v>
      </c>
      <c r="F7328" s="11"/>
    </row>
    <row r="7329" spans="1:6">
      <c r="A7329" s="5" t="str">
        <f t="shared" si="128"/>
        <v>202326</v>
      </c>
      <c r="B7329" s="5" t="str">
        <f>"23085054612"</f>
        <v>23085054612</v>
      </c>
      <c r="C7329" s="6">
        <v>105</v>
      </c>
      <c r="D7329" s="6">
        <v>116</v>
      </c>
      <c r="E7329" s="6">
        <v>221</v>
      </c>
      <c r="F7329" s="11"/>
    </row>
    <row r="7330" spans="1:6">
      <c r="A7330" s="5" t="str">
        <f t="shared" si="128"/>
        <v>202326</v>
      </c>
      <c r="B7330" s="5" t="str">
        <f>"23085054915"</f>
        <v>23085054915</v>
      </c>
      <c r="C7330" s="6">
        <v>103.5</v>
      </c>
      <c r="D7330" s="6">
        <v>117</v>
      </c>
      <c r="E7330" s="6">
        <v>220.5</v>
      </c>
      <c r="F7330" s="11"/>
    </row>
    <row r="7331" spans="1:6">
      <c r="A7331" s="5" t="str">
        <f t="shared" si="128"/>
        <v>202326</v>
      </c>
      <c r="B7331" s="5" t="str">
        <f>"23085054628"</f>
        <v>23085054628</v>
      </c>
      <c r="C7331" s="6">
        <v>103.5</v>
      </c>
      <c r="D7331" s="6">
        <v>117</v>
      </c>
      <c r="E7331" s="6">
        <v>220.5</v>
      </c>
      <c r="F7331" s="11"/>
    </row>
    <row r="7332" spans="1:6">
      <c r="A7332" s="5" t="str">
        <f t="shared" si="128"/>
        <v>202326</v>
      </c>
      <c r="B7332" s="5" t="str">
        <f>"23085054718"</f>
        <v>23085054718</v>
      </c>
      <c r="C7332" s="6">
        <v>105</v>
      </c>
      <c r="D7332" s="6">
        <v>115</v>
      </c>
      <c r="E7332" s="6">
        <v>220</v>
      </c>
      <c r="F7332" s="11"/>
    </row>
    <row r="7333" spans="1:6">
      <c r="A7333" s="5" t="str">
        <f t="shared" si="128"/>
        <v>202326</v>
      </c>
      <c r="B7333" s="5" t="str">
        <f>"23085054813"</f>
        <v>23085054813</v>
      </c>
      <c r="C7333" s="6">
        <v>102</v>
      </c>
      <c r="D7333" s="6">
        <v>118</v>
      </c>
      <c r="E7333" s="6">
        <v>220</v>
      </c>
      <c r="F7333" s="11"/>
    </row>
    <row r="7334" spans="1:6">
      <c r="A7334" s="5" t="str">
        <f t="shared" si="128"/>
        <v>202326</v>
      </c>
      <c r="B7334" s="5" t="str">
        <f>"23085054828"</f>
        <v>23085054828</v>
      </c>
      <c r="C7334" s="6">
        <v>105</v>
      </c>
      <c r="D7334" s="6">
        <v>114.5</v>
      </c>
      <c r="E7334" s="6">
        <v>219.5</v>
      </c>
      <c r="F7334" s="11"/>
    </row>
    <row r="7335" spans="1:6">
      <c r="A7335" s="5" t="str">
        <f t="shared" si="128"/>
        <v>202326</v>
      </c>
      <c r="B7335" s="5" t="str">
        <f>"23085054714"</f>
        <v>23085054714</v>
      </c>
      <c r="C7335" s="6">
        <v>100.5</v>
      </c>
      <c r="D7335" s="6">
        <v>118.5</v>
      </c>
      <c r="E7335" s="6">
        <v>219</v>
      </c>
      <c r="F7335" s="11"/>
    </row>
    <row r="7336" spans="1:6">
      <c r="A7336" s="5" t="str">
        <f t="shared" si="128"/>
        <v>202326</v>
      </c>
      <c r="B7336" s="5" t="str">
        <f>"23085055001"</f>
        <v>23085055001</v>
      </c>
      <c r="C7336" s="6">
        <v>103.5</v>
      </c>
      <c r="D7336" s="6">
        <v>115.5</v>
      </c>
      <c r="E7336" s="6">
        <v>219</v>
      </c>
      <c r="F7336" s="11"/>
    </row>
    <row r="7337" spans="1:6">
      <c r="A7337" s="5" t="str">
        <f t="shared" si="128"/>
        <v>202326</v>
      </c>
      <c r="B7337" s="5" t="str">
        <f>"23085054712"</f>
        <v>23085054712</v>
      </c>
      <c r="C7337" s="6">
        <v>106.5</v>
      </c>
      <c r="D7337" s="6">
        <v>112.5</v>
      </c>
      <c r="E7337" s="6">
        <v>219</v>
      </c>
      <c r="F7337" s="11"/>
    </row>
    <row r="7338" spans="1:6">
      <c r="A7338" s="5" t="str">
        <f t="shared" si="128"/>
        <v>202326</v>
      </c>
      <c r="B7338" s="5" t="str">
        <f>"23085054814"</f>
        <v>23085054814</v>
      </c>
      <c r="C7338" s="6">
        <v>103.5</v>
      </c>
      <c r="D7338" s="6">
        <v>115</v>
      </c>
      <c r="E7338" s="6">
        <v>218.5</v>
      </c>
      <c r="F7338" s="11"/>
    </row>
    <row r="7339" spans="1:6">
      <c r="A7339" s="5" t="str">
        <f t="shared" si="128"/>
        <v>202326</v>
      </c>
      <c r="B7339" s="5" t="str">
        <f>"23085054701"</f>
        <v>23085054701</v>
      </c>
      <c r="C7339" s="6">
        <v>105</v>
      </c>
      <c r="D7339" s="6">
        <v>113.5</v>
      </c>
      <c r="E7339" s="6">
        <v>218.5</v>
      </c>
      <c r="F7339" s="11"/>
    </row>
    <row r="7340" spans="1:6">
      <c r="A7340" s="5" t="str">
        <f t="shared" si="128"/>
        <v>202326</v>
      </c>
      <c r="B7340" s="5" t="str">
        <f>"23085054804"</f>
        <v>23085054804</v>
      </c>
      <c r="C7340" s="6">
        <v>103.5</v>
      </c>
      <c r="D7340" s="6">
        <v>114</v>
      </c>
      <c r="E7340" s="6">
        <v>217.5</v>
      </c>
      <c r="F7340" s="11"/>
    </row>
    <row r="7341" spans="1:6">
      <c r="A7341" s="5" t="str">
        <f t="shared" si="128"/>
        <v>202326</v>
      </c>
      <c r="B7341" s="5" t="str">
        <f>"23085054821"</f>
        <v>23085054821</v>
      </c>
      <c r="C7341" s="6">
        <v>109.5</v>
      </c>
      <c r="D7341" s="6">
        <v>107.5</v>
      </c>
      <c r="E7341" s="6">
        <v>217</v>
      </c>
      <c r="F7341" s="11"/>
    </row>
    <row r="7342" spans="1:6">
      <c r="A7342" s="5" t="str">
        <f t="shared" si="128"/>
        <v>202326</v>
      </c>
      <c r="B7342" s="5" t="str">
        <f>"23085054918"</f>
        <v>23085054918</v>
      </c>
      <c r="C7342" s="6">
        <v>100.5</v>
      </c>
      <c r="D7342" s="6">
        <v>116</v>
      </c>
      <c r="E7342" s="6">
        <v>216.5</v>
      </c>
      <c r="F7342" s="11"/>
    </row>
    <row r="7343" spans="1:6">
      <c r="A7343" s="5" t="str">
        <f t="shared" si="128"/>
        <v>202326</v>
      </c>
      <c r="B7343" s="5" t="str">
        <f>"23085054907"</f>
        <v>23085054907</v>
      </c>
      <c r="C7343" s="6">
        <v>102</v>
      </c>
      <c r="D7343" s="6">
        <v>114</v>
      </c>
      <c r="E7343" s="6">
        <v>216</v>
      </c>
      <c r="F7343" s="11"/>
    </row>
    <row r="7344" spans="1:6">
      <c r="A7344" s="5" t="str">
        <f t="shared" si="128"/>
        <v>202326</v>
      </c>
      <c r="B7344" s="5" t="str">
        <f>"23085054809"</f>
        <v>23085054809</v>
      </c>
      <c r="C7344" s="6">
        <v>103.5</v>
      </c>
      <c r="D7344" s="6">
        <v>112</v>
      </c>
      <c r="E7344" s="6">
        <v>215.5</v>
      </c>
      <c r="F7344" s="11"/>
    </row>
    <row r="7345" spans="1:6">
      <c r="A7345" s="5" t="str">
        <f t="shared" si="128"/>
        <v>202326</v>
      </c>
      <c r="B7345" s="5" t="str">
        <f>"23085054620"</f>
        <v>23085054620</v>
      </c>
      <c r="C7345" s="6">
        <v>108</v>
      </c>
      <c r="D7345" s="6">
        <v>107</v>
      </c>
      <c r="E7345" s="6">
        <v>215</v>
      </c>
      <c r="F7345" s="11"/>
    </row>
    <row r="7346" spans="1:6">
      <c r="A7346" s="5" t="str">
        <f t="shared" si="128"/>
        <v>202326</v>
      </c>
      <c r="B7346" s="5" t="str">
        <f>"23085054621"</f>
        <v>23085054621</v>
      </c>
      <c r="C7346" s="6">
        <v>96</v>
      </c>
      <c r="D7346" s="6">
        <v>118.5</v>
      </c>
      <c r="E7346" s="6">
        <v>214.5</v>
      </c>
      <c r="F7346" s="11"/>
    </row>
    <row r="7347" spans="1:6">
      <c r="A7347" s="5" t="str">
        <f t="shared" si="128"/>
        <v>202326</v>
      </c>
      <c r="B7347" s="5" t="str">
        <f>"23085054928"</f>
        <v>23085054928</v>
      </c>
      <c r="C7347" s="6">
        <v>97.5</v>
      </c>
      <c r="D7347" s="6">
        <v>117</v>
      </c>
      <c r="E7347" s="6">
        <v>214.5</v>
      </c>
      <c r="F7347" s="11"/>
    </row>
    <row r="7348" spans="1:6">
      <c r="A7348" s="5" t="str">
        <f t="shared" si="128"/>
        <v>202326</v>
      </c>
      <c r="B7348" s="5" t="str">
        <f>"23085054727"</f>
        <v>23085054727</v>
      </c>
      <c r="C7348" s="6">
        <v>106.5</v>
      </c>
      <c r="D7348" s="6">
        <v>107.5</v>
      </c>
      <c r="E7348" s="6">
        <v>214</v>
      </c>
      <c r="F7348" s="11"/>
    </row>
    <row r="7349" spans="1:6">
      <c r="A7349" s="5" t="str">
        <f t="shared" si="128"/>
        <v>202326</v>
      </c>
      <c r="B7349" s="5" t="str">
        <f>"23085054611"</f>
        <v>23085054611</v>
      </c>
      <c r="C7349" s="6">
        <v>94.5</v>
      </c>
      <c r="D7349" s="6">
        <v>119</v>
      </c>
      <c r="E7349" s="6">
        <v>213.5</v>
      </c>
      <c r="F7349" s="11"/>
    </row>
    <row r="7350" spans="1:6">
      <c r="A7350" s="5" t="str">
        <f t="shared" si="128"/>
        <v>202326</v>
      </c>
      <c r="B7350" s="5" t="str">
        <f>"23085054705"</f>
        <v>23085054705</v>
      </c>
      <c r="C7350" s="6">
        <v>103.5</v>
      </c>
      <c r="D7350" s="6">
        <v>109</v>
      </c>
      <c r="E7350" s="6">
        <v>212.5</v>
      </c>
      <c r="F7350" s="11"/>
    </row>
    <row r="7351" spans="1:6">
      <c r="A7351" s="5" t="str">
        <f t="shared" si="128"/>
        <v>202326</v>
      </c>
      <c r="B7351" s="5" t="str">
        <f>"23085054615"</f>
        <v>23085054615</v>
      </c>
      <c r="C7351" s="6">
        <v>105</v>
      </c>
      <c r="D7351" s="6">
        <v>107</v>
      </c>
      <c r="E7351" s="6">
        <v>212</v>
      </c>
      <c r="F7351" s="11"/>
    </row>
    <row r="7352" spans="1:6">
      <c r="A7352" s="5" t="str">
        <f t="shared" si="128"/>
        <v>202326</v>
      </c>
      <c r="B7352" s="5" t="str">
        <f>"23085054627"</f>
        <v>23085054627</v>
      </c>
      <c r="C7352" s="6">
        <v>99</v>
      </c>
      <c r="D7352" s="6">
        <v>112.5</v>
      </c>
      <c r="E7352" s="6">
        <v>211.5</v>
      </c>
      <c r="F7352" s="11"/>
    </row>
    <row r="7353" spans="1:6">
      <c r="A7353" s="5" t="str">
        <f t="shared" si="128"/>
        <v>202326</v>
      </c>
      <c r="B7353" s="5" t="str">
        <f>"23085054724"</f>
        <v>23085054724</v>
      </c>
      <c r="C7353" s="6">
        <v>94.5</v>
      </c>
      <c r="D7353" s="6">
        <v>117</v>
      </c>
      <c r="E7353" s="6">
        <v>211.5</v>
      </c>
      <c r="F7353" s="11"/>
    </row>
    <row r="7354" spans="1:6">
      <c r="A7354" s="5" t="str">
        <f t="shared" si="128"/>
        <v>202326</v>
      </c>
      <c r="B7354" s="5" t="str">
        <f>"23085054808"</f>
        <v>23085054808</v>
      </c>
      <c r="C7354" s="6">
        <v>108</v>
      </c>
      <c r="D7354" s="6">
        <v>103</v>
      </c>
      <c r="E7354" s="6">
        <v>211</v>
      </c>
      <c r="F7354" s="11"/>
    </row>
    <row r="7355" spans="1:6">
      <c r="A7355" s="5" t="str">
        <f t="shared" si="128"/>
        <v>202326</v>
      </c>
      <c r="B7355" s="5" t="str">
        <f>"23085054924"</f>
        <v>23085054924</v>
      </c>
      <c r="C7355" s="6">
        <v>97.5</v>
      </c>
      <c r="D7355" s="6">
        <v>113</v>
      </c>
      <c r="E7355" s="6">
        <v>210.5</v>
      </c>
      <c r="F7355" s="11"/>
    </row>
    <row r="7356" spans="1:6">
      <c r="A7356" s="5" t="str">
        <f t="shared" si="128"/>
        <v>202326</v>
      </c>
      <c r="B7356" s="5" t="str">
        <f>"23085054816"</f>
        <v>23085054816</v>
      </c>
      <c r="C7356" s="6">
        <v>96</v>
      </c>
      <c r="D7356" s="6">
        <v>114</v>
      </c>
      <c r="E7356" s="6">
        <v>210</v>
      </c>
      <c r="F7356" s="11"/>
    </row>
    <row r="7357" spans="1:6">
      <c r="A7357" s="5" t="str">
        <f t="shared" si="128"/>
        <v>202326</v>
      </c>
      <c r="B7357" s="5" t="str">
        <f>"23085054707"</f>
        <v>23085054707</v>
      </c>
      <c r="C7357" s="6">
        <v>84</v>
      </c>
      <c r="D7357" s="6">
        <v>125.5</v>
      </c>
      <c r="E7357" s="6">
        <v>209.5</v>
      </c>
      <c r="F7357" s="11"/>
    </row>
    <row r="7358" spans="1:6">
      <c r="A7358" s="5" t="str">
        <f t="shared" si="128"/>
        <v>202326</v>
      </c>
      <c r="B7358" s="5" t="str">
        <f>"23085054715"</f>
        <v>23085054715</v>
      </c>
      <c r="C7358" s="6">
        <v>91.5</v>
      </c>
      <c r="D7358" s="6">
        <v>116.5</v>
      </c>
      <c r="E7358" s="6">
        <v>208</v>
      </c>
      <c r="F7358" s="11"/>
    </row>
    <row r="7359" spans="1:6">
      <c r="A7359" s="5" t="str">
        <f t="shared" si="128"/>
        <v>202326</v>
      </c>
      <c r="B7359" s="5" t="str">
        <f>"23085054917"</f>
        <v>23085054917</v>
      </c>
      <c r="C7359" s="6">
        <v>96</v>
      </c>
      <c r="D7359" s="6">
        <v>111.5</v>
      </c>
      <c r="E7359" s="6">
        <v>207.5</v>
      </c>
      <c r="F7359" s="11"/>
    </row>
    <row r="7360" spans="1:6">
      <c r="A7360" s="5" t="str">
        <f t="shared" si="128"/>
        <v>202326</v>
      </c>
      <c r="B7360" s="5" t="str">
        <f>"23085054911"</f>
        <v>23085054911</v>
      </c>
      <c r="C7360" s="6">
        <v>97.5</v>
      </c>
      <c r="D7360" s="6">
        <v>109</v>
      </c>
      <c r="E7360" s="6">
        <v>206.5</v>
      </c>
      <c r="F7360" s="11"/>
    </row>
    <row r="7361" spans="1:6">
      <c r="A7361" s="5" t="str">
        <f t="shared" si="128"/>
        <v>202326</v>
      </c>
      <c r="B7361" s="5" t="str">
        <f>"23085054721"</f>
        <v>23085054721</v>
      </c>
      <c r="C7361" s="6">
        <v>90</v>
      </c>
      <c r="D7361" s="6">
        <v>116</v>
      </c>
      <c r="E7361" s="6">
        <v>206</v>
      </c>
      <c r="F7361" s="11"/>
    </row>
    <row r="7362" spans="1:6">
      <c r="A7362" s="5" t="str">
        <f t="shared" si="128"/>
        <v>202326</v>
      </c>
      <c r="B7362" s="5" t="str">
        <f>"23085054822"</f>
        <v>23085054822</v>
      </c>
      <c r="C7362" s="6">
        <v>96</v>
      </c>
      <c r="D7362" s="6">
        <v>109.5</v>
      </c>
      <c r="E7362" s="6">
        <v>205.5</v>
      </c>
      <c r="F7362" s="11"/>
    </row>
    <row r="7363" spans="1:6">
      <c r="A7363" s="5" t="str">
        <f t="shared" si="128"/>
        <v>202326</v>
      </c>
      <c r="B7363" s="5" t="str">
        <f>"23085054920"</f>
        <v>23085054920</v>
      </c>
      <c r="C7363" s="6">
        <v>90</v>
      </c>
      <c r="D7363" s="6">
        <v>114.5</v>
      </c>
      <c r="E7363" s="6">
        <v>204.5</v>
      </c>
      <c r="F7363" s="11"/>
    </row>
    <row r="7364" spans="1:6">
      <c r="A7364" s="5" t="str">
        <f t="shared" si="128"/>
        <v>202326</v>
      </c>
      <c r="B7364" s="5" t="str">
        <f>"23085054624"</f>
        <v>23085054624</v>
      </c>
      <c r="C7364" s="6">
        <v>90</v>
      </c>
      <c r="D7364" s="6">
        <v>114</v>
      </c>
      <c r="E7364" s="6">
        <v>204</v>
      </c>
      <c r="F7364" s="11"/>
    </row>
    <row r="7365" spans="1:6">
      <c r="A7365" s="5" t="str">
        <f t="shared" si="128"/>
        <v>202326</v>
      </c>
      <c r="B7365" s="5" t="str">
        <f>"23085054916"</f>
        <v>23085054916</v>
      </c>
      <c r="C7365" s="6">
        <v>93</v>
      </c>
      <c r="D7365" s="6">
        <v>110</v>
      </c>
      <c r="E7365" s="6">
        <v>203</v>
      </c>
      <c r="F7365" s="11"/>
    </row>
    <row r="7366" spans="1:6">
      <c r="A7366" s="5" t="str">
        <f t="shared" si="128"/>
        <v>202326</v>
      </c>
      <c r="B7366" s="5" t="str">
        <f>"23085054922"</f>
        <v>23085054922</v>
      </c>
      <c r="C7366" s="6">
        <v>88.5</v>
      </c>
      <c r="D7366" s="6">
        <v>114</v>
      </c>
      <c r="E7366" s="6">
        <v>202.5</v>
      </c>
      <c r="F7366" s="11"/>
    </row>
    <row r="7367" spans="1:6">
      <c r="A7367" s="5" t="str">
        <f t="shared" ref="A7367:A7413" si="129">"202326"</f>
        <v>202326</v>
      </c>
      <c r="B7367" s="5" t="str">
        <f>"23085054818"</f>
        <v>23085054818</v>
      </c>
      <c r="C7367" s="6">
        <v>90</v>
      </c>
      <c r="D7367" s="6">
        <v>112</v>
      </c>
      <c r="E7367" s="6">
        <v>202</v>
      </c>
      <c r="F7367" s="11"/>
    </row>
    <row r="7368" spans="1:6">
      <c r="A7368" s="5" t="str">
        <f t="shared" si="129"/>
        <v>202326</v>
      </c>
      <c r="B7368" s="5" t="str">
        <f>"23085054708"</f>
        <v>23085054708</v>
      </c>
      <c r="C7368" s="6">
        <v>87</v>
      </c>
      <c r="D7368" s="6">
        <v>114</v>
      </c>
      <c r="E7368" s="6">
        <v>201</v>
      </c>
      <c r="F7368" s="11"/>
    </row>
    <row r="7369" spans="1:6">
      <c r="A7369" s="5" t="str">
        <f t="shared" si="129"/>
        <v>202326</v>
      </c>
      <c r="B7369" s="5" t="str">
        <f>"23085054801"</f>
        <v>23085054801</v>
      </c>
      <c r="C7369" s="6">
        <v>85.5</v>
      </c>
      <c r="D7369" s="6">
        <v>114.5</v>
      </c>
      <c r="E7369" s="6">
        <v>200</v>
      </c>
      <c r="F7369" s="11"/>
    </row>
    <row r="7370" spans="1:6">
      <c r="A7370" s="5" t="str">
        <f t="shared" si="129"/>
        <v>202326</v>
      </c>
      <c r="B7370" s="5" t="str">
        <f>"23085054629"</f>
        <v>23085054629</v>
      </c>
      <c r="C7370" s="6">
        <v>88.5</v>
      </c>
      <c r="D7370" s="6">
        <v>110.5</v>
      </c>
      <c r="E7370" s="6">
        <v>199</v>
      </c>
      <c r="F7370" s="11"/>
    </row>
    <row r="7371" spans="1:6">
      <c r="A7371" s="5" t="str">
        <f t="shared" si="129"/>
        <v>202326</v>
      </c>
      <c r="B7371" s="5" t="str">
        <f>"23085054719"</f>
        <v>23085054719</v>
      </c>
      <c r="C7371" s="6">
        <v>81</v>
      </c>
      <c r="D7371" s="6">
        <v>118</v>
      </c>
      <c r="E7371" s="6">
        <v>199</v>
      </c>
      <c r="F7371" s="11"/>
    </row>
    <row r="7372" spans="1:6">
      <c r="A7372" s="5" t="str">
        <f t="shared" si="129"/>
        <v>202326</v>
      </c>
      <c r="B7372" s="5" t="str">
        <f>"23085054630"</f>
        <v>23085054630</v>
      </c>
      <c r="C7372" s="6">
        <v>94.5</v>
      </c>
      <c r="D7372" s="6">
        <v>104.5</v>
      </c>
      <c r="E7372" s="6">
        <v>199</v>
      </c>
      <c r="F7372" s="11"/>
    </row>
    <row r="7373" spans="1:6">
      <c r="A7373" s="5" t="str">
        <f t="shared" si="129"/>
        <v>202326</v>
      </c>
      <c r="B7373" s="5" t="str">
        <f>"23085054717"</f>
        <v>23085054717</v>
      </c>
      <c r="C7373" s="6">
        <v>85.5</v>
      </c>
      <c r="D7373" s="6">
        <v>113.5</v>
      </c>
      <c r="E7373" s="6">
        <v>199</v>
      </c>
      <c r="F7373" s="11"/>
    </row>
    <row r="7374" spans="1:6">
      <c r="A7374" s="5" t="str">
        <f t="shared" si="129"/>
        <v>202326</v>
      </c>
      <c r="B7374" s="5" t="str">
        <f>"23085054720"</f>
        <v>23085054720</v>
      </c>
      <c r="C7374" s="6">
        <v>88.5</v>
      </c>
      <c r="D7374" s="6">
        <v>110.5</v>
      </c>
      <c r="E7374" s="6">
        <v>199</v>
      </c>
      <c r="F7374" s="11"/>
    </row>
    <row r="7375" spans="1:6">
      <c r="A7375" s="5" t="str">
        <f t="shared" si="129"/>
        <v>202326</v>
      </c>
      <c r="B7375" s="5" t="str">
        <f>"23085054730"</f>
        <v>23085054730</v>
      </c>
      <c r="C7375" s="6">
        <v>82.5</v>
      </c>
      <c r="D7375" s="6">
        <v>115</v>
      </c>
      <c r="E7375" s="6">
        <v>197.5</v>
      </c>
      <c r="F7375" s="11"/>
    </row>
    <row r="7376" spans="1:6">
      <c r="A7376" s="5" t="str">
        <f t="shared" si="129"/>
        <v>202326</v>
      </c>
      <c r="B7376" s="5" t="str">
        <f>"23085054902"</f>
        <v>23085054902</v>
      </c>
      <c r="C7376" s="6">
        <v>87</v>
      </c>
      <c r="D7376" s="6">
        <v>109.5</v>
      </c>
      <c r="E7376" s="6">
        <v>196.5</v>
      </c>
      <c r="F7376" s="11"/>
    </row>
    <row r="7377" spans="1:6">
      <c r="A7377" s="5" t="str">
        <f t="shared" si="129"/>
        <v>202326</v>
      </c>
      <c r="B7377" s="5" t="str">
        <f>"23085054829"</f>
        <v>23085054829</v>
      </c>
      <c r="C7377" s="6">
        <v>78</v>
      </c>
      <c r="D7377" s="6">
        <v>118</v>
      </c>
      <c r="E7377" s="6">
        <v>196</v>
      </c>
      <c r="F7377" s="11"/>
    </row>
    <row r="7378" spans="1:6">
      <c r="A7378" s="5" t="str">
        <f t="shared" si="129"/>
        <v>202326</v>
      </c>
      <c r="B7378" s="5" t="str">
        <f>"23085054706"</f>
        <v>23085054706</v>
      </c>
      <c r="C7378" s="6">
        <v>73.5</v>
      </c>
      <c r="D7378" s="6">
        <v>121.5</v>
      </c>
      <c r="E7378" s="6">
        <v>195</v>
      </c>
      <c r="F7378" s="11"/>
    </row>
    <row r="7379" spans="1:6">
      <c r="A7379" s="5" t="str">
        <f t="shared" si="129"/>
        <v>202326</v>
      </c>
      <c r="B7379" s="5" t="str">
        <f>"23085054908"</f>
        <v>23085054908</v>
      </c>
      <c r="C7379" s="6">
        <v>82.5</v>
      </c>
      <c r="D7379" s="6">
        <v>108.5</v>
      </c>
      <c r="E7379" s="6">
        <v>191</v>
      </c>
      <c r="F7379" s="11"/>
    </row>
    <row r="7380" spans="1:6">
      <c r="A7380" s="5" t="str">
        <f t="shared" si="129"/>
        <v>202326</v>
      </c>
      <c r="B7380" s="5" t="str">
        <f>"23085054807"</f>
        <v>23085054807</v>
      </c>
      <c r="C7380" s="6">
        <v>69</v>
      </c>
      <c r="D7380" s="6">
        <v>120.5</v>
      </c>
      <c r="E7380" s="6">
        <v>189.5</v>
      </c>
      <c r="F7380" s="11"/>
    </row>
    <row r="7381" spans="1:6">
      <c r="A7381" s="5" t="str">
        <f t="shared" si="129"/>
        <v>202326</v>
      </c>
      <c r="B7381" s="5" t="str">
        <f>"23085054824"</f>
        <v>23085054824</v>
      </c>
      <c r="C7381" s="6">
        <v>90</v>
      </c>
      <c r="D7381" s="6">
        <v>98</v>
      </c>
      <c r="E7381" s="6">
        <v>188</v>
      </c>
      <c r="F7381" s="11"/>
    </row>
    <row r="7382" spans="1:6">
      <c r="A7382" s="5" t="str">
        <f t="shared" si="129"/>
        <v>202326</v>
      </c>
      <c r="B7382" s="5" t="str">
        <f>"23085054728"</f>
        <v>23085054728</v>
      </c>
      <c r="C7382" s="6">
        <v>63</v>
      </c>
      <c r="D7382" s="6">
        <v>123</v>
      </c>
      <c r="E7382" s="6">
        <v>186</v>
      </c>
      <c r="F7382" s="11"/>
    </row>
    <row r="7383" spans="1:6">
      <c r="A7383" s="5" t="str">
        <f t="shared" si="129"/>
        <v>202326</v>
      </c>
      <c r="B7383" s="5" t="str">
        <f>"23085054626"</f>
        <v>23085054626</v>
      </c>
      <c r="C7383" s="6">
        <v>64.5</v>
      </c>
      <c r="D7383" s="6">
        <v>115.5</v>
      </c>
      <c r="E7383" s="6">
        <v>180</v>
      </c>
      <c r="F7383" s="11"/>
    </row>
    <row r="7384" spans="1:6">
      <c r="A7384" s="5" t="str">
        <f t="shared" si="129"/>
        <v>202326</v>
      </c>
      <c r="B7384" s="5" t="str">
        <f>"23085054806"</f>
        <v>23085054806</v>
      </c>
      <c r="C7384" s="6">
        <v>88.5</v>
      </c>
      <c r="D7384" s="6">
        <v>87</v>
      </c>
      <c r="E7384" s="6">
        <v>175.5</v>
      </c>
      <c r="F7384" s="11"/>
    </row>
    <row r="7385" spans="1:6">
      <c r="A7385" s="5" t="str">
        <f t="shared" si="129"/>
        <v>202326</v>
      </c>
      <c r="B7385" s="5" t="str">
        <f>"23085054904"</f>
        <v>23085054904</v>
      </c>
      <c r="C7385" s="6">
        <v>63</v>
      </c>
      <c r="D7385" s="6">
        <v>108.5</v>
      </c>
      <c r="E7385" s="6">
        <v>171.5</v>
      </c>
      <c r="F7385" s="11"/>
    </row>
    <row r="7386" spans="1:6">
      <c r="A7386" s="5" t="str">
        <f t="shared" si="129"/>
        <v>202326</v>
      </c>
      <c r="B7386" s="5" t="str">
        <f>"23085054619"</f>
        <v>23085054619</v>
      </c>
      <c r="C7386" s="6">
        <v>66</v>
      </c>
      <c r="D7386" s="6">
        <v>98</v>
      </c>
      <c r="E7386" s="6">
        <v>164</v>
      </c>
      <c r="F7386" s="11"/>
    </row>
    <row r="7387" spans="1:6">
      <c r="A7387" s="5" t="str">
        <f t="shared" si="129"/>
        <v>202326</v>
      </c>
      <c r="B7387" s="5" t="str">
        <f>"23085054906"</f>
        <v>23085054906</v>
      </c>
      <c r="C7387" s="6">
        <v>72</v>
      </c>
      <c r="D7387" s="6">
        <v>84</v>
      </c>
      <c r="E7387" s="6">
        <v>156</v>
      </c>
      <c r="F7387" s="11"/>
    </row>
    <row r="7388" spans="1:6">
      <c r="A7388" s="5" t="str">
        <f t="shared" si="129"/>
        <v>202326</v>
      </c>
      <c r="B7388" s="5" t="str">
        <f>"23085054919"</f>
        <v>23085054919</v>
      </c>
      <c r="C7388" s="6">
        <v>40.5</v>
      </c>
      <c r="D7388" s="6">
        <v>112.5</v>
      </c>
      <c r="E7388" s="6">
        <v>153</v>
      </c>
      <c r="F7388" s="11"/>
    </row>
    <row r="7389" spans="1:6">
      <c r="A7389" s="5" t="str">
        <f t="shared" si="129"/>
        <v>202326</v>
      </c>
      <c r="B7389" s="5" t="str">
        <f>"23085054722"</f>
        <v>23085054722</v>
      </c>
      <c r="C7389" s="6">
        <v>0</v>
      </c>
      <c r="D7389" s="6">
        <v>0</v>
      </c>
      <c r="E7389" s="6">
        <v>0</v>
      </c>
      <c r="F7389" s="11" t="s">
        <v>7</v>
      </c>
    </row>
    <row r="7390" spans="1:6">
      <c r="A7390" s="5" t="str">
        <f t="shared" si="129"/>
        <v>202326</v>
      </c>
      <c r="B7390" s="5" t="str">
        <f>"23085054803"</f>
        <v>23085054803</v>
      </c>
      <c r="C7390" s="6">
        <v>0</v>
      </c>
      <c r="D7390" s="6">
        <v>0</v>
      </c>
      <c r="E7390" s="6">
        <v>0</v>
      </c>
      <c r="F7390" s="11" t="s">
        <v>7</v>
      </c>
    </row>
    <row r="7391" spans="1:6">
      <c r="A7391" s="5" t="str">
        <f t="shared" si="129"/>
        <v>202326</v>
      </c>
      <c r="B7391" s="5" t="str">
        <f>"23085054827"</f>
        <v>23085054827</v>
      </c>
      <c r="C7391" s="6">
        <v>0</v>
      </c>
      <c r="D7391" s="6">
        <v>0</v>
      </c>
      <c r="E7391" s="6">
        <v>0</v>
      </c>
      <c r="F7391" s="11" t="s">
        <v>7</v>
      </c>
    </row>
    <row r="7392" spans="1:6">
      <c r="A7392" s="5" t="str">
        <f t="shared" si="129"/>
        <v>202326</v>
      </c>
      <c r="B7392" s="5" t="str">
        <f>"23085054929"</f>
        <v>23085054929</v>
      </c>
      <c r="C7392" s="6">
        <v>0</v>
      </c>
      <c r="D7392" s="6">
        <v>0</v>
      </c>
      <c r="E7392" s="6">
        <v>0</v>
      </c>
      <c r="F7392" s="11" t="s">
        <v>7</v>
      </c>
    </row>
    <row r="7393" spans="1:6">
      <c r="A7393" s="5" t="str">
        <f t="shared" si="129"/>
        <v>202326</v>
      </c>
      <c r="B7393" s="5" t="str">
        <f>"23085054923"</f>
        <v>23085054923</v>
      </c>
      <c r="C7393" s="6">
        <v>0</v>
      </c>
      <c r="D7393" s="6">
        <v>0</v>
      </c>
      <c r="E7393" s="6">
        <v>0</v>
      </c>
      <c r="F7393" s="11" t="s">
        <v>7</v>
      </c>
    </row>
    <row r="7394" spans="1:6">
      <c r="A7394" s="5" t="str">
        <f t="shared" si="129"/>
        <v>202326</v>
      </c>
      <c r="B7394" s="5" t="str">
        <f>"23085054625"</f>
        <v>23085054625</v>
      </c>
      <c r="C7394" s="6">
        <v>0</v>
      </c>
      <c r="D7394" s="6">
        <v>0</v>
      </c>
      <c r="E7394" s="6">
        <v>0</v>
      </c>
      <c r="F7394" s="11" t="s">
        <v>7</v>
      </c>
    </row>
    <row r="7395" spans="1:6">
      <c r="A7395" s="5" t="str">
        <f t="shared" si="129"/>
        <v>202326</v>
      </c>
      <c r="B7395" s="5" t="str">
        <f>"23085054702"</f>
        <v>23085054702</v>
      </c>
      <c r="C7395" s="6">
        <v>0</v>
      </c>
      <c r="D7395" s="6">
        <v>0</v>
      </c>
      <c r="E7395" s="6">
        <v>0</v>
      </c>
      <c r="F7395" s="11" t="s">
        <v>7</v>
      </c>
    </row>
    <row r="7396" spans="1:6">
      <c r="A7396" s="5" t="str">
        <f t="shared" si="129"/>
        <v>202326</v>
      </c>
      <c r="B7396" s="5" t="str">
        <f>"23085054726"</f>
        <v>23085054726</v>
      </c>
      <c r="C7396" s="6">
        <v>0</v>
      </c>
      <c r="D7396" s="6">
        <v>0</v>
      </c>
      <c r="E7396" s="6">
        <v>0</v>
      </c>
      <c r="F7396" s="11" t="s">
        <v>7</v>
      </c>
    </row>
    <row r="7397" spans="1:6">
      <c r="A7397" s="5" t="str">
        <f t="shared" si="129"/>
        <v>202326</v>
      </c>
      <c r="B7397" s="5" t="str">
        <f>"23085054826"</f>
        <v>23085054826</v>
      </c>
      <c r="C7397" s="6">
        <v>0</v>
      </c>
      <c r="D7397" s="6">
        <v>0</v>
      </c>
      <c r="E7397" s="6">
        <v>0</v>
      </c>
      <c r="F7397" s="11" t="s">
        <v>7</v>
      </c>
    </row>
    <row r="7398" spans="1:6">
      <c r="A7398" s="5" t="str">
        <f t="shared" si="129"/>
        <v>202326</v>
      </c>
      <c r="B7398" s="5" t="str">
        <f>"23085054825"</f>
        <v>23085054825</v>
      </c>
      <c r="C7398" s="6">
        <v>0</v>
      </c>
      <c r="D7398" s="6">
        <v>0</v>
      </c>
      <c r="E7398" s="6">
        <v>0</v>
      </c>
      <c r="F7398" s="11" t="s">
        <v>7</v>
      </c>
    </row>
    <row r="7399" spans="1:6">
      <c r="A7399" s="5" t="str">
        <f t="shared" si="129"/>
        <v>202326</v>
      </c>
      <c r="B7399" s="5" t="str">
        <f>"23085054725"</f>
        <v>23085054725</v>
      </c>
      <c r="C7399" s="6">
        <v>0</v>
      </c>
      <c r="D7399" s="6">
        <v>0</v>
      </c>
      <c r="E7399" s="6">
        <v>0</v>
      </c>
      <c r="F7399" s="11" t="s">
        <v>7</v>
      </c>
    </row>
    <row r="7400" spans="1:6">
      <c r="A7400" s="5" t="str">
        <f t="shared" si="129"/>
        <v>202326</v>
      </c>
      <c r="B7400" s="5" t="str">
        <f>"23085054704"</f>
        <v>23085054704</v>
      </c>
      <c r="C7400" s="6">
        <v>0</v>
      </c>
      <c r="D7400" s="6">
        <v>0</v>
      </c>
      <c r="E7400" s="6">
        <v>0</v>
      </c>
      <c r="F7400" s="11" t="s">
        <v>7</v>
      </c>
    </row>
    <row r="7401" spans="1:6">
      <c r="A7401" s="5" t="str">
        <f t="shared" si="129"/>
        <v>202326</v>
      </c>
      <c r="B7401" s="5" t="str">
        <f>"23085054910"</f>
        <v>23085054910</v>
      </c>
      <c r="C7401" s="6">
        <v>0</v>
      </c>
      <c r="D7401" s="6">
        <v>0</v>
      </c>
      <c r="E7401" s="6">
        <v>0</v>
      </c>
      <c r="F7401" s="11" t="s">
        <v>7</v>
      </c>
    </row>
    <row r="7402" spans="1:6">
      <c r="A7402" s="5" t="str">
        <f t="shared" si="129"/>
        <v>202326</v>
      </c>
      <c r="B7402" s="5" t="str">
        <f>"23085054810"</f>
        <v>23085054810</v>
      </c>
      <c r="C7402" s="6">
        <v>0</v>
      </c>
      <c r="D7402" s="6">
        <v>0</v>
      </c>
      <c r="E7402" s="6">
        <v>0</v>
      </c>
      <c r="F7402" s="11" t="s">
        <v>7</v>
      </c>
    </row>
    <row r="7403" spans="1:6">
      <c r="A7403" s="5" t="str">
        <f t="shared" si="129"/>
        <v>202326</v>
      </c>
      <c r="B7403" s="5" t="str">
        <f>"23085054820"</f>
        <v>23085054820</v>
      </c>
      <c r="C7403" s="6">
        <v>0</v>
      </c>
      <c r="D7403" s="6">
        <v>0</v>
      </c>
      <c r="E7403" s="6">
        <v>0</v>
      </c>
      <c r="F7403" s="11" t="s">
        <v>7</v>
      </c>
    </row>
    <row r="7404" spans="1:6">
      <c r="A7404" s="5" t="str">
        <f t="shared" si="129"/>
        <v>202326</v>
      </c>
      <c r="B7404" s="5" t="str">
        <f>"23085054614"</f>
        <v>23085054614</v>
      </c>
      <c r="C7404" s="6">
        <v>0</v>
      </c>
      <c r="D7404" s="6">
        <v>0</v>
      </c>
      <c r="E7404" s="6">
        <v>0</v>
      </c>
      <c r="F7404" s="11" t="s">
        <v>7</v>
      </c>
    </row>
    <row r="7405" spans="1:6">
      <c r="A7405" s="5" t="str">
        <f t="shared" si="129"/>
        <v>202326</v>
      </c>
      <c r="B7405" s="5" t="str">
        <f>"23085054617"</f>
        <v>23085054617</v>
      </c>
      <c r="C7405" s="6">
        <v>0</v>
      </c>
      <c r="D7405" s="6">
        <v>0</v>
      </c>
      <c r="E7405" s="6">
        <v>0</v>
      </c>
      <c r="F7405" s="11" t="s">
        <v>7</v>
      </c>
    </row>
    <row r="7406" spans="1:6">
      <c r="A7406" s="5" t="str">
        <f t="shared" si="129"/>
        <v>202326</v>
      </c>
      <c r="B7406" s="5" t="str">
        <f>"23085054613"</f>
        <v>23085054613</v>
      </c>
      <c r="C7406" s="6">
        <v>0</v>
      </c>
      <c r="D7406" s="6">
        <v>0</v>
      </c>
      <c r="E7406" s="6">
        <v>0</v>
      </c>
      <c r="F7406" s="11" t="s">
        <v>7</v>
      </c>
    </row>
    <row r="7407" spans="1:6">
      <c r="A7407" s="5" t="str">
        <f t="shared" si="129"/>
        <v>202326</v>
      </c>
      <c r="B7407" s="5" t="str">
        <f>"23085054819"</f>
        <v>23085054819</v>
      </c>
      <c r="C7407" s="6">
        <v>0</v>
      </c>
      <c r="D7407" s="6">
        <v>0</v>
      </c>
      <c r="E7407" s="6">
        <v>0</v>
      </c>
      <c r="F7407" s="11" t="s">
        <v>7</v>
      </c>
    </row>
    <row r="7408" spans="1:6">
      <c r="A7408" s="5" t="str">
        <f t="shared" si="129"/>
        <v>202326</v>
      </c>
      <c r="B7408" s="5" t="str">
        <f>"23085054901"</f>
        <v>23085054901</v>
      </c>
      <c r="C7408" s="6">
        <v>0</v>
      </c>
      <c r="D7408" s="6">
        <v>0</v>
      </c>
      <c r="E7408" s="6">
        <v>0</v>
      </c>
      <c r="F7408" s="11" t="s">
        <v>7</v>
      </c>
    </row>
    <row r="7409" spans="1:6">
      <c r="A7409" s="5" t="str">
        <f t="shared" si="129"/>
        <v>202326</v>
      </c>
      <c r="B7409" s="5" t="str">
        <f>"23085054623"</f>
        <v>23085054623</v>
      </c>
      <c r="C7409" s="6">
        <v>0</v>
      </c>
      <c r="D7409" s="6">
        <v>0</v>
      </c>
      <c r="E7409" s="6">
        <v>0</v>
      </c>
      <c r="F7409" s="11" t="s">
        <v>7</v>
      </c>
    </row>
    <row r="7410" spans="1:6">
      <c r="A7410" s="5" t="str">
        <f t="shared" si="129"/>
        <v>202326</v>
      </c>
      <c r="B7410" s="5" t="str">
        <f>"23085054930"</f>
        <v>23085054930</v>
      </c>
      <c r="C7410" s="6">
        <v>0</v>
      </c>
      <c r="D7410" s="6">
        <v>0</v>
      </c>
      <c r="E7410" s="6">
        <v>0</v>
      </c>
      <c r="F7410" s="11" t="s">
        <v>7</v>
      </c>
    </row>
    <row r="7411" spans="1:6">
      <c r="A7411" s="5" t="str">
        <f t="shared" si="129"/>
        <v>202326</v>
      </c>
      <c r="B7411" s="5" t="str">
        <f>"23085054921"</f>
        <v>23085054921</v>
      </c>
      <c r="C7411" s="6">
        <v>0</v>
      </c>
      <c r="D7411" s="6">
        <v>0</v>
      </c>
      <c r="E7411" s="6">
        <v>0</v>
      </c>
      <c r="F7411" s="11" t="s">
        <v>7</v>
      </c>
    </row>
    <row r="7412" spans="1:6">
      <c r="A7412" s="5" t="str">
        <f t="shared" si="129"/>
        <v>202326</v>
      </c>
      <c r="B7412" s="5" t="str">
        <f>"23085054711"</f>
        <v>23085054711</v>
      </c>
      <c r="C7412" s="6">
        <v>0</v>
      </c>
      <c r="D7412" s="6">
        <v>0</v>
      </c>
      <c r="E7412" s="6">
        <v>0</v>
      </c>
      <c r="F7412" s="11" t="s">
        <v>7</v>
      </c>
    </row>
    <row r="7413" spans="1:6">
      <c r="A7413" s="5" t="str">
        <f t="shared" si="129"/>
        <v>202326</v>
      </c>
      <c r="B7413" s="5" t="str">
        <f>"23085054709"</f>
        <v>23085054709</v>
      </c>
      <c r="C7413" s="6">
        <v>0</v>
      </c>
      <c r="D7413" s="6">
        <v>0</v>
      </c>
      <c r="E7413" s="6">
        <v>0</v>
      </c>
      <c r="F7413" s="11" t="s">
        <v>7</v>
      </c>
    </row>
    <row r="7414" spans="1:6">
      <c r="A7414" s="5" t="str">
        <f t="shared" ref="A7414:A7477" si="130">"202327"</f>
        <v>202327</v>
      </c>
      <c r="B7414" s="5" t="str">
        <f>"23085055104"</f>
        <v>23085055104</v>
      </c>
      <c r="C7414" s="6">
        <v>112.5</v>
      </c>
      <c r="D7414" s="6">
        <v>123.5</v>
      </c>
      <c r="E7414" s="6">
        <v>236</v>
      </c>
      <c r="F7414" s="11"/>
    </row>
    <row r="7415" spans="1:6">
      <c r="A7415" s="5" t="str">
        <f t="shared" si="130"/>
        <v>202327</v>
      </c>
      <c r="B7415" s="5" t="str">
        <f>"23085055124"</f>
        <v>23085055124</v>
      </c>
      <c r="C7415" s="6">
        <v>117</v>
      </c>
      <c r="D7415" s="6">
        <v>116.5</v>
      </c>
      <c r="E7415" s="6">
        <v>233.5</v>
      </c>
      <c r="F7415" s="11"/>
    </row>
    <row r="7416" spans="1:6">
      <c r="A7416" s="5" t="str">
        <f t="shared" si="130"/>
        <v>202327</v>
      </c>
      <c r="B7416" s="5" t="str">
        <f>"23085055108"</f>
        <v>23085055108</v>
      </c>
      <c r="C7416" s="6">
        <v>121.5</v>
      </c>
      <c r="D7416" s="6">
        <v>110.5</v>
      </c>
      <c r="E7416" s="6">
        <v>232</v>
      </c>
      <c r="F7416" s="11"/>
    </row>
    <row r="7417" spans="1:6">
      <c r="A7417" s="5" t="str">
        <f t="shared" si="130"/>
        <v>202327</v>
      </c>
      <c r="B7417" s="5" t="str">
        <f>"23085055005"</f>
        <v>23085055005</v>
      </c>
      <c r="C7417" s="6">
        <v>109.5</v>
      </c>
      <c r="D7417" s="6">
        <v>120</v>
      </c>
      <c r="E7417" s="6">
        <v>229.5</v>
      </c>
      <c r="F7417" s="11"/>
    </row>
    <row r="7418" spans="1:6">
      <c r="A7418" s="5" t="str">
        <f t="shared" si="130"/>
        <v>202327</v>
      </c>
      <c r="B7418" s="5" t="str">
        <f>"23085055301"</f>
        <v>23085055301</v>
      </c>
      <c r="C7418" s="6">
        <v>109.5</v>
      </c>
      <c r="D7418" s="6">
        <v>117</v>
      </c>
      <c r="E7418" s="6">
        <v>226.5</v>
      </c>
      <c r="F7418" s="11"/>
    </row>
    <row r="7419" spans="1:6">
      <c r="A7419" s="5" t="str">
        <f t="shared" si="130"/>
        <v>202327</v>
      </c>
      <c r="B7419" s="5" t="str">
        <f>"23085055303"</f>
        <v>23085055303</v>
      </c>
      <c r="C7419" s="6">
        <v>106.5</v>
      </c>
      <c r="D7419" s="6">
        <v>119.5</v>
      </c>
      <c r="E7419" s="6">
        <v>226</v>
      </c>
      <c r="F7419" s="11"/>
    </row>
    <row r="7420" spans="1:6">
      <c r="A7420" s="5" t="str">
        <f t="shared" si="130"/>
        <v>202327</v>
      </c>
      <c r="B7420" s="5" t="str">
        <f>"23085055223"</f>
        <v>23085055223</v>
      </c>
      <c r="C7420" s="6">
        <v>100.5</v>
      </c>
      <c r="D7420" s="6">
        <v>121</v>
      </c>
      <c r="E7420" s="6">
        <v>221.5</v>
      </c>
      <c r="F7420" s="11"/>
    </row>
    <row r="7421" spans="1:6">
      <c r="A7421" s="5" t="str">
        <f t="shared" si="130"/>
        <v>202327</v>
      </c>
      <c r="B7421" s="5" t="str">
        <f>"23085055111"</f>
        <v>23085055111</v>
      </c>
      <c r="C7421" s="6">
        <v>109.5</v>
      </c>
      <c r="D7421" s="6">
        <v>112</v>
      </c>
      <c r="E7421" s="6">
        <v>221.5</v>
      </c>
      <c r="F7421" s="11"/>
    </row>
    <row r="7422" spans="1:6">
      <c r="A7422" s="5" t="str">
        <f t="shared" si="130"/>
        <v>202327</v>
      </c>
      <c r="B7422" s="5" t="str">
        <f>"23085055230"</f>
        <v>23085055230</v>
      </c>
      <c r="C7422" s="6">
        <v>103.5</v>
      </c>
      <c r="D7422" s="6">
        <v>117.5</v>
      </c>
      <c r="E7422" s="6">
        <v>221</v>
      </c>
      <c r="F7422" s="11"/>
    </row>
    <row r="7423" spans="1:6">
      <c r="A7423" s="5" t="str">
        <f t="shared" si="130"/>
        <v>202327</v>
      </c>
      <c r="B7423" s="5" t="str">
        <f>"23085055219"</f>
        <v>23085055219</v>
      </c>
      <c r="C7423" s="6">
        <v>99</v>
      </c>
      <c r="D7423" s="6">
        <v>122</v>
      </c>
      <c r="E7423" s="6">
        <v>221</v>
      </c>
      <c r="F7423" s="11"/>
    </row>
    <row r="7424" spans="1:6">
      <c r="A7424" s="5" t="str">
        <f t="shared" si="130"/>
        <v>202327</v>
      </c>
      <c r="B7424" s="5" t="str">
        <f>"23085055210"</f>
        <v>23085055210</v>
      </c>
      <c r="C7424" s="6">
        <v>111</v>
      </c>
      <c r="D7424" s="6">
        <v>110</v>
      </c>
      <c r="E7424" s="6">
        <v>221</v>
      </c>
      <c r="F7424" s="11"/>
    </row>
    <row r="7425" spans="1:6">
      <c r="A7425" s="5" t="str">
        <f t="shared" si="130"/>
        <v>202327</v>
      </c>
      <c r="B7425" s="5" t="str">
        <f>"23085055127"</f>
        <v>23085055127</v>
      </c>
      <c r="C7425" s="6">
        <v>102</v>
      </c>
      <c r="D7425" s="6">
        <v>118</v>
      </c>
      <c r="E7425" s="6">
        <v>220</v>
      </c>
      <c r="F7425" s="11"/>
    </row>
    <row r="7426" spans="1:6">
      <c r="A7426" s="5" t="str">
        <f t="shared" si="130"/>
        <v>202327</v>
      </c>
      <c r="B7426" s="5" t="str">
        <f>"23085055221"</f>
        <v>23085055221</v>
      </c>
      <c r="C7426" s="6">
        <v>103.5</v>
      </c>
      <c r="D7426" s="6">
        <v>116</v>
      </c>
      <c r="E7426" s="6">
        <v>219.5</v>
      </c>
      <c r="F7426" s="11"/>
    </row>
    <row r="7427" spans="1:6">
      <c r="A7427" s="5" t="str">
        <f t="shared" si="130"/>
        <v>202327</v>
      </c>
      <c r="B7427" s="5" t="str">
        <f>"23085055225"</f>
        <v>23085055225</v>
      </c>
      <c r="C7427" s="6">
        <v>103.5</v>
      </c>
      <c r="D7427" s="6">
        <v>116</v>
      </c>
      <c r="E7427" s="6">
        <v>219.5</v>
      </c>
      <c r="F7427" s="11"/>
    </row>
    <row r="7428" spans="1:6">
      <c r="A7428" s="5" t="str">
        <f t="shared" si="130"/>
        <v>202327</v>
      </c>
      <c r="B7428" s="5" t="str">
        <f>"23085055109"</f>
        <v>23085055109</v>
      </c>
      <c r="C7428" s="6">
        <v>102</v>
      </c>
      <c r="D7428" s="6">
        <v>116.5</v>
      </c>
      <c r="E7428" s="6">
        <v>218.5</v>
      </c>
      <c r="F7428" s="11"/>
    </row>
    <row r="7429" spans="1:6">
      <c r="A7429" s="5" t="str">
        <f t="shared" si="130"/>
        <v>202327</v>
      </c>
      <c r="B7429" s="5" t="str">
        <f>"23085055302"</f>
        <v>23085055302</v>
      </c>
      <c r="C7429" s="6">
        <v>100.5</v>
      </c>
      <c r="D7429" s="6">
        <v>117.5</v>
      </c>
      <c r="E7429" s="6">
        <v>218</v>
      </c>
      <c r="F7429" s="11"/>
    </row>
    <row r="7430" spans="1:6">
      <c r="A7430" s="5" t="str">
        <f t="shared" si="130"/>
        <v>202327</v>
      </c>
      <c r="B7430" s="5" t="str">
        <f>"23085055118"</f>
        <v>23085055118</v>
      </c>
      <c r="C7430" s="6">
        <v>93</v>
      </c>
      <c r="D7430" s="6">
        <v>121.5</v>
      </c>
      <c r="E7430" s="6">
        <v>214.5</v>
      </c>
      <c r="F7430" s="11"/>
    </row>
    <row r="7431" spans="1:6">
      <c r="A7431" s="5" t="str">
        <f t="shared" si="130"/>
        <v>202327</v>
      </c>
      <c r="B7431" s="5" t="str">
        <f>"23085055012"</f>
        <v>23085055012</v>
      </c>
      <c r="C7431" s="6">
        <v>91.5</v>
      </c>
      <c r="D7431" s="6">
        <v>122.5</v>
      </c>
      <c r="E7431" s="6">
        <v>214</v>
      </c>
      <c r="F7431" s="11"/>
    </row>
    <row r="7432" spans="1:6">
      <c r="A7432" s="5" t="str">
        <f t="shared" si="130"/>
        <v>202327</v>
      </c>
      <c r="B7432" s="5" t="str">
        <f>"23085055226"</f>
        <v>23085055226</v>
      </c>
      <c r="C7432" s="6">
        <v>103.5</v>
      </c>
      <c r="D7432" s="6">
        <v>110</v>
      </c>
      <c r="E7432" s="6">
        <v>213.5</v>
      </c>
      <c r="F7432" s="11"/>
    </row>
    <row r="7433" spans="1:6">
      <c r="A7433" s="5" t="str">
        <f t="shared" si="130"/>
        <v>202327</v>
      </c>
      <c r="B7433" s="5" t="str">
        <f>"23085055101"</f>
        <v>23085055101</v>
      </c>
      <c r="C7433" s="6">
        <v>96</v>
      </c>
      <c r="D7433" s="6">
        <v>117.5</v>
      </c>
      <c r="E7433" s="6">
        <v>213.5</v>
      </c>
      <c r="F7433" s="11"/>
    </row>
    <row r="7434" spans="1:6">
      <c r="A7434" s="5" t="str">
        <f t="shared" si="130"/>
        <v>202327</v>
      </c>
      <c r="B7434" s="5" t="str">
        <f>"23085055116"</f>
        <v>23085055116</v>
      </c>
      <c r="C7434" s="6">
        <v>94.5</v>
      </c>
      <c r="D7434" s="6">
        <v>118.5</v>
      </c>
      <c r="E7434" s="6">
        <v>213</v>
      </c>
      <c r="F7434" s="11"/>
    </row>
    <row r="7435" spans="1:6">
      <c r="A7435" s="5" t="str">
        <f t="shared" si="130"/>
        <v>202327</v>
      </c>
      <c r="B7435" s="5" t="str">
        <f>"23085055008"</f>
        <v>23085055008</v>
      </c>
      <c r="C7435" s="6">
        <v>102</v>
      </c>
      <c r="D7435" s="6">
        <v>111</v>
      </c>
      <c r="E7435" s="6">
        <v>213</v>
      </c>
      <c r="F7435" s="11"/>
    </row>
    <row r="7436" spans="1:6">
      <c r="A7436" s="5" t="str">
        <f t="shared" si="130"/>
        <v>202327</v>
      </c>
      <c r="B7436" s="5" t="str">
        <f>"23085055207"</f>
        <v>23085055207</v>
      </c>
      <c r="C7436" s="6">
        <v>88.5</v>
      </c>
      <c r="D7436" s="6">
        <v>124.5</v>
      </c>
      <c r="E7436" s="6">
        <v>213</v>
      </c>
      <c r="F7436" s="11"/>
    </row>
    <row r="7437" spans="1:6">
      <c r="A7437" s="5" t="str">
        <f t="shared" si="130"/>
        <v>202327</v>
      </c>
      <c r="B7437" s="5" t="str">
        <f>"23085055117"</f>
        <v>23085055117</v>
      </c>
      <c r="C7437" s="6">
        <v>96</v>
      </c>
      <c r="D7437" s="6">
        <v>116.5</v>
      </c>
      <c r="E7437" s="6">
        <v>212.5</v>
      </c>
      <c r="F7437" s="11"/>
    </row>
    <row r="7438" spans="1:6">
      <c r="A7438" s="5" t="str">
        <f t="shared" si="130"/>
        <v>202327</v>
      </c>
      <c r="B7438" s="5" t="str">
        <f>"23085055018"</f>
        <v>23085055018</v>
      </c>
      <c r="C7438" s="6">
        <v>88.5</v>
      </c>
      <c r="D7438" s="6">
        <v>123.5</v>
      </c>
      <c r="E7438" s="6">
        <v>212</v>
      </c>
      <c r="F7438" s="11"/>
    </row>
    <row r="7439" spans="1:6">
      <c r="A7439" s="5" t="str">
        <f t="shared" si="130"/>
        <v>202327</v>
      </c>
      <c r="B7439" s="5" t="str">
        <f>"23085055203"</f>
        <v>23085055203</v>
      </c>
      <c r="C7439" s="6">
        <v>90</v>
      </c>
      <c r="D7439" s="6">
        <v>122</v>
      </c>
      <c r="E7439" s="6">
        <v>212</v>
      </c>
      <c r="F7439" s="11"/>
    </row>
    <row r="7440" spans="1:6">
      <c r="A7440" s="5" t="str">
        <f t="shared" si="130"/>
        <v>202327</v>
      </c>
      <c r="B7440" s="5" t="str">
        <f>"23085055217"</f>
        <v>23085055217</v>
      </c>
      <c r="C7440" s="6">
        <v>94.5</v>
      </c>
      <c r="D7440" s="6">
        <v>117</v>
      </c>
      <c r="E7440" s="6">
        <v>211.5</v>
      </c>
      <c r="F7440" s="11"/>
    </row>
    <row r="7441" spans="1:6">
      <c r="A7441" s="5" t="str">
        <f t="shared" si="130"/>
        <v>202327</v>
      </c>
      <c r="B7441" s="5" t="str">
        <f>"23085055122"</f>
        <v>23085055122</v>
      </c>
      <c r="C7441" s="6">
        <v>88.5</v>
      </c>
      <c r="D7441" s="6">
        <v>123</v>
      </c>
      <c r="E7441" s="6">
        <v>211.5</v>
      </c>
      <c r="F7441" s="11"/>
    </row>
    <row r="7442" spans="1:6">
      <c r="A7442" s="5" t="str">
        <f t="shared" si="130"/>
        <v>202327</v>
      </c>
      <c r="B7442" s="5" t="str">
        <f>"23085055103"</f>
        <v>23085055103</v>
      </c>
      <c r="C7442" s="6">
        <v>94.5</v>
      </c>
      <c r="D7442" s="6">
        <v>116.5</v>
      </c>
      <c r="E7442" s="6">
        <v>211</v>
      </c>
      <c r="F7442" s="11"/>
    </row>
    <row r="7443" spans="1:6">
      <c r="A7443" s="5" t="str">
        <f t="shared" si="130"/>
        <v>202327</v>
      </c>
      <c r="B7443" s="5" t="str">
        <f>"23085055003"</f>
        <v>23085055003</v>
      </c>
      <c r="C7443" s="6">
        <v>99</v>
      </c>
      <c r="D7443" s="6">
        <v>112</v>
      </c>
      <c r="E7443" s="6">
        <v>211</v>
      </c>
      <c r="F7443" s="11"/>
    </row>
    <row r="7444" spans="1:6">
      <c r="A7444" s="5" t="str">
        <f t="shared" si="130"/>
        <v>202327</v>
      </c>
      <c r="B7444" s="5" t="str">
        <f>"23085055029"</f>
        <v>23085055029</v>
      </c>
      <c r="C7444" s="6">
        <v>91.5</v>
      </c>
      <c r="D7444" s="6">
        <v>119</v>
      </c>
      <c r="E7444" s="6">
        <v>210.5</v>
      </c>
      <c r="F7444" s="11"/>
    </row>
    <row r="7445" spans="1:6">
      <c r="A7445" s="5" t="str">
        <f t="shared" si="130"/>
        <v>202327</v>
      </c>
      <c r="B7445" s="5" t="str">
        <f>"23085055010"</f>
        <v>23085055010</v>
      </c>
      <c r="C7445" s="6">
        <v>90</v>
      </c>
      <c r="D7445" s="6">
        <v>120</v>
      </c>
      <c r="E7445" s="6">
        <v>210</v>
      </c>
      <c r="F7445" s="11"/>
    </row>
    <row r="7446" spans="1:6">
      <c r="A7446" s="5" t="str">
        <f t="shared" si="130"/>
        <v>202327</v>
      </c>
      <c r="B7446" s="5" t="str">
        <f>"23085055229"</f>
        <v>23085055229</v>
      </c>
      <c r="C7446" s="6">
        <v>94.5</v>
      </c>
      <c r="D7446" s="6">
        <v>115.5</v>
      </c>
      <c r="E7446" s="6">
        <v>210</v>
      </c>
      <c r="F7446" s="11"/>
    </row>
    <row r="7447" spans="1:6">
      <c r="A7447" s="5" t="str">
        <f t="shared" si="130"/>
        <v>202327</v>
      </c>
      <c r="B7447" s="5" t="str">
        <f>"23085055215"</f>
        <v>23085055215</v>
      </c>
      <c r="C7447" s="6">
        <v>94.5</v>
      </c>
      <c r="D7447" s="6">
        <v>115.5</v>
      </c>
      <c r="E7447" s="6">
        <v>210</v>
      </c>
      <c r="F7447" s="11"/>
    </row>
    <row r="7448" spans="1:6">
      <c r="A7448" s="5" t="str">
        <f t="shared" si="130"/>
        <v>202327</v>
      </c>
      <c r="B7448" s="5" t="str">
        <f>"23085055017"</f>
        <v>23085055017</v>
      </c>
      <c r="C7448" s="6">
        <v>96</v>
      </c>
      <c r="D7448" s="6">
        <v>113.5</v>
      </c>
      <c r="E7448" s="6">
        <v>209.5</v>
      </c>
      <c r="F7448" s="11"/>
    </row>
    <row r="7449" spans="1:6">
      <c r="A7449" s="5" t="str">
        <f t="shared" si="130"/>
        <v>202327</v>
      </c>
      <c r="B7449" s="5" t="str">
        <f>"23085055027"</f>
        <v>23085055027</v>
      </c>
      <c r="C7449" s="6">
        <v>90</v>
      </c>
      <c r="D7449" s="6">
        <v>119</v>
      </c>
      <c r="E7449" s="6">
        <v>209</v>
      </c>
      <c r="F7449" s="11"/>
    </row>
    <row r="7450" spans="1:6">
      <c r="A7450" s="5" t="str">
        <f t="shared" si="130"/>
        <v>202327</v>
      </c>
      <c r="B7450" s="5" t="str">
        <f>"23085055128"</f>
        <v>23085055128</v>
      </c>
      <c r="C7450" s="6">
        <v>96</v>
      </c>
      <c r="D7450" s="6">
        <v>113</v>
      </c>
      <c r="E7450" s="6">
        <v>209</v>
      </c>
      <c r="F7450" s="11"/>
    </row>
    <row r="7451" spans="1:6">
      <c r="A7451" s="5" t="str">
        <f t="shared" si="130"/>
        <v>202327</v>
      </c>
      <c r="B7451" s="5" t="str">
        <f>"23085055025"</f>
        <v>23085055025</v>
      </c>
      <c r="C7451" s="6">
        <v>88.5</v>
      </c>
      <c r="D7451" s="6">
        <v>119.5</v>
      </c>
      <c r="E7451" s="6">
        <v>208</v>
      </c>
      <c r="F7451" s="11"/>
    </row>
    <row r="7452" spans="1:6">
      <c r="A7452" s="5" t="str">
        <f t="shared" si="130"/>
        <v>202327</v>
      </c>
      <c r="B7452" s="5" t="str">
        <f>"23085055206"</f>
        <v>23085055206</v>
      </c>
      <c r="C7452" s="6">
        <v>91.5</v>
      </c>
      <c r="D7452" s="6">
        <v>116.5</v>
      </c>
      <c r="E7452" s="6">
        <v>208</v>
      </c>
      <c r="F7452" s="11"/>
    </row>
    <row r="7453" spans="1:6">
      <c r="A7453" s="5" t="str">
        <f t="shared" si="130"/>
        <v>202327</v>
      </c>
      <c r="B7453" s="5" t="str">
        <f>"23085055113"</f>
        <v>23085055113</v>
      </c>
      <c r="C7453" s="6">
        <v>105</v>
      </c>
      <c r="D7453" s="6">
        <v>102.5</v>
      </c>
      <c r="E7453" s="6">
        <v>207.5</v>
      </c>
      <c r="F7453" s="11"/>
    </row>
    <row r="7454" spans="1:6">
      <c r="A7454" s="5" t="str">
        <f t="shared" si="130"/>
        <v>202327</v>
      </c>
      <c r="B7454" s="5" t="str">
        <f>"23085055204"</f>
        <v>23085055204</v>
      </c>
      <c r="C7454" s="6">
        <v>97.5</v>
      </c>
      <c r="D7454" s="6">
        <v>109.5</v>
      </c>
      <c r="E7454" s="6">
        <v>207</v>
      </c>
      <c r="F7454" s="11"/>
    </row>
    <row r="7455" spans="1:6">
      <c r="A7455" s="5" t="str">
        <f t="shared" si="130"/>
        <v>202327</v>
      </c>
      <c r="B7455" s="5" t="str">
        <f>"23085055028"</f>
        <v>23085055028</v>
      </c>
      <c r="C7455" s="6">
        <v>90</v>
      </c>
      <c r="D7455" s="6">
        <v>116</v>
      </c>
      <c r="E7455" s="6">
        <v>206</v>
      </c>
      <c r="F7455" s="11"/>
    </row>
    <row r="7456" spans="1:6">
      <c r="A7456" s="5" t="str">
        <f t="shared" si="130"/>
        <v>202327</v>
      </c>
      <c r="B7456" s="5" t="str">
        <f>"23085055014"</f>
        <v>23085055014</v>
      </c>
      <c r="C7456" s="6">
        <v>88.5</v>
      </c>
      <c r="D7456" s="6">
        <v>117.5</v>
      </c>
      <c r="E7456" s="6">
        <v>206</v>
      </c>
      <c r="F7456" s="11"/>
    </row>
    <row r="7457" spans="1:6">
      <c r="A7457" s="5" t="str">
        <f t="shared" si="130"/>
        <v>202327</v>
      </c>
      <c r="B7457" s="5" t="str">
        <f>"23085055107"</f>
        <v>23085055107</v>
      </c>
      <c r="C7457" s="6">
        <v>91.5</v>
      </c>
      <c r="D7457" s="6">
        <v>114</v>
      </c>
      <c r="E7457" s="6">
        <v>205.5</v>
      </c>
      <c r="F7457" s="11"/>
    </row>
    <row r="7458" spans="1:6">
      <c r="A7458" s="5" t="str">
        <f t="shared" si="130"/>
        <v>202327</v>
      </c>
      <c r="B7458" s="5" t="str">
        <f>"23085055212"</f>
        <v>23085055212</v>
      </c>
      <c r="C7458" s="6">
        <v>88.5</v>
      </c>
      <c r="D7458" s="6">
        <v>116.5</v>
      </c>
      <c r="E7458" s="6">
        <v>205</v>
      </c>
      <c r="F7458" s="11"/>
    </row>
    <row r="7459" spans="1:6">
      <c r="A7459" s="5" t="str">
        <f t="shared" si="130"/>
        <v>202327</v>
      </c>
      <c r="B7459" s="5" t="str">
        <f>"23085055024"</f>
        <v>23085055024</v>
      </c>
      <c r="C7459" s="6">
        <v>96</v>
      </c>
      <c r="D7459" s="6">
        <v>108.5</v>
      </c>
      <c r="E7459" s="6">
        <v>204.5</v>
      </c>
      <c r="F7459" s="11"/>
    </row>
    <row r="7460" spans="1:6">
      <c r="A7460" s="5" t="str">
        <f t="shared" si="130"/>
        <v>202327</v>
      </c>
      <c r="B7460" s="5" t="str">
        <f>"23085055106"</f>
        <v>23085055106</v>
      </c>
      <c r="C7460" s="6">
        <v>91.5</v>
      </c>
      <c r="D7460" s="6">
        <v>113</v>
      </c>
      <c r="E7460" s="6">
        <v>204.5</v>
      </c>
      <c r="F7460" s="11"/>
    </row>
    <row r="7461" spans="1:6">
      <c r="A7461" s="5" t="str">
        <f t="shared" si="130"/>
        <v>202327</v>
      </c>
      <c r="B7461" s="5" t="str">
        <f>"23085055214"</f>
        <v>23085055214</v>
      </c>
      <c r="C7461" s="6">
        <v>87</v>
      </c>
      <c r="D7461" s="6">
        <v>117</v>
      </c>
      <c r="E7461" s="6">
        <v>204</v>
      </c>
      <c r="F7461" s="11"/>
    </row>
    <row r="7462" spans="1:6">
      <c r="A7462" s="5" t="str">
        <f t="shared" si="130"/>
        <v>202327</v>
      </c>
      <c r="B7462" s="5" t="str">
        <f>"23085055020"</f>
        <v>23085055020</v>
      </c>
      <c r="C7462" s="6">
        <v>90</v>
      </c>
      <c r="D7462" s="6">
        <v>113.5</v>
      </c>
      <c r="E7462" s="6">
        <v>203.5</v>
      </c>
      <c r="F7462" s="11"/>
    </row>
    <row r="7463" spans="1:6">
      <c r="A7463" s="5" t="str">
        <f t="shared" si="130"/>
        <v>202327</v>
      </c>
      <c r="B7463" s="5" t="str">
        <f>"23085055130"</f>
        <v>23085055130</v>
      </c>
      <c r="C7463" s="6">
        <v>90</v>
      </c>
      <c r="D7463" s="6">
        <v>113.5</v>
      </c>
      <c r="E7463" s="6">
        <v>203.5</v>
      </c>
      <c r="F7463" s="11"/>
    </row>
    <row r="7464" spans="1:6">
      <c r="A7464" s="5" t="str">
        <f t="shared" si="130"/>
        <v>202327</v>
      </c>
      <c r="B7464" s="5" t="str">
        <f>"23085055129"</f>
        <v>23085055129</v>
      </c>
      <c r="C7464" s="6">
        <v>90</v>
      </c>
      <c r="D7464" s="6">
        <v>113</v>
      </c>
      <c r="E7464" s="6">
        <v>203</v>
      </c>
      <c r="F7464" s="11"/>
    </row>
    <row r="7465" spans="1:6">
      <c r="A7465" s="5" t="str">
        <f t="shared" si="130"/>
        <v>202327</v>
      </c>
      <c r="B7465" s="5" t="str">
        <f>"23085055205"</f>
        <v>23085055205</v>
      </c>
      <c r="C7465" s="6">
        <v>84</v>
      </c>
      <c r="D7465" s="6">
        <v>117</v>
      </c>
      <c r="E7465" s="6">
        <v>201</v>
      </c>
      <c r="F7465" s="11"/>
    </row>
    <row r="7466" spans="1:6">
      <c r="A7466" s="5" t="str">
        <f t="shared" si="130"/>
        <v>202327</v>
      </c>
      <c r="B7466" s="5" t="str">
        <f>"23085055110"</f>
        <v>23085055110</v>
      </c>
      <c r="C7466" s="6">
        <v>84</v>
      </c>
      <c r="D7466" s="6">
        <v>117</v>
      </c>
      <c r="E7466" s="6">
        <v>201</v>
      </c>
      <c r="F7466" s="11"/>
    </row>
    <row r="7467" spans="1:6">
      <c r="A7467" s="5" t="str">
        <f t="shared" si="130"/>
        <v>202327</v>
      </c>
      <c r="B7467" s="5" t="str">
        <f>"23085055002"</f>
        <v>23085055002</v>
      </c>
      <c r="C7467" s="6">
        <v>81</v>
      </c>
      <c r="D7467" s="6">
        <v>119.5</v>
      </c>
      <c r="E7467" s="6">
        <v>200.5</v>
      </c>
      <c r="F7467" s="11"/>
    </row>
    <row r="7468" spans="1:6">
      <c r="A7468" s="5" t="str">
        <f t="shared" si="130"/>
        <v>202327</v>
      </c>
      <c r="B7468" s="5" t="str">
        <f>"23085055305"</f>
        <v>23085055305</v>
      </c>
      <c r="C7468" s="6">
        <v>84</v>
      </c>
      <c r="D7468" s="6">
        <v>116</v>
      </c>
      <c r="E7468" s="6">
        <v>200</v>
      </c>
      <c r="F7468" s="11"/>
    </row>
    <row r="7469" spans="1:6">
      <c r="A7469" s="5" t="str">
        <f t="shared" si="130"/>
        <v>202327</v>
      </c>
      <c r="B7469" s="5" t="str">
        <f>"23085055218"</f>
        <v>23085055218</v>
      </c>
      <c r="C7469" s="6">
        <v>87</v>
      </c>
      <c r="D7469" s="6">
        <v>112</v>
      </c>
      <c r="E7469" s="6">
        <v>199</v>
      </c>
      <c r="F7469" s="11"/>
    </row>
    <row r="7470" spans="1:6">
      <c r="A7470" s="5" t="str">
        <f t="shared" si="130"/>
        <v>202327</v>
      </c>
      <c r="B7470" s="5" t="str">
        <f>"23085055023"</f>
        <v>23085055023</v>
      </c>
      <c r="C7470" s="6">
        <v>85.5</v>
      </c>
      <c r="D7470" s="6">
        <v>112.5</v>
      </c>
      <c r="E7470" s="6">
        <v>198</v>
      </c>
      <c r="F7470" s="11"/>
    </row>
    <row r="7471" spans="1:6">
      <c r="A7471" s="5" t="str">
        <f t="shared" si="130"/>
        <v>202327</v>
      </c>
      <c r="B7471" s="5" t="str">
        <f>"23085055120"</f>
        <v>23085055120</v>
      </c>
      <c r="C7471" s="6">
        <v>72</v>
      </c>
      <c r="D7471" s="6">
        <v>126</v>
      </c>
      <c r="E7471" s="6">
        <v>198</v>
      </c>
      <c r="F7471" s="11"/>
    </row>
    <row r="7472" spans="1:6">
      <c r="A7472" s="5" t="str">
        <f t="shared" si="130"/>
        <v>202327</v>
      </c>
      <c r="B7472" s="5" t="str">
        <f>"23085055228"</f>
        <v>23085055228</v>
      </c>
      <c r="C7472" s="6">
        <v>81</v>
      </c>
      <c r="D7472" s="6">
        <v>115.5</v>
      </c>
      <c r="E7472" s="6">
        <v>196.5</v>
      </c>
      <c r="F7472" s="11"/>
    </row>
    <row r="7473" spans="1:6">
      <c r="A7473" s="5" t="str">
        <f t="shared" si="130"/>
        <v>202327</v>
      </c>
      <c r="B7473" s="5" t="str">
        <f>"23085055011"</f>
        <v>23085055011</v>
      </c>
      <c r="C7473" s="6">
        <v>81</v>
      </c>
      <c r="D7473" s="6">
        <v>112.5</v>
      </c>
      <c r="E7473" s="6">
        <v>193.5</v>
      </c>
      <c r="F7473" s="11"/>
    </row>
    <row r="7474" spans="1:6">
      <c r="A7474" s="5" t="str">
        <f t="shared" si="130"/>
        <v>202327</v>
      </c>
      <c r="B7474" s="5" t="str">
        <f>"23085055026"</f>
        <v>23085055026</v>
      </c>
      <c r="C7474" s="6">
        <v>76.5</v>
      </c>
      <c r="D7474" s="6">
        <v>116.5</v>
      </c>
      <c r="E7474" s="6">
        <v>193</v>
      </c>
      <c r="F7474" s="11"/>
    </row>
    <row r="7475" spans="1:6">
      <c r="A7475" s="5" t="str">
        <f t="shared" si="130"/>
        <v>202327</v>
      </c>
      <c r="B7475" s="5" t="str">
        <f>"23085055306"</f>
        <v>23085055306</v>
      </c>
      <c r="C7475" s="6">
        <v>84</v>
      </c>
      <c r="D7475" s="6">
        <v>108.5</v>
      </c>
      <c r="E7475" s="6">
        <v>192.5</v>
      </c>
      <c r="F7475" s="11"/>
    </row>
    <row r="7476" spans="1:6">
      <c r="A7476" s="5" t="str">
        <f t="shared" si="130"/>
        <v>202327</v>
      </c>
      <c r="B7476" s="5" t="str">
        <f>"23085055019"</f>
        <v>23085055019</v>
      </c>
      <c r="C7476" s="6">
        <v>79.5</v>
      </c>
      <c r="D7476" s="6">
        <v>112.5</v>
      </c>
      <c r="E7476" s="6">
        <v>192</v>
      </c>
      <c r="F7476" s="11"/>
    </row>
    <row r="7477" spans="1:6">
      <c r="A7477" s="5" t="str">
        <f t="shared" si="130"/>
        <v>202327</v>
      </c>
      <c r="B7477" s="5" t="str">
        <f>"23085055211"</f>
        <v>23085055211</v>
      </c>
      <c r="C7477" s="6">
        <v>76.5</v>
      </c>
      <c r="D7477" s="6">
        <v>115.5</v>
      </c>
      <c r="E7477" s="6">
        <v>192</v>
      </c>
      <c r="F7477" s="11"/>
    </row>
    <row r="7478" spans="1:6">
      <c r="A7478" s="5" t="str">
        <f t="shared" ref="A7478:A7508" si="131">"202327"</f>
        <v>202327</v>
      </c>
      <c r="B7478" s="5" t="str">
        <f>"23085055115"</f>
        <v>23085055115</v>
      </c>
      <c r="C7478" s="6">
        <v>88.5</v>
      </c>
      <c r="D7478" s="6">
        <v>103.5</v>
      </c>
      <c r="E7478" s="6">
        <v>192</v>
      </c>
      <c r="F7478" s="11"/>
    </row>
    <row r="7479" spans="1:6">
      <c r="A7479" s="5" t="str">
        <f t="shared" si="131"/>
        <v>202327</v>
      </c>
      <c r="B7479" s="5" t="str">
        <f>"23085055224"</f>
        <v>23085055224</v>
      </c>
      <c r="C7479" s="6">
        <v>82.5</v>
      </c>
      <c r="D7479" s="6">
        <v>109</v>
      </c>
      <c r="E7479" s="6">
        <v>191.5</v>
      </c>
      <c r="F7479" s="11"/>
    </row>
    <row r="7480" spans="1:6">
      <c r="A7480" s="5" t="str">
        <f t="shared" si="131"/>
        <v>202327</v>
      </c>
      <c r="B7480" s="5" t="str">
        <f>"23085055121"</f>
        <v>23085055121</v>
      </c>
      <c r="C7480" s="6">
        <v>73.5</v>
      </c>
      <c r="D7480" s="6">
        <v>115</v>
      </c>
      <c r="E7480" s="6">
        <v>188.5</v>
      </c>
      <c r="F7480" s="11"/>
    </row>
    <row r="7481" spans="1:6">
      <c r="A7481" s="5" t="str">
        <f t="shared" si="131"/>
        <v>202327</v>
      </c>
      <c r="B7481" s="5" t="str">
        <f>"23085055013"</f>
        <v>23085055013</v>
      </c>
      <c r="C7481" s="6">
        <v>79.5</v>
      </c>
      <c r="D7481" s="6">
        <v>108.5</v>
      </c>
      <c r="E7481" s="6">
        <v>188</v>
      </c>
      <c r="F7481" s="11"/>
    </row>
    <row r="7482" spans="1:6">
      <c r="A7482" s="5" t="str">
        <f t="shared" si="131"/>
        <v>202327</v>
      </c>
      <c r="B7482" s="5" t="str">
        <f>"23085055007"</f>
        <v>23085055007</v>
      </c>
      <c r="C7482" s="6">
        <v>73.5</v>
      </c>
      <c r="D7482" s="6">
        <v>113.5</v>
      </c>
      <c r="E7482" s="6">
        <v>187</v>
      </c>
      <c r="F7482" s="11"/>
    </row>
    <row r="7483" spans="1:6">
      <c r="A7483" s="5" t="str">
        <f t="shared" si="131"/>
        <v>202327</v>
      </c>
      <c r="B7483" s="5" t="str">
        <f>"23085055222"</f>
        <v>23085055222</v>
      </c>
      <c r="C7483" s="6">
        <v>79.5</v>
      </c>
      <c r="D7483" s="6">
        <v>107</v>
      </c>
      <c r="E7483" s="6">
        <v>186.5</v>
      </c>
      <c r="F7483" s="11"/>
    </row>
    <row r="7484" spans="1:6">
      <c r="A7484" s="5" t="str">
        <f t="shared" si="131"/>
        <v>202327</v>
      </c>
      <c r="B7484" s="5" t="str">
        <f>"23085055208"</f>
        <v>23085055208</v>
      </c>
      <c r="C7484" s="6">
        <v>70.5</v>
      </c>
      <c r="D7484" s="6">
        <v>116</v>
      </c>
      <c r="E7484" s="6">
        <v>186.5</v>
      </c>
      <c r="F7484" s="11"/>
    </row>
    <row r="7485" spans="1:6">
      <c r="A7485" s="5" t="str">
        <f t="shared" si="131"/>
        <v>202327</v>
      </c>
      <c r="B7485" s="5" t="str">
        <f>"23085055112"</f>
        <v>23085055112</v>
      </c>
      <c r="C7485" s="6">
        <v>87</v>
      </c>
      <c r="D7485" s="6">
        <v>98.5</v>
      </c>
      <c r="E7485" s="6">
        <v>185.5</v>
      </c>
      <c r="F7485" s="11"/>
    </row>
    <row r="7486" spans="1:6">
      <c r="A7486" s="5" t="str">
        <f t="shared" si="131"/>
        <v>202327</v>
      </c>
      <c r="B7486" s="5" t="str">
        <f>"23085055006"</f>
        <v>23085055006</v>
      </c>
      <c r="C7486" s="6">
        <v>75</v>
      </c>
      <c r="D7486" s="6">
        <v>110</v>
      </c>
      <c r="E7486" s="6">
        <v>185</v>
      </c>
      <c r="F7486" s="11"/>
    </row>
    <row r="7487" spans="1:6">
      <c r="A7487" s="5" t="str">
        <f t="shared" si="131"/>
        <v>202327</v>
      </c>
      <c r="B7487" s="5" t="str">
        <f>"23085055105"</f>
        <v>23085055105</v>
      </c>
      <c r="C7487" s="6">
        <v>78</v>
      </c>
      <c r="D7487" s="6">
        <v>107</v>
      </c>
      <c r="E7487" s="6">
        <v>185</v>
      </c>
      <c r="F7487" s="11"/>
    </row>
    <row r="7488" spans="1:6">
      <c r="A7488" s="5" t="str">
        <f t="shared" si="131"/>
        <v>202327</v>
      </c>
      <c r="B7488" s="5" t="str">
        <f>"23085055227"</f>
        <v>23085055227</v>
      </c>
      <c r="C7488" s="6">
        <v>84</v>
      </c>
      <c r="D7488" s="6">
        <v>100</v>
      </c>
      <c r="E7488" s="6">
        <v>184</v>
      </c>
      <c r="F7488" s="11"/>
    </row>
    <row r="7489" spans="1:6">
      <c r="A7489" s="5" t="str">
        <f t="shared" si="131"/>
        <v>202327</v>
      </c>
      <c r="B7489" s="5" t="str">
        <f>"23085055022"</f>
        <v>23085055022</v>
      </c>
      <c r="C7489" s="6">
        <v>61.5</v>
      </c>
      <c r="D7489" s="6">
        <v>119</v>
      </c>
      <c r="E7489" s="6">
        <v>180.5</v>
      </c>
      <c r="F7489" s="11"/>
    </row>
    <row r="7490" spans="1:6">
      <c r="A7490" s="5" t="str">
        <f t="shared" si="131"/>
        <v>202327</v>
      </c>
      <c r="B7490" s="5" t="str">
        <f>"23085055201"</f>
        <v>23085055201</v>
      </c>
      <c r="C7490" s="6">
        <v>69</v>
      </c>
      <c r="D7490" s="6">
        <v>61</v>
      </c>
      <c r="E7490" s="6">
        <v>130</v>
      </c>
      <c r="F7490" s="11"/>
    </row>
    <row r="7491" spans="1:6">
      <c r="A7491" s="5" t="str">
        <f t="shared" si="131"/>
        <v>202327</v>
      </c>
      <c r="B7491" s="5" t="str">
        <f>"23085055030"</f>
        <v>23085055030</v>
      </c>
      <c r="C7491" s="6">
        <v>0</v>
      </c>
      <c r="D7491" s="6">
        <v>0</v>
      </c>
      <c r="E7491" s="6">
        <v>0</v>
      </c>
      <c r="F7491" s="11" t="s">
        <v>7</v>
      </c>
    </row>
    <row r="7492" spans="1:6">
      <c r="A7492" s="5" t="str">
        <f t="shared" si="131"/>
        <v>202327</v>
      </c>
      <c r="B7492" s="5" t="str">
        <f>"23085055304"</f>
        <v>23085055304</v>
      </c>
      <c r="C7492" s="6">
        <v>0</v>
      </c>
      <c r="D7492" s="6">
        <v>0</v>
      </c>
      <c r="E7492" s="6">
        <v>0</v>
      </c>
      <c r="F7492" s="11" t="s">
        <v>7</v>
      </c>
    </row>
    <row r="7493" spans="1:6">
      <c r="A7493" s="5" t="str">
        <f t="shared" si="131"/>
        <v>202327</v>
      </c>
      <c r="B7493" s="5" t="str">
        <f>"23085055202"</f>
        <v>23085055202</v>
      </c>
      <c r="C7493" s="6">
        <v>0</v>
      </c>
      <c r="D7493" s="6">
        <v>0</v>
      </c>
      <c r="E7493" s="6">
        <v>0</v>
      </c>
      <c r="F7493" s="11" t="s">
        <v>7</v>
      </c>
    </row>
    <row r="7494" spans="1:6">
      <c r="A7494" s="5" t="str">
        <f t="shared" si="131"/>
        <v>202327</v>
      </c>
      <c r="B7494" s="5" t="str">
        <f>"23085055009"</f>
        <v>23085055009</v>
      </c>
      <c r="C7494" s="6">
        <v>0</v>
      </c>
      <c r="D7494" s="6">
        <v>0</v>
      </c>
      <c r="E7494" s="6">
        <v>0</v>
      </c>
      <c r="F7494" s="11" t="s">
        <v>7</v>
      </c>
    </row>
    <row r="7495" spans="1:6">
      <c r="A7495" s="5" t="str">
        <f t="shared" si="131"/>
        <v>202327</v>
      </c>
      <c r="B7495" s="5" t="str">
        <f>"23085055220"</f>
        <v>23085055220</v>
      </c>
      <c r="C7495" s="6">
        <v>0</v>
      </c>
      <c r="D7495" s="6">
        <v>0</v>
      </c>
      <c r="E7495" s="6">
        <v>0</v>
      </c>
      <c r="F7495" s="11" t="s">
        <v>7</v>
      </c>
    </row>
    <row r="7496" spans="1:6">
      <c r="A7496" s="5" t="str">
        <f t="shared" si="131"/>
        <v>202327</v>
      </c>
      <c r="B7496" s="5" t="str">
        <f>"23085055213"</f>
        <v>23085055213</v>
      </c>
      <c r="C7496" s="6">
        <v>0</v>
      </c>
      <c r="D7496" s="6">
        <v>0</v>
      </c>
      <c r="E7496" s="6">
        <v>0</v>
      </c>
      <c r="F7496" s="11" t="s">
        <v>7</v>
      </c>
    </row>
    <row r="7497" spans="1:6">
      <c r="A7497" s="5" t="str">
        <f t="shared" si="131"/>
        <v>202327</v>
      </c>
      <c r="B7497" s="5" t="str">
        <f>"23085055004"</f>
        <v>23085055004</v>
      </c>
      <c r="C7497" s="6">
        <v>0</v>
      </c>
      <c r="D7497" s="6">
        <v>0</v>
      </c>
      <c r="E7497" s="6">
        <v>0</v>
      </c>
      <c r="F7497" s="11" t="s">
        <v>7</v>
      </c>
    </row>
    <row r="7498" spans="1:6">
      <c r="A7498" s="5" t="str">
        <f t="shared" si="131"/>
        <v>202327</v>
      </c>
      <c r="B7498" s="5" t="str">
        <f>"23085055123"</f>
        <v>23085055123</v>
      </c>
      <c r="C7498" s="6">
        <v>0</v>
      </c>
      <c r="D7498" s="6">
        <v>0</v>
      </c>
      <c r="E7498" s="6">
        <v>0</v>
      </c>
      <c r="F7498" s="11" t="s">
        <v>7</v>
      </c>
    </row>
    <row r="7499" spans="1:6">
      <c r="A7499" s="5" t="str">
        <f t="shared" si="131"/>
        <v>202327</v>
      </c>
      <c r="B7499" s="5" t="str">
        <f>"23085055016"</f>
        <v>23085055016</v>
      </c>
      <c r="C7499" s="6">
        <v>0</v>
      </c>
      <c r="D7499" s="6">
        <v>0</v>
      </c>
      <c r="E7499" s="6">
        <v>0</v>
      </c>
      <c r="F7499" s="11" t="s">
        <v>7</v>
      </c>
    </row>
    <row r="7500" spans="1:6">
      <c r="A7500" s="5" t="str">
        <f t="shared" si="131"/>
        <v>202327</v>
      </c>
      <c r="B7500" s="5" t="str">
        <f>"23085055114"</f>
        <v>23085055114</v>
      </c>
      <c r="C7500" s="6">
        <v>0</v>
      </c>
      <c r="D7500" s="6">
        <v>0</v>
      </c>
      <c r="E7500" s="6">
        <v>0</v>
      </c>
      <c r="F7500" s="11" t="s">
        <v>7</v>
      </c>
    </row>
    <row r="7501" spans="1:6">
      <c r="A7501" s="5" t="str">
        <f t="shared" si="131"/>
        <v>202327</v>
      </c>
      <c r="B7501" s="5" t="str">
        <f>"23085055216"</f>
        <v>23085055216</v>
      </c>
      <c r="C7501" s="6">
        <v>0</v>
      </c>
      <c r="D7501" s="6">
        <v>0</v>
      </c>
      <c r="E7501" s="6">
        <v>0</v>
      </c>
      <c r="F7501" s="11" t="s">
        <v>7</v>
      </c>
    </row>
    <row r="7502" spans="1:6">
      <c r="A7502" s="5" t="str">
        <f t="shared" si="131"/>
        <v>202327</v>
      </c>
      <c r="B7502" s="5" t="str">
        <f>"23085055126"</f>
        <v>23085055126</v>
      </c>
      <c r="C7502" s="6">
        <v>0</v>
      </c>
      <c r="D7502" s="6">
        <v>0</v>
      </c>
      <c r="E7502" s="6">
        <v>0</v>
      </c>
      <c r="F7502" s="11" t="s">
        <v>7</v>
      </c>
    </row>
    <row r="7503" spans="1:6">
      <c r="A7503" s="5" t="str">
        <f t="shared" si="131"/>
        <v>202327</v>
      </c>
      <c r="B7503" s="5" t="str">
        <f>"23085055021"</f>
        <v>23085055021</v>
      </c>
      <c r="C7503" s="6">
        <v>0</v>
      </c>
      <c r="D7503" s="6">
        <v>0</v>
      </c>
      <c r="E7503" s="6">
        <v>0</v>
      </c>
      <c r="F7503" s="11" t="s">
        <v>7</v>
      </c>
    </row>
    <row r="7504" spans="1:6">
      <c r="A7504" s="5" t="str">
        <f t="shared" si="131"/>
        <v>202327</v>
      </c>
      <c r="B7504" s="5" t="str">
        <f>"23085055209"</f>
        <v>23085055209</v>
      </c>
      <c r="C7504" s="6">
        <v>0</v>
      </c>
      <c r="D7504" s="6">
        <v>0</v>
      </c>
      <c r="E7504" s="6">
        <v>0</v>
      </c>
      <c r="F7504" s="11" t="s">
        <v>7</v>
      </c>
    </row>
    <row r="7505" spans="1:6">
      <c r="A7505" s="5" t="str">
        <f t="shared" si="131"/>
        <v>202327</v>
      </c>
      <c r="B7505" s="5" t="str">
        <f>"23085055119"</f>
        <v>23085055119</v>
      </c>
      <c r="C7505" s="6">
        <v>0</v>
      </c>
      <c r="D7505" s="6">
        <v>0</v>
      </c>
      <c r="E7505" s="6">
        <v>0</v>
      </c>
      <c r="F7505" s="11" t="s">
        <v>7</v>
      </c>
    </row>
    <row r="7506" spans="1:6">
      <c r="A7506" s="5" t="str">
        <f t="shared" si="131"/>
        <v>202327</v>
      </c>
      <c r="B7506" s="5" t="str">
        <f>"23085055102"</f>
        <v>23085055102</v>
      </c>
      <c r="C7506" s="6">
        <v>0</v>
      </c>
      <c r="D7506" s="6">
        <v>0</v>
      </c>
      <c r="E7506" s="6">
        <v>0</v>
      </c>
      <c r="F7506" s="11" t="s">
        <v>7</v>
      </c>
    </row>
    <row r="7507" spans="1:6">
      <c r="A7507" s="5" t="str">
        <f t="shared" si="131"/>
        <v>202327</v>
      </c>
      <c r="B7507" s="5" t="str">
        <f>"23085055125"</f>
        <v>23085055125</v>
      </c>
      <c r="C7507" s="6">
        <v>0</v>
      </c>
      <c r="D7507" s="6">
        <v>0</v>
      </c>
      <c r="E7507" s="6">
        <v>0</v>
      </c>
      <c r="F7507" s="11" t="s">
        <v>7</v>
      </c>
    </row>
    <row r="7508" spans="1:6">
      <c r="A7508" s="5" t="str">
        <f t="shared" si="131"/>
        <v>202327</v>
      </c>
      <c r="B7508" s="5" t="str">
        <f>"23085055015"</f>
        <v>23085055015</v>
      </c>
      <c r="C7508" s="6">
        <v>0</v>
      </c>
      <c r="D7508" s="6">
        <v>0</v>
      </c>
      <c r="E7508" s="6">
        <v>0</v>
      </c>
      <c r="F7508" s="11" t="s">
        <v>7</v>
      </c>
    </row>
    <row r="7509" spans="1:6">
      <c r="A7509" s="5" t="str">
        <f t="shared" ref="A7509:A7572" si="132">"202328"</f>
        <v>202328</v>
      </c>
      <c r="B7509" s="5" t="str">
        <f>"23085055507"</f>
        <v>23085055507</v>
      </c>
      <c r="C7509" s="6">
        <v>121.5</v>
      </c>
      <c r="D7509" s="6">
        <v>115</v>
      </c>
      <c r="E7509" s="6">
        <v>236.5</v>
      </c>
      <c r="F7509" s="11"/>
    </row>
    <row r="7510" spans="1:6">
      <c r="A7510" s="5" t="str">
        <f t="shared" si="132"/>
        <v>202328</v>
      </c>
      <c r="B7510" s="5" t="str">
        <f>"23085055528"</f>
        <v>23085055528</v>
      </c>
      <c r="C7510" s="6">
        <v>117</v>
      </c>
      <c r="D7510" s="6">
        <v>119</v>
      </c>
      <c r="E7510" s="6">
        <v>236</v>
      </c>
      <c r="F7510" s="11"/>
    </row>
    <row r="7511" spans="1:6">
      <c r="A7511" s="5" t="str">
        <f t="shared" si="132"/>
        <v>202328</v>
      </c>
      <c r="B7511" s="5" t="str">
        <f>"23085060105"</f>
        <v>23085060105</v>
      </c>
      <c r="C7511" s="6">
        <v>115.5</v>
      </c>
      <c r="D7511" s="6">
        <v>119</v>
      </c>
      <c r="E7511" s="6">
        <v>234.5</v>
      </c>
      <c r="F7511" s="11"/>
    </row>
    <row r="7512" spans="1:6">
      <c r="A7512" s="5" t="str">
        <f t="shared" si="132"/>
        <v>202328</v>
      </c>
      <c r="B7512" s="5" t="str">
        <f>"23085055517"</f>
        <v>23085055517</v>
      </c>
      <c r="C7512" s="6">
        <v>112.5</v>
      </c>
      <c r="D7512" s="6">
        <v>121</v>
      </c>
      <c r="E7512" s="6">
        <v>233.5</v>
      </c>
      <c r="F7512" s="11"/>
    </row>
    <row r="7513" spans="1:6">
      <c r="A7513" s="5" t="str">
        <f t="shared" si="132"/>
        <v>202328</v>
      </c>
      <c r="B7513" s="5" t="str">
        <f>"23085060130"</f>
        <v>23085060130</v>
      </c>
      <c r="C7513" s="6">
        <v>112.5</v>
      </c>
      <c r="D7513" s="6">
        <v>120.5</v>
      </c>
      <c r="E7513" s="6">
        <v>233</v>
      </c>
      <c r="F7513" s="11"/>
    </row>
    <row r="7514" spans="1:6">
      <c r="A7514" s="5" t="str">
        <f t="shared" si="132"/>
        <v>202328</v>
      </c>
      <c r="B7514" s="5" t="str">
        <f>"23085055410"</f>
        <v>23085055410</v>
      </c>
      <c r="C7514" s="6">
        <v>112.5</v>
      </c>
      <c r="D7514" s="6">
        <v>120.5</v>
      </c>
      <c r="E7514" s="6">
        <v>233</v>
      </c>
      <c r="F7514" s="11"/>
    </row>
    <row r="7515" spans="1:6">
      <c r="A7515" s="5" t="str">
        <f t="shared" si="132"/>
        <v>202328</v>
      </c>
      <c r="B7515" s="5" t="str">
        <f>"23085055417"</f>
        <v>23085055417</v>
      </c>
      <c r="C7515" s="6">
        <v>120</v>
      </c>
      <c r="D7515" s="6">
        <v>112</v>
      </c>
      <c r="E7515" s="6">
        <v>232</v>
      </c>
      <c r="F7515" s="11"/>
    </row>
    <row r="7516" spans="1:6">
      <c r="A7516" s="5" t="str">
        <f t="shared" si="132"/>
        <v>202328</v>
      </c>
      <c r="B7516" s="5" t="str">
        <f>"23085055426"</f>
        <v>23085055426</v>
      </c>
      <c r="C7516" s="6">
        <v>115.5</v>
      </c>
      <c r="D7516" s="6">
        <v>116</v>
      </c>
      <c r="E7516" s="6">
        <v>231.5</v>
      </c>
      <c r="F7516" s="11"/>
    </row>
    <row r="7517" spans="1:6">
      <c r="A7517" s="5" t="str">
        <f t="shared" si="132"/>
        <v>202328</v>
      </c>
      <c r="B7517" s="5" t="str">
        <f>"23085055316"</f>
        <v>23085055316</v>
      </c>
      <c r="C7517" s="6">
        <v>109.5</v>
      </c>
      <c r="D7517" s="6">
        <v>121</v>
      </c>
      <c r="E7517" s="6">
        <v>230.5</v>
      </c>
      <c r="F7517" s="11"/>
    </row>
    <row r="7518" spans="1:6">
      <c r="A7518" s="5" t="str">
        <f t="shared" si="132"/>
        <v>202328</v>
      </c>
      <c r="B7518" s="5" t="str">
        <f>"23085055309"</f>
        <v>23085055309</v>
      </c>
      <c r="C7518" s="6">
        <v>108</v>
      </c>
      <c r="D7518" s="6">
        <v>121.5</v>
      </c>
      <c r="E7518" s="6">
        <v>229.5</v>
      </c>
      <c r="F7518" s="11"/>
    </row>
    <row r="7519" spans="1:6">
      <c r="A7519" s="5" t="str">
        <f t="shared" si="132"/>
        <v>202328</v>
      </c>
      <c r="B7519" s="5" t="str">
        <f>"23085055424"</f>
        <v>23085055424</v>
      </c>
      <c r="C7519" s="6">
        <v>118.5</v>
      </c>
      <c r="D7519" s="6">
        <v>110</v>
      </c>
      <c r="E7519" s="6">
        <v>228.5</v>
      </c>
      <c r="F7519" s="11"/>
    </row>
    <row r="7520" spans="1:6">
      <c r="A7520" s="5" t="str">
        <f t="shared" si="132"/>
        <v>202328</v>
      </c>
      <c r="B7520" s="5" t="str">
        <f>"23085055518"</f>
        <v>23085055518</v>
      </c>
      <c r="C7520" s="6">
        <v>109.5</v>
      </c>
      <c r="D7520" s="6">
        <v>118</v>
      </c>
      <c r="E7520" s="6">
        <v>227.5</v>
      </c>
      <c r="F7520" s="11"/>
    </row>
    <row r="7521" spans="1:6">
      <c r="A7521" s="5" t="str">
        <f t="shared" si="132"/>
        <v>202328</v>
      </c>
      <c r="B7521" s="5" t="str">
        <f>"23085060229"</f>
        <v>23085060229</v>
      </c>
      <c r="C7521" s="6">
        <v>106.5</v>
      </c>
      <c r="D7521" s="6">
        <v>121</v>
      </c>
      <c r="E7521" s="6">
        <v>227.5</v>
      </c>
      <c r="F7521" s="11"/>
    </row>
    <row r="7522" spans="1:6">
      <c r="A7522" s="5" t="str">
        <f t="shared" si="132"/>
        <v>202328</v>
      </c>
      <c r="B7522" s="5" t="str">
        <f>"23085060204"</f>
        <v>23085060204</v>
      </c>
      <c r="C7522" s="6">
        <v>112.5</v>
      </c>
      <c r="D7522" s="6">
        <v>115</v>
      </c>
      <c r="E7522" s="6">
        <v>227.5</v>
      </c>
      <c r="F7522" s="11"/>
    </row>
    <row r="7523" spans="1:6">
      <c r="A7523" s="5" t="str">
        <f t="shared" si="132"/>
        <v>202328</v>
      </c>
      <c r="B7523" s="5" t="str">
        <f>"23085055307"</f>
        <v>23085055307</v>
      </c>
      <c r="C7523" s="6">
        <v>115.5</v>
      </c>
      <c r="D7523" s="6">
        <v>112</v>
      </c>
      <c r="E7523" s="6">
        <v>227.5</v>
      </c>
      <c r="F7523" s="11"/>
    </row>
    <row r="7524" spans="1:6">
      <c r="A7524" s="5" t="str">
        <f t="shared" si="132"/>
        <v>202328</v>
      </c>
      <c r="B7524" s="5" t="str">
        <f>"23085060124"</f>
        <v>23085060124</v>
      </c>
      <c r="C7524" s="6">
        <v>105</v>
      </c>
      <c r="D7524" s="6">
        <v>122</v>
      </c>
      <c r="E7524" s="6">
        <v>227</v>
      </c>
      <c r="F7524" s="11"/>
    </row>
    <row r="7525" spans="1:6">
      <c r="A7525" s="5" t="str">
        <f t="shared" si="132"/>
        <v>202328</v>
      </c>
      <c r="B7525" s="5" t="str">
        <f>"23085055314"</f>
        <v>23085055314</v>
      </c>
      <c r="C7525" s="6">
        <v>109.5</v>
      </c>
      <c r="D7525" s="6">
        <v>117.5</v>
      </c>
      <c r="E7525" s="6">
        <v>227</v>
      </c>
      <c r="F7525" s="11"/>
    </row>
    <row r="7526" spans="1:6">
      <c r="A7526" s="5" t="str">
        <f t="shared" si="132"/>
        <v>202328</v>
      </c>
      <c r="B7526" s="5" t="str">
        <f>"23085060112"</f>
        <v>23085060112</v>
      </c>
      <c r="C7526" s="6">
        <v>109.5</v>
      </c>
      <c r="D7526" s="6">
        <v>117.5</v>
      </c>
      <c r="E7526" s="6">
        <v>227</v>
      </c>
      <c r="F7526" s="11"/>
    </row>
    <row r="7527" spans="1:6">
      <c r="A7527" s="5" t="str">
        <f t="shared" si="132"/>
        <v>202328</v>
      </c>
      <c r="B7527" s="5" t="str">
        <f>"23085055421"</f>
        <v>23085055421</v>
      </c>
      <c r="C7527" s="6">
        <v>111</v>
      </c>
      <c r="D7527" s="6">
        <v>115.5</v>
      </c>
      <c r="E7527" s="6">
        <v>226.5</v>
      </c>
      <c r="F7527" s="11"/>
    </row>
    <row r="7528" spans="1:6">
      <c r="A7528" s="5" t="str">
        <f t="shared" si="132"/>
        <v>202328</v>
      </c>
      <c r="B7528" s="5" t="str">
        <f>"23085055428"</f>
        <v>23085055428</v>
      </c>
      <c r="C7528" s="6">
        <v>112.5</v>
      </c>
      <c r="D7528" s="6">
        <v>113</v>
      </c>
      <c r="E7528" s="6">
        <v>225.5</v>
      </c>
      <c r="F7528" s="11"/>
    </row>
    <row r="7529" spans="1:6">
      <c r="A7529" s="5" t="str">
        <f t="shared" si="132"/>
        <v>202328</v>
      </c>
      <c r="B7529" s="5" t="str">
        <f>"23085060125"</f>
        <v>23085060125</v>
      </c>
      <c r="C7529" s="6">
        <v>111</v>
      </c>
      <c r="D7529" s="6">
        <v>114</v>
      </c>
      <c r="E7529" s="6">
        <v>225</v>
      </c>
      <c r="F7529" s="11"/>
    </row>
    <row r="7530" spans="1:6">
      <c r="A7530" s="5" t="str">
        <f t="shared" si="132"/>
        <v>202328</v>
      </c>
      <c r="B7530" s="5" t="str">
        <f>"23085055313"</f>
        <v>23085055313</v>
      </c>
      <c r="C7530" s="6">
        <v>108</v>
      </c>
      <c r="D7530" s="6">
        <v>117</v>
      </c>
      <c r="E7530" s="6">
        <v>225</v>
      </c>
      <c r="F7530" s="11"/>
    </row>
    <row r="7531" spans="1:6">
      <c r="A7531" s="5" t="str">
        <f t="shared" si="132"/>
        <v>202328</v>
      </c>
      <c r="B7531" s="5" t="str">
        <f>"23085055503"</f>
        <v>23085055503</v>
      </c>
      <c r="C7531" s="6">
        <v>103.5</v>
      </c>
      <c r="D7531" s="6">
        <v>121</v>
      </c>
      <c r="E7531" s="6">
        <v>224.5</v>
      </c>
      <c r="F7531" s="11"/>
    </row>
    <row r="7532" spans="1:6">
      <c r="A7532" s="5" t="str">
        <f t="shared" si="132"/>
        <v>202328</v>
      </c>
      <c r="B7532" s="5" t="str">
        <f>"23085060108"</f>
        <v>23085060108</v>
      </c>
      <c r="C7532" s="6">
        <v>105</v>
      </c>
      <c r="D7532" s="6">
        <v>118.5</v>
      </c>
      <c r="E7532" s="6">
        <v>223.5</v>
      </c>
      <c r="F7532" s="11"/>
    </row>
    <row r="7533" spans="1:6">
      <c r="A7533" s="5" t="str">
        <f t="shared" si="132"/>
        <v>202328</v>
      </c>
      <c r="B7533" s="5" t="str">
        <f>"23085060120"</f>
        <v>23085060120</v>
      </c>
      <c r="C7533" s="6">
        <v>114</v>
      </c>
      <c r="D7533" s="6">
        <v>109</v>
      </c>
      <c r="E7533" s="6">
        <v>223</v>
      </c>
      <c r="F7533" s="11"/>
    </row>
    <row r="7534" spans="1:6">
      <c r="A7534" s="5" t="str">
        <f t="shared" si="132"/>
        <v>202328</v>
      </c>
      <c r="B7534" s="5" t="str">
        <f>"23085055405"</f>
        <v>23085055405</v>
      </c>
      <c r="C7534" s="6">
        <v>106.5</v>
      </c>
      <c r="D7534" s="6">
        <v>116.5</v>
      </c>
      <c r="E7534" s="6">
        <v>223</v>
      </c>
      <c r="F7534" s="11"/>
    </row>
    <row r="7535" spans="1:6">
      <c r="A7535" s="5" t="str">
        <f t="shared" si="132"/>
        <v>202328</v>
      </c>
      <c r="B7535" s="5" t="str">
        <f>"23085055414"</f>
        <v>23085055414</v>
      </c>
      <c r="C7535" s="6">
        <v>103.5</v>
      </c>
      <c r="D7535" s="6">
        <v>119.5</v>
      </c>
      <c r="E7535" s="6">
        <v>223</v>
      </c>
      <c r="F7535" s="11"/>
    </row>
    <row r="7536" spans="1:6">
      <c r="A7536" s="5" t="str">
        <f t="shared" si="132"/>
        <v>202328</v>
      </c>
      <c r="B7536" s="5" t="str">
        <f>"23085055527"</f>
        <v>23085055527</v>
      </c>
      <c r="C7536" s="6">
        <v>105</v>
      </c>
      <c r="D7536" s="6">
        <v>118</v>
      </c>
      <c r="E7536" s="6">
        <v>223</v>
      </c>
      <c r="F7536" s="11"/>
    </row>
    <row r="7537" spans="1:6">
      <c r="A7537" s="5" t="str">
        <f t="shared" si="132"/>
        <v>202328</v>
      </c>
      <c r="B7537" s="5" t="str">
        <f>"23085055312"</f>
        <v>23085055312</v>
      </c>
      <c r="C7537" s="6">
        <v>108</v>
      </c>
      <c r="D7537" s="6">
        <v>114.5</v>
      </c>
      <c r="E7537" s="6">
        <v>222.5</v>
      </c>
      <c r="F7537" s="11"/>
    </row>
    <row r="7538" spans="1:6">
      <c r="A7538" s="5" t="str">
        <f t="shared" si="132"/>
        <v>202328</v>
      </c>
      <c r="B7538" s="5" t="str">
        <f>"23085055530"</f>
        <v>23085055530</v>
      </c>
      <c r="C7538" s="6">
        <v>105</v>
      </c>
      <c r="D7538" s="6">
        <v>117</v>
      </c>
      <c r="E7538" s="6">
        <v>222</v>
      </c>
      <c r="F7538" s="11"/>
    </row>
    <row r="7539" spans="1:6">
      <c r="A7539" s="5" t="str">
        <f t="shared" si="132"/>
        <v>202328</v>
      </c>
      <c r="B7539" s="5" t="str">
        <f>"23085060101"</f>
        <v>23085060101</v>
      </c>
      <c r="C7539" s="6">
        <v>102</v>
      </c>
      <c r="D7539" s="6">
        <v>119.5</v>
      </c>
      <c r="E7539" s="6">
        <v>221.5</v>
      </c>
      <c r="F7539" s="11"/>
    </row>
    <row r="7540" spans="1:6">
      <c r="A7540" s="5" t="str">
        <f t="shared" si="132"/>
        <v>202328</v>
      </c>
      <c r="B7540" s="5" t="str">
        <f>"23085060226"</f>
        <v>23085060226</v>
      </c>
      <c r="C7540" s="6">
        <v>108</v>
      </c>
      <c r="D7540" s="6">
        <v>113.5</v>
      </c>
      <c r="E7540" s="6">
        <v>221.5</v>
      </c>
      <c r="F7540" s="11"/>
    </row>
    <row r="7541" spans="1:6">
      <c r="A7541" s="5" t="str">
        <f t="shared" si="132"/>
        <v>202328</v>
      </c>
      <c r="B7541" s="5" t="str">
        <f>"23085055328"</f>
        <v>23085055328</v>
      </c>
      <c r="C7541" s="6">
        <v>102</v>
      </c>
      <c r="D7541" s="6">
        <v>119.5</v>
      </c>
      <c r="E7541" s="6">
        <v>221.5</v>
      </c>
      <c r="F7541" s="11"/>
    </row>
    <row r="7542" spans="1:6">
      <c r="A7542" s="5" t="str">
        <f t="shared" si="132"/>
        <v>202328</v>
      </c>
      <c r="B7542" s="5" t="str">
        <f>"23085060201"</f>
        <v>23085060201</v>
      </c>
      <c r="C7542" s="6">
        <v>100.5</v>
      </c>
      <c r="D7542" s="6">
        <v>119</v>
      </c>
      <c r="E7542" s="6">
        <v>219.5</v>
      </c>
      <c r="F7542" s="11"/>
    </row>
    <row r="7543" spans="1:6">
      <c r="A7543" s="5" t="str">
        <f t="shared" si="132"/>
        <v>202328</v>
      </c>
      <c r="B7543" s="5" t="str">
        <f>"23085055315"</f>
        <v>23085055315</v>
      </c>
      <c r="C7543" s="6">
        <v>102</v>
      </c>
      <c r="D7543" s="6">
        <v>117.5</v>
      </c>
      <c r="E7543" s="6">
        <v>219.5</v>
      </c>
      <c r="F7543" s="11"/>
    </row>
    <row r="7544" spans="1:6">
      <c r="A7544" s="5" t="str">
        <f t="shared" si="132"/>
        <v>202328</v>
      </c>
      <c r="B7544" s="5" t="str">
        <f>"23085055509"</f>
        <v>23085055509</v>
      </c>
      <c r="C7544" s="6">
        <v>96</v>
      </c>
      <c r="D7544" s="6">
        <v>123</v>
      </c>
      <c r="E7544" s="6">
        <v>219</v>
      </c>
      <c r="F7544" s="11"/>
    </row>
    <row r="7545" spans="1:6">
      <c r="A7545" s="5" t="str">
        <f t="shared" si="132"/>
        <v>202328</v>
      </c>
      <c r="B7545" s="5" t="str">
        <f>"23085055511"</f>
        <v>23085055511</v>
      </c>
      <c r="C7545" s="6">
        <v>114</v>
      </c>
      <c r="D7545" s="6">
        <v>105</v>
      </c>
      <c r="E7545" s="6">
        <v>219</v>
      </c>
      <c r="F7545" s="11"/>
    </row>
    <row r="7546" spans="1:6">
      <c r="A7546" s="5" t="str">
        <f t="shared" si="132"/>
        <v>202328</v>
      </c>
      <c r="B7546" s="5" t="str">
        <f>"23085060203"</f>
        <v>23085060203</v>
      </c>
      <c r="C7546" s="6">
        <v>99</v>
      </c>
      <c r="D7546" s="6">
        <v>119.5</v>
      </c>
      <c r="E7546" s="6">
        <v>218.5</v>
      </c>
      <c r="F7546" s="11"/>
    </row>
    <row r="7547" spans="1:6">
      <c r="A7547" s="5" t="str">
        <f t="shared" si="132"/>
        <v>202328</v>
      </c>
      <c r="B7547" s="5" t="str">
        <f>"23085055425"</f>
        <v>23085055425</v>
      </c>
      <c r="C7547" s="6">
        <v>114</v>
      </c>
      <c r="D7547" s="6">
        <v>104</v>
      </c>
      <c r="E7547" s="6">
        <v>218</v>
      </c>
      <c r="F7547" s="11"/>
    </row>
    <row r="7548" spans="1:6">
      <c r="A7548" s="5" t="str">
        <f t="shared" si="132"/>
        <v>202328</v>
      </c>
      <c r="B7548" s="5" t="str">
        <f>"23085060119"</f>
        <v>23085060119</v>
      </c>
      <c r="C7548" s="6">
        <v>99</v>
      </c>
      <c r="D7548" s="6">
        <v>119</v>
      </c>
      <c r="E7548" s="6">
        <v>218</v>
      </c>
      <c r="F7548" s="11"/>
    </row>
    <row r="7549" spans="1:6">
      <c r="A7549" s="5" t="str">
        <f t="shared" si="132"/>
        <v>202328</v>
      </c>
      <c r="B7549" s="5" t="str">
        <f>"23085055317"</f>
        <v>23085055317</v>
      </c>
      <c r="C7549" s="6">
        <v>100.5</v>
      </c>
      <c r="D7549" s="6">
        <v>116.5</v>
      </c>
      <c r="E7549" s="6">
        <v>217</v>
      </c>
      <c r="F7549" s="11"/>
    </row>
    <row r="7550" spans="1:6">
      <c r="A7550" s="5" t="str">
        <f t="shared" si="132"/>
        <v>202328</v>
      </c>
      <c r="B7550" s="5" t="str">
        <f>"23085055403"</f>
        <v>23085055403</v>
      </c>
      <c r="C7550" s="6">
        <v>96</v>
      </c>
      <c r="D7550" s="6">
        <v>121</v>
      </c>
      <c r="E7550" s="6">
        <v>217</v>
      </c>
      <c r="F7550" s="11"/>
    </row>
    <row r="7551" spans="1:6">
      <c r="A7551" s="5" t="str">
        <f t="shared" si="132"/>
        <v>202328</v>
      </c>
      <c r="B7551" s="5" t="str">
        <f>"23085060103"</f>
        <v>23085060103</v>
      </c>
      <c r="C7551" s="6">
        <v>102</v>
      </c>
      <c r="D7551" s="6">
        <v>115</v>
      </c>
      <c r="E7551" s="6">
        <v>217</v>
      </c>
      <c r="F7551" s="11"/>
    </row>
    <row r="7552" spans="1:6">
      <c r="A7552" s="5" t="str">
        <f t="shared" si="132"/>
        <v>202328</v>
      </c>
      <c r="B7552" s="5" t="str">
        <f>"23085055408"</f>
        <v>23085055408</v>
      </c>
      <c r="C7552" s="6">
        <v>105</v>
      </c>
      <c r="D7552" s="6">
        <v>111.5</v>
      </c>
      <c r="E7552" s="6">
        <v>216.5</v>
      </c>
      <c r="F7552" s="11"/>
    </row>
    <row r="7553" spans="1:6">
      <c r="A7553" s="5" t="str">
        <f t="shared" si="132"/>
        <v>202328</v>
      </c>
      <c r="B7553" s="5" t="str">
        <f>"23085055427"</f>
        <v>23085055427</v>
      </c>
      <c r="C7553" s="6">
        <v>108</v>
      </c>
      <c r="D7553" s="6">
        <v>108.5</v>
      </c>
      <c r="E7553" s="6">
        <v>216.5</v>
      </c>
      <c r="F7553" s="11"/>
    </row>
    <row r="7554" spans="1:6">
      <c r="A7554" s="5" t="str">
        <f t="shared" si="132"/>
        <v>202328</v>
      </c>
      <c r="B7554" s="5" t="str">
        <f>"23085055411"</f>
        <v>23085055411</v>
      </c>
      <c r="C7554" s="6">
        <v>102</v>
      </c>
      <c r="D7554" s="6">
        <v>114</v>
      </c>
      <c r="E7554" s="6">
        <v>216</v>
      </c>
      <c r="F7554" s="11"/>
    </row>
    <row r="7555" spans="1:6">
      <c r="A7555" s="5" t="str">
        <f t="shared" si="132"/>
        <v>202328</v>
      </c>
      <c r="B7555" s="5" t="str">
        <f>"23085060126"</f>
        <v>23085060126</v>
      </c>
      <c r="C7555" s="6">
        <v>103.5</v>
      </c>
      <c r="D7555" s="6">
        <v>112.5</v>
      </c>
      <c r="E7555" s="6">
        <v>216</v>
      </c>
      <c r="F7555" s="11"/>
    </row>
    <row r="7556" spans="1:6">
      <c r="A7556" s="5" t="str">
        <f t="shared" si="132"/>
        <v>202328</v>
      </c>
      <c r="B7556" s="5" t="str">
        <f>"23085060121"</f>
        <v>23085060121</v>
      </c>
      <c r="C7556" s="6">
        <v>96</v>
      </c>
      <c r="D7556" s="6">
        <v>120</v>
      </c>
      <c r="E7556" s="6">
        <v>216</v>
      </c>
      <c r="F7556" s="11"/>
    </row>
    <row r="7557" spans="1:6">
      <c r="A7557" s="5" t="str">
        <f t="shared" si="132"/>
        <v>202328</v>
      </c>
      <c r="B7557" s="5" t="str">
        <f>"23085055323"</f>
        <v>23085055323</v>
      </c>
      <c r="C7557" s="6">
        <v>108</v>
      </c>
      <c r="D7557" s="6">
        <v>107.5</v>
      </c>
      <c r="E7557" s="6">
        <v>215.5</v>
      </c>
      <c r="F7557" s="11"/>
    </row>
    <row r="7558" spans="1:6">
      <c r="A7558" s="5" t="str">
        <f t="shared" si="132"/>
        <v>202328</v>
      </c>
      <c r="B7558" s="5" t="str">
        <f>"23085060110"</f>
        <v>23085060110</v>
      </c>
      <c r="C7558" s="6">
        <v>103.5</v>
      </c>
      <c r="D7558" s="6">
        <v>112</v>
      </c>
      <c r="E7558" s="6">
        <v>215.5</v>
      </c>
      <c r="F7558" s="11"/>
    </row>
    <row r="7559" spans="1:6">
      <c r="A7559" s="5" t="str">
        <f t="shared" si="132"/>
        <v>202328</v>
      </c>
      <c r="B7559" s="5" t="str">
        <f>"23085055406"</f>
        <v>23085055406</v>
      </c>
      <c r="C7559" s="6">
        <v>102</v>
      </c>
      <c r="D7559" s="6">
        <v>113</v>
      </c>
      <c r="E7559" s="6">
        <v>215</v>
      </c>
      <c r="F7559" s="11"/>
    </row>
    <row r="7560" spans="1:6">
      <c r="A7560" s="5" t="str">
        <f t="shared" si="132"/>
        <v>202328</v>
      </c>
      <c r="B7560" s="5" t="str">
        <f>"23085055327"</f>
        <v>23085055327</v>
      </c>
      <c r="C7560" s="6">
        <v>105</v>
      </c>
      <c r="D7560" s="6">
        <v>109.5</v>
      </c>
      <c r="E7560" s="6">
        <v>214.5</v>
      </c>
      <c r="F7560" s="11"/>
    </row>
    <row r="7561" spans="1:6">
      <c r="A7561" s="5" t="str">
        <f t="shared" si="132"/>
        <v>202328</v>
      </c>
      <c r="B7561" s="5" t="str">
        <f>"23085060206"</f>
        <v>23085060206</v>
      </c>
      <c r="C7561" s="6">
        <v>97.5</v>
      </c>
      <c r="D7561" s="6">
        <v>117</v>
      </c>
      <c r="E7561" s="6">
        <v>214.5</v>
      </c>
      <c r="F7561" s="11"/>
    </row>
    <row r="7562" spans="1:6">
      <c r="A7562" s="5" t="str">
        <f t="shared" si="132"/>
        <v>202328</v>
      </c>
      <c r="B7562" s="5" t="str">
        <f>"23085060106"</f>
        <v>23085060106</v>
      </c>
      <c r="C7562" s="6">
        <v>100.5</v>
      </c>
      <c r="D7562" s="6">
        <v>113.5</v>
      </c>
      <c r="E7562" s="6">
        <v>214</v>
      </c>
      <c r="F7562" s="11"/>
    </row>
    <row r="7563" spans="1:6">
      <c r="A7563" s="5" t="str">
        <f t="shared" si="132"/>
        <v>202328</v>
      </c>
      <c r="B7563" s="5" t="str">
        <f>"23085060230"</f>
        <v>23085060230</v>
      </c>
      <c r="C7563" s="6">
        <v>100.5</v>
      </c>
      <c r="D7563" s="6">
        <v>113</v>
      </c>
      <c r="E7563" s="6">
        <v>213.5</v>
      </c>
      <c r="F7563" s="11"/>
    </row>
    <row r="7564" spans="1:6">
      <c r="A7564" s="5" t="str">
        <f t="shared" si="132"/>
        <v>202328</v>
      </c>
      <c r="B7564" s="5" t="str">
        <f>"23085060202"</f>
        <v>23085060202</v>
      </c>
      <c r="C7564" s="6">
        <v>109.5</v>
      </c>
      <c r="D7564" s="6">
        <v>104</v>
      </c>
      <c r="E7564" s="6">
        <v>213.5</v>
      </c>
      <c r="F7564" s="11"/>
    </row>
    <row r="7565" spans="1:6">
      <c r="A7565" s="5" t="str">
        <f t="shared" si="132"/>
        <v>202328</v>
      </c>
      <c r="B7565" s="5" t="str">
        <f>"23085055329"</f>
        <v>23085055329</v>
      </c>
      <c r="C7565" s="6">
        <v>94.5</v>
      </c>
      <c r="D7565" s="6">
        <v>119</v>
      </c>
      <c r="E7565" s="6">
        <v>213.5</v>
      </c>
      <c r="F7565" s="11"/>
    </row>
    <row r="7566" spans="1:6">
      <c r="A7566" s="5" t="str">
        <f t="shared" si="132"/>
        <v>202328</v>
      </c>
      <c r="B7566" s="5" t="str">
        <f>"23085055310"</f>
        <v>23085055310</v>
      </c>
      <c r="C7566" s="6">
        <v>102</v>
      </c>
      <c r="D7566" s="6">
        <v>111.5</v>
      </c>
      <c r="E7566" s="6">
        <v>213.5</v>
      </c>
      <c r="F7566" s="11"/>
    </row>
    <row r="7567" spans="1:6">
      <c r="A7567" s="5" t="str">
        <f t="shared" si="132"/>
        <v>202328</v>
      </c>
      <c r="B7567" s="5" t="str">
        <f>"23085060114"</f>
        <v>23085060114</v>
      </c>
      <c r="C7567" s="6">
        <v>93</v>
      </c>
      <c r="D7567" s="6">
        <v>120</v>
      </c>
      <c r="E7567" s="6">
        <v>213</v>
      </c>
      <c r="F7567" s="11"/>
    </row>
    <row r="7568" spans="1:6">
      <c r="A7568" s="5" t="str">
        <f t="shared" si="132"/>
        <v>202328</v>
      </c>
      <c r="B7568" s="5" t="str">
        <f>"23085055501"</f>
        <v>23085055501</v>
      </c>
      <c r="C7568" s="6">
        <v>94.5</v>
      </c>
      <c r="D7568" s="6">
        <v>118.5</v>
      </c>
      <c r="E7568" s="6">
        <v>213</v>
      </c>
      <c r="F7568" s="11"/>
    </row>
    <row r="7569" spans="1:6">
      <c r="A7569" s="5" t="str">
        <f t="shared" si="132"/>
        <v>202328</v>
      </c>
      <c r="B7569" s="5" t="str">
        <f>"23085055412"</f>
        <v>23085055412</v>
      </c>
      <c r="C7569" s="6">
        <v>94.5</v>
      </c>
      <c r="D7569" s="6">
        <v>118.5</v>
      </c>
      <c r="E7569" s="6">
        <v>213</v>
      </c>
      <c r="F7569" s="11"/>
    </row>
    <row r="7570" spans="1:6">
      <c r="A7570" s="5" t="str">
        <f t="shared" si="132"/>
        <v>202328</v>
      </c>
      <c r="B7570" s="5" t="str">
        <f>"23085060116"</f>
        <v>23085060116</v>
      </c>
      <c r="C7570" s="6">
        <v>94.5</v>
      </c>
      <c r="D7570" s="6">
        <v>118.5</v>
      </c>
      <c r="E7570" s="6">
        <v>213</v>
      </c>
      <c r="F7570" s="11"/>
    </row>
    <row r="7571" spans="1:6">
      <c r="A7571" s="5" t="str">
        <f t="shared" si="132"/>
        <v>202328</v>
      </c>
      <c r="B7571" s="5" t="str">
        <f>"23085060115"</f>
        <v>23085060115</v>
      </c>
      <c r="C7571" s="6">
        <v>105</v>
      </c>
      <c r="D7571" s="6">
        <v>107.5</v>
      </c>
      <c r="E7571" s="6">
        <v>212.5</v>
      </c>
      <c r="F7571" s="11"/>
    </row>
    <row r="7572" spans="1:6">
      <c r="A7572" s="5" t="str">
        <f t="shared" si="132"/>
        <v>202328</v>
      </c>
      <c r="B7572" s="5" t="str">
        <f>"23085060102"</f>
        <v>23085060102</v>
      </c>
      <c r="C7572" s="6">
        <v>102</v>
      </c>
      <c r="D7572" s="6">
        <v>110</v>
      </c>
      <c r="E7572" s="6">
        <v>212</v>
      </c>
      <c r="F7572" s="11"/>
    </row>
    <row r="7573" spans="1:6">
      <c r="A7573" s="5" t="str">
        <f t="shared" ref="A7573:A7636" si="133">"202328"</f>
        <v>202328</v>
      </c>
      <c r="B7573" s="5" t="str">
        <f>"23085060218"</f>
        <v>23085060218</v>
      </c>
      <c r="C7573" s="6">
        <v>100.5</v>
      </c>
      <c r="D7573" s="6">
        <v>111</v>
      </c>
      <c r="E7573" s="6">
        <v>211.5</v>
      </c>
      <c r="F7573" s="11"/>
    </row>
    <row r="7574" spans="1:6">
      <c r="A7574" s="5" t="str">
        <f t="shared" si="133"/>
        <v>202328</v>
      </c>
      <c r="B7574" s="5" t="str">
        <f>"23085060207"</f>
        <v>23085060207</v>
      </c>
      <c r="C7574" s="6">
        <v>94.5</v>
      </c>
      <c r="D7574" s="6">
        <v>117</v>
      </c>
      <c r="E7574" s="6">
        <v>211.5</v>
      </c>
      <c r="F7574" s="11"/>
    </row>
    <row r="7575" spans="1:6">
      <c r="A7575" s="5" t="str">
        <f t="shared" si="133"/>
        <v>202328</v>
      </c>
      <c r="B7575" s="5" t="str">
        <f>"23085060216"</f>
        <v>23085060216</v>
      </c>
      <c r="C7575" s="6">
        <v>93</v>
      </c>
      <c r="D7575" s="6">
        <v>117</v>
      </c>
      <c r="E7575" s="6">
        <v>210</v>
      </c>
      <c r="F7575" s="11"/>
    </row>
    <row r="7576" spans="1:6">
      <c r="A7576" s="5" t="str">
        <f t="shared" si="133"/>
        <v>202328</v>
      </c>
      <c r="B7576" s="5" t="str">
        <f>"23085060222"</f>
        <v>23085060222</v>
      </c>
      <c r="C7576" s="6">
        <v>94.5</v>
      </c>
      <c r="D7576" s="6">
        <v>115.5</v>
      </c>
      <c r="E7576" s="6">
        <v>210</v>
      </c>
      <c r="F7576" s="11"/>
    </row>
    <row r="7577" spans="1:6">
      <c r="A7577" s="5" t="str">
        <f t="shared" si="133"/>
        <v>202328</v>
      </c>
      <c r="B7577" s="5" t="str">
        <f>"23085055512"</f>
        <v>23085055512</v>
      </c>
      <c r="C7577" s="6">
        <v>90</v>
      </c>
      <c r="D7577" s="6">
        <v>119.5</v>
      </c>
      <c r="E7577" s="6">
        <v>209.5</v>
      </c>
      <c r="F7577" s="11"/>
    </row>
    <row r="7578" spans="1:6">
      <c r="A7578" s="5" t="str">
        <f t="shared" si="133"/>
        <v>202328</v>
      </c>
      <c r="B7578" s="5" t="str">
        <f>"23085055524"</f>
        <v>23085055524</v>
      </c>
      <c r="C7578" s="6">
        <v>90</v>
      </c>
      <c r="D7578" s="6">
        <v>118.5</v>
      </c>
      <c r="E7578" s="6">
        <v>208.5</v>
      </c>
      <c r="F7578" s="11"/>
    </row>
    <row r="7579" spans="1:6">
      <c r="A7579" s="5" t="str">
        <f t="shared" si="133"/>
        <v>202328</v>
      </c>
      <c r="B7579" s="5" t="str">
        <f>"23085060306"</f>
        <v>23085060306</v>
      </c>
      <c r="C7579" s="6">
        <v>93</v>
      </c>
      <c r="D7579" s="6">
        <v>115.5</v>
      </c>
      <c r="E7579" s="6">
        <v>208.5</v>
      </c>
      <c r="F7579" s="11"/>
    </row>
    <row r="7580" spans="1:6">
      <c r="A7580" s="5" t="str">
        <f t="shared" si="133"/>
        <v>202328</v>
      </c>
      <c r="B7580" s="5" t="str">
        <f>"23085055416"</f>
        <v>23085055416</v>
      </c>
      <c r="C7580" s="6">
        <v>91.5</v>
      </c>
      <c r="D7580" s="6">
        <v>116.5</v>
      </c>
      <c r="E7580" s="6">
        <v>208</v>
      </c>
      <c r="F7580" s="11"/>
    </row>
    <row r="7581" spans="1:6">
      <c r="A7581" s="5" t="str">
        <f t="shared" si="133"/>
        <v>202328</v>
      </c>
      <c r="B7581" s="5" t="str">
        <f>"23085055529"</f>
        <v>23085055529</v>
      </c>
      <c r="C7581" s="6">
        <v>99</v>
      </c>
      <c r="D7581" s="6">
        <v>108.5</v>
      </c>
      <c r="E7581" s="6">
        <v>207.5</v>
      </c>
      <c r="F7581" s="11"/>
    </row>
    <row r="7582" spans="1:6">
      <c r="A7582" s="5" t="str">
        <f t="shared" si="133"/>
        <v>202328</v>
      </c>
      <c r="B7582" s="5" t="str">
        <f>"23085055521"</f>
        <v>23085055521</v>
      </c>
      <c r="C7582" s="6">
        <v>90</v>
      </c>
      <c r="D7582" s="6">
        <v>117.5</v>
      </c>
      <c r="E7582" s="6">
        <v>207.5</v>
      </c>
      <c r="F7582" s="11"/>
    </row>
    <row r="7583" spans="1:6">
      <c r="A7583" s="5" t="str">
        <f t="shared" si="133"/>
        <v>202328</v>
      </c>
      <c r="B7583" s="5" t="str">
        <f>"23085060111"</f>
        <v>23085060111</v>
      </c>
      <c r="C7583" s="6">
        <v>96</v>
      </c>
      <c r="D7583" s="6">
        <v>111</v>
      </c>
      <c r="E7583" s="6">
        <v>207</v>
      </c>
      <c r="F7583" s="11"/>
    </row>
    <row r="7584" spans="1:6">
      <c r="A7584" s="5" t="str">
        <f t="shared" si="133"/>
        <v>202328</v>
      </c>
      <c r="B7584" s="5" t="str">
        <f>"23085055526"</f>
        <v>23085055526</v>
      </c>
      <c r="C7584" s="6">
        <v>97.5</v>
      </c>
      <c r="D7584" s="6">
        <v>109.5</v>
      </c>
      <c r="E7584" s="6">
        <v>207</v>
      </c>
      <c r="F7584" s="11"/>
    </row>
    <row r="7585" spans="1:6">
      <c r="A7585" s="5" t="str">
        <f t="shared" si="133"/>
        <v>202328</v>
      </c>
      <c r="B7585" s="5" t="str">
        <f>"23085060210"</f>
        <v>23085060210</v>
      </c>
      <c r="C7585" s="6">
        <v>96</v>
      </c>
      <c r="D7585" s="6">
        <v>111</v>
      </c>
      <c r="E7585" s="6">
        <v>207</v>
      </c>
      <c r="F7585" s="11"/>
    </row>
    <row r="7586" spans="1:6">
      <c r="A7586" s="5" t="str">
        <f t="shared" si="133"/>
        <v>202328</v>
      </c>
      <c r="B7586" s="5" t="str">
        <f>"23085055508"</f>
        <v>23085055508</v>
      </c>
      <c r="C7586" s="6">
        <v>93</v>
      </c>
      <c r="D7586" s="6">
        <v>113</v>
      </c>
      <c r="E7586" s="6">
        <v>206</v>
      </c>
      <c r="F7586" s="11"/>
    </row>
    <row r="7587" spans="1:6">
      <c r="A7587" s="5" t="str">
        <f t="shared" si="133"/>
        <v>202328</v>
      </c>
      <c r="B7587" s="5" t="str">
        <f>"23085060129"</f>
        <v>23085060129</v>
      </c>
      <c r="C7587" s="6">
        <v>87</v>
      </c>
      <c r="D7587" s="6">
        <v>118</v>
      </c>
      <c r="E7587" s="6">
        <v>205</v>
      </c>
      <c r="F7587" s="11"/>
    </row>
    <row r="7588" spans="1:6">
      <c r="A7588" s="5" t="str">
        <f t="shared" si="133"/>
        <v>202328</v>
      </c>
      <c r="B7588" s="5" t="str">
        <f>"23085055523"</f>
        <v>23085055523</v>
      </c>
      <c r="C7588" s="6">
        <v>85.5</v>
      </c>
      <c r="D7588" s="6">
        <v>119.5</v>
      </c>
      <c r="E7588" s="6">
        <v>205</v>
      </c>
      <c r="F7588" s="11"/>
    </row>
    <row r="7589" spans="1:6">
      <c r="A7589" s="5" t="str">
        <f t="shared" si="133"/>
        <v>202328</v>
      </c>
      <c r="B7589" s="5" t="str">
        <f>"23085060104"</f>
        <v>23085060104</v>
      </c>
      <c r="C7589" s="6">
        <v>96</v>
      </c>
      <c r="D7589" s="6">
        <v>109</v>
      </c>
      <c r="E7589" s="6">
        <v>205</v>
      </c>
      <c r="F7589" s="11"/>
    </row>
    <row r="7590" spans="1:6">
      <c r="A7590" s="5" t="str">
        <f t="shared" si="133"/>
        <v>202328</v>
      </c>
      <c r="B7590" s="5" t="str">
        <f>"23085055320"</f>
        <v>23085055320</v>
      </c>
      <c r="C7590" s="6">
        <v>96</v>
      </c>
      <c r="D7590" s="6">
        <v>108.5</v>
      </c>
      <c r="E7590" s="6">
        <v>204.5</v>
      </c>
      <c r="F7590" s="11"/>
    </row>
    <row r="7591" spans="1:6">
      <c r="A7591" s="5" t="str">
        <f t="shared" si="133"/>
        <v>202328</v>
      </c>
      <c r="B7591" s="5" t="str">
        <f>"23085060208"</f>
        <v>23085060208</v>
      </c>
      <c r="C7591" s="6">
        <v>82.5</v>
      </c>
      <c r="D7591" s="6">
        <v>122</v>
      </c>
      <c r="E7591" s="6">
        <v>204.5</v>
      </c>
      <c r="F7591" s="11"/>
    </row>
    <row r="7592" spans="1:6">
      <c r="A7592" s="5" t="str">
        <f t="shared" si="133"/>
        <v>202328</v>
      </c>
      <c r="B7592" s="5" t="str">
        <f>"23085055330"</f>
        <v>23085055330</v>
      </c>
      <c r="C7592" s="6">
        <v>96</v>
      </c>
      <c r="D7592" s="6">
        <v>108.5</v>
      </c>
      <c r="E7592" s="6">
        <v>204.5</v>
      </c>
      <c r="F7592" s="11"/>
    </row>
    <row r="7593" spans="1:6">
      <c r="A7593" s="5" t="str">
        <f t="shared" si="133"/>
        <v>202328</v>
      </c>
      <c r="B7593" s="5" t="str">
        <f>"23085060205"</f>
        <v>23085060205</v>
      </c>
      <c r="C7593" s="6">
        <v>87</v>
      </c>
      <c r="D7593" s="6">
        <v>117</v>
      </c>
      <c r="E7593" s="6">
        <v>204</v>
      </c>
      <c r="F7593" s="11"/>
    </row>
    <row r="7594" spans="1:6">
      <c r="A7594" s="5" t="str">
        <f t="shared" si="133"/>
        <v>202328</v>
      </c>
      <c r="B7594" s="5" t="str">
        <f>"23085055504"</f>
        <v>23085055504</v>
      </c>
      <c r="C7594" s="6">
        <v>84</v>
      </c>
      <c r="D7594" s="6">
        <v>119</v>
      </c>
      <c r="E7594" s="6">
        <v>203</v>
      </c>
      <c r="F7594" s="11"/>
    </row>
    <row r="7595" spans="1:6">
      <c r="A7595" s="5" t="str">
        <f t="shared" si="133"/>
        <v>202328</v>
      </c>
      <c r="B7595" s="5" t="str">
        <f>"23085060228"</f>
        <v>23085060228</v>
      </c>
      <c r="C7595" s="6">
        <v>91.5</v>
      </c>
      <c r="D7595" s="6">
        <v>111.5</v>
      </c>
      <c r="E7595" s="6">
        <v>203</v>
      </c>
      <c r="F7595" s="11"/>
    </row>
    <row r="7596" spans="1:6">
      <c r="A7596" s="5" t="str">
        <f t="shared" si="133"/>
        <v>202328</v>
      </c>
      <c r="B7596" s="5" t="str">
        <f>"23085055415"</f>
        <v>23085055415</v>
      </c>
      <c r="C7596" s="6">
        <v>81</v>
      </c>
      <c r="D7596" s="6">
        <v>121.5</v>
      </c>
      <c r="E7596" s="6">
        <v>202.5</v>
      </c>
      <c r="F7596" s="11"/>
    </row>
    <row r="7597" spans="1:6">
      <c r="A7597" s="5" t="str">
        <f t="shared" si="133"/>
        <v>202328</v>
      </c>
      <c r="B7597" s="5" t="str">
        <f>"23085055308"</f>
        <v>23085055308</v>
      </c>
      <c r="C7597" s="6">
        <v>85.5</v>
      </c>
      <c r="D7597" s="6">
        <v>117</v>
      </c>
      <c r="E7597" s="6">
        <v>202.5</v>
      </c>
      <c r="F7597" s="11"/>
    </row>
    <row r="7598" spans="1:6">
      <c r="A7598" s="5" t="str">
        <f t="shared" si="133"/>
        <v>202328</v>
      </c>
      <c r="B7598" s="5" t="str">
        <f>"23085060123"</f>
        <v>23085060123</v>
      </c>
      <c r="C7598" s="6">
        <v>87</v>
      </c>
      <c r="D7598" s="6">
        <v>115</v>
      </c>
      <c r="E7598" s="6">
        <v>202</v>
      </c>
      <c r="F7598" s="11"/>
    </row>
    <row r="7599" spans="1:6">
      <c r="A7599" s="5" t="str">
        <f t="shared" si="133"/>
        <v>202328</v>
      </c>
      <c r="B7599" s="5" t="str">
        <f>"23085060214"</f>
        <v>23085060214</v>
      </c>
      <c r="C7599" s="6">
        <v>87</v>
      </c>
      <c r="D7599" s="6">
        <v>114</v>
      </c>
      <c r="E7599" s="6">
        <v>201</v>
      </c>
      <c r="F7599" s="11"/>
    </row>
    <row r="7600" spans="1:6">
      <c r="A7600" s="5" t="str">
        <f t="shared" si="133"/>
        <v>202328</v>
      </c>
      <c r="B7600" s="5" t="str">
        <f>"23085060223"</f>
        <v>23085060223</v>
      </c>
      <c r="C7600" s="6">
        <v>84</v>
      </c>
      <c r="D7600" s="6">
        <v>116.5</v>
      </c>
      <c r="E7600" s="6">
        <v>200.5</v>
      </c>
      <c r="F7600" s="11"/>
    </row>
    <row r="7601" spans="1:6">
      <c r="A7601" s="5" t="str">
        <f t="shared" si="133"/>
        <v>202328</v>
      </c>
      <c r="B7601" s="5" t="str">
        <f>"23085055430"</f>
        <v>23085055430</v>
      </c>
      <c r="C7601" s="6">
        <v>97.5</v>
      </c>
      <c r="D7601" s="6">
        <v>102</v>
      </c>
      <c r="E7601" s="6">
        <v>199.5</v>
      </c>
      <c r="F7601" s="11"/>
    </row>
    <row r="7602" spans="1:6">
      <c r="A7602" s="5" t="str">
        <f t="shared" si="133"/>
        <v>202328</v>
      </c>
      <c r="B7602" s="5" t="str">
        <f>"23085060113"</f>
        <v>23085060113</v>
      </c>
      <c r="C7602" s="6">
        <v>87</v>
      </c>
      <c r="D7602" s="6">
        <v>111.5</v>
      </c>
      <c r="E7602" s="6">
        <v>198.5</v>
      </c>
      <c r="F7602" s="11"/>
    </row>
    <row r="7603" spans="1:6">
      <c r="A7603" s="5" t="str">
        <f t="shared" si="133"/>
        <v>202328</v>
      </c>
      <c r="B7603" s="5" t="str">
        <f>"23085060122"</f>
        <v>23085060122</v>
      </c>
      <c r="C7603" s="6">
        <v>84</v>
      </c>
      <c r="D7603" s="6">
        <v>114</v>
      </c>
      <c r="E7603" s="6">
        <v>198</v>
      </c>
      <c r="F7603" s="11"/>
    </row>
    <row r="7604" spans="1:6">
      <c r="A7604" s="5" t="str">
        <f t="shared" si="133"/>
        <v>202328</v>
      </c>
      <c r="B7604" s="5" t="str">
        <f>"23085060209"</f>
        <v>23085060209</v>
      </c>
      <c r="C7604" s="6">
        <v>87</v>
      </c>
      <c r="D7604" s="6">
        <v>111</v>
      </c>
      <c r="E7604" s="6">
        <v>198</v>
      </c>
      <c r="F7604" s="11"/>
    </row>
    <row r="7605" spans="1:6">
      <c r="A7605" s="5" t="str">
        <f t="shared" si="133"/>
        <v>202328</v>
      </c>
      <c r="B7605" s="5" t="str">
        <f>"23085055407"</f>
        <v>23085055407</v>
      </c>
      <c r="C7605" s="6">
        <v>75</v>
      </c>
      <c r="D7605" s="6">
        <v>122</v>
      </c>
      <c r="E7605" s="6">
        <v>197</v>
      </c>
      <c r="F7605" s="11"/>
    </row>
    <row r="7606" spans="1:6">
      <c r="A7606" s="5" t="str">
        <f t="shared" si="133"/>
        <v>202328</v>
      </c>
      <c r="B7606" s="5" t="str">
        <f>"23085060107"</f>
        <v>23085060107</v>
      </c>
      <c r="C7606" s="6">
        <v>82.5</v>
      </c>
      <c r="D7606" s="6">
        <v>114.5</v>
      </c>
      <c r="E7606" s="6">
        <v>197</v>
      </c>
      <c r="F7606" s="11"/>
    </row>
    <row r="7607" spans="1:6">
      <c r="A7607" s="5" t="str">
        <f t="shared" si="133"/>
        <v>202328</v>
      </c>
      <c r="B7607" s="5" t="str">
        <f>"23085055429"</f>
        <v>23085055429</v>
      </c>
      <c r="C7607" s="6">
        <v>79.5</v>
      </c>
      <c r="D7607" s="6">
        <v>117</v>
      </c>
      <c r="E7607" s="6">
        <v>196.5</v>
      </c>
      <c r="F7607" s="11"/>
    </row>
    <row r="7608" spans="1:6">
      <c r="A7608" s="5" t="str">
        <f t="shared" si="133"/>
        <v>202328</v>
      </c>
      <c r="B7608" s="5" t="str">
        <f>"23085055322"</f>
        <v>23085055322</v>
      </c>
      <c r="C7608" s="6">
        <v>84</v>
      </c>
      <c r="D7608" s="6">
        <v>110</v>
      </c>
      <c r="E7608" s="6">
        <v>194</v>
      </c>
      <c r="F7608" s="11"/>
    </row>
    <row r="7609" spans="1:6">
      <c r="A7609" s="5" t="str">
        <f t="shared" si="133"/>
        <v>202328</v>
      </c>
      <c r="B7609" s="5" t="str">
        <f>"23085060211"</f>
        <v>23085060211</v>
      </c>
      <c r="C7609" s="6">
        <v>79.5</v>
      </c>
      <c r="D7609" s="6">
        <v>114</v>
      </c>
      <c r="E7609" s="6">
        <v>193.5</v>
      </c>
      <c r="F7609" s="11"/>
    </row>
    <row r="7610" spans="1:6">
      <c r="A7610" s="5" t="str">
        <f t="shared" si="133"/>
        <v>202328</v>
      </c>
      <c r="B7610" s="5" t="str">
        <f>"23085055514"</f>
        <v>23085055514</v>
      </c>
      <c r="C7610" s="6">
        <v>82.5</v>
      </c>
      <c r="D7610" s="6">
        <v>111</v>
      </c>
      <c r="E7610" s="6">
        <v>193.5</v>
      </c>
      <c r="F7610" s="11"/>
    </row>
    <row r="7611" spans="1:6">
      <c r="A7611" s="5" t="str">
        <f t="shared" si="133"/>
        <v>202328</v>
      </c>
      <c r="B7611" s="5" t="str">
        <f>"23085055318"</f>
        <v>23085055318</v>
      </c>
      <c r="C7611" s="6">
        <v>79.5</v>
      </c>
      <c r="D7611" s="6">
        <v>113</v>
      </c>
      <c r="E7611" s="6">
        <v>192.5</v>
      </c>
      <c r="F7611" s="11"/>
    </row>
    <row r="7612" spans="1:6">
      <c r="A7612" s="5" t="str">
        <f t="shared" si="133"/>
        <v>202328</v>
      </c>
      <c r="B7612" s="5" t="str">
        <f>"23085055423"</f>
        <v>23085055423</v>
      </c>
      <c r="C7612" s="6">
        <v>93</v>
      </c>
      <c r="D7612" s="6">
        <v>99</v>
      </c>
      <c r="E7612" s="6">
        <v>192</v>
      </c>
      <c r="F7612" s="11"/>
    </row>
    <row r="7613" spans="1:6">
      <c r="A7613" s="5" t="str">
        <f t="shared" si="133"/>
        <v>202328</v>
      </c>
      <c r="B7613" s="5" t="str">
        <f>"23085055516"</f>
        <v>23085055516</v>
      </c>
      <c r="C7613" s="6">
        <v>73.5</v>
      </c>
      <c r="D7613" s="6">
        <v>118.5</v>
      </c>
      <c r="E7613" s="6">
        <v>192</v>
      </c>
      <c r="F7613" s="11"/>
    </row>
    <row r="7614" spans="1:6">
      <c r="A7614" s="5" t="str">
        <f t="shared" si="133"/>
        <v>202328</v>
      </c>
      <c r="B7614" s="5" t="str">
        <f>"23085055326"</f>
        <v>23085055326</v>
      </c>
      <c r="C7614" s="6">
        <v>82.5</v>
      </c>
      <c r="D7614" s="6">
        <v>109</v>
      </c>
      <c r="E7614" s="6">
        <v>191.5</v>
      </c>
      <c r="F7614" s="11"/>
    </row>
    <row r="7615" spans="1:6">
      <c r="A7615" s="5" t="str">
        <f t="shared" si="133"/>
        <v>202328</v>
      </c>
      <c r="B7615" s="5" t="str">
        <f>"23085055321"</f>
        <v>23085055321</v>
      </c>
      <c r="C7615" s="6">
        <v>78</v>
      </c>
      <c r="D7615" s="6">
        <v>113</v>
      </c>
      <c r="E7615" s="6">
        <v>191</v>
      </c>
      <c r="F7615" s="11"/>
    </row>
    <row r="7616" spans="1:6">
      <c r="A7616" s="5" t="str">
        <f t="shared" si="133"/>
        <v>202328</v>
      </c>
      <c r="B7616" s="5" t="str">
        <f>"23085060212"</f>
        <v>23085060212</v>
      </c>
      <c r="C7616" s="6">
        <v>82.5</v>
      </c>
      <c r="D7616" s="6">
        <v>107.5</v>
      </c>
      <c r="E7616" s="6">
        <v>190</v>
      </c>
      <c r="F7616" s="11"/>
    </row>
    <row r="7617" spans="1:6">
      <c r="A7617" s="5" t="str">
        <f t="shared" si="133"/>
        <v>202328</v>
      </c>
      <c r="B7617" s="5" t="str">
        <f>"23085060217"</f>
        <v>23085060217</v>
      </c>
      <c r="C7617" s="6">
        <v>96</v>
      </c>
      <c r="D7617" s="6">
        <v>94</v>
      </c>
      <c r="E7617" s="6">
        <v>190</v>
      </c>
      <c r="F7617" s="11"/>
    </row>
    <row r="7618" spans="1:6">
      <c r="A7618" s="5" t="str">
        <f t="shared" si="133"/>
        <v>202328</v>
      </c>
      <c r="B7618" s="5" t="str">
        <f>"23085055519"</f>
        <v>23085055519</v>
      </c>
      <c r="C7618" s="6">
        <v>82.5</v>
      </c>
      <c r="D7618" s="6">
        <v>107</v>
      </c>
      <c r="E7618" s="6">
        <v>189.5</v>
      </c>
      <c r="F7618" s="11"/>
    </row>
    <row r="7619" spans="1:6">
      <c r="A7619" s="5" t="str">
        <f t="shared" si="133"/>
        <v>202328</v>
      </c>
      <c r="B7619" s="5" t="str">
        <f>"23085055419"</f>
        <v>23085055419</v>
      </c>
      <c r="C7619" s="6">
        <v>75</v>
      </c>
      <c r="D7619" s="6">
        <v>113</v>
      </c>
      <c r="E7619" s="6">
        <v>188</v>
      </c>
      <c r="F7619" s="11"/>
    </row>
    <row r="7620" spans="1:6">
      <c r="A7620" s="5" t="str">
        <f t="shared" si="133"/>
        <v>202328</v>
      </c>
      <c r="B7620" s="5" t="str">
        <f>"23085055420"</f>
        <v>23085055420</v>
      </c>
      <c r="C7620" s="6">
        <v>78</v>
      </c>
      <c r="D7620" s="6">
        <v>109</v>
      </c>
      <c r="E7620" s="6">
        <v>187</v>
      </c>
      <c r="F7620" s="11"/>
    </row>
    <row r="7621" spans="1:6">
      <c r="A7621" s="5" t="str">
        <f t="shared" si="133"/>
        <v>202328</v>
      </c>
      <c r="B7621" s="5" t="str">
        <f>"23085055418"</f>
        <v>23085055418</v>
      </c>
      <c r="C7621" s="6">
        <v>73.5</v>
      </c>
      <c r="D7621" s="6">
        <v>113.5</v>
      </c>
      <c r="E7621" s="6">
        <v>187</v>
      </c>
      <c r="F7621" s="11"/>
    </row>
    <row r="7622" spans="1:6">
      <c r="A7622" s="5" t="str">
        <f t="shared" si="133"/>
        <v>202328</v>
      </c>
      <c r="B7622" s="5" t="str">
        <f>"23085055409"</f>
        <v>23085055409</v>
      </c>
      <c r="C7622" s="6">
        <v>70.5</v>
      </c>
      <c r="D7622" s="6">
        <v>115</v>
      </c>
      <c r="E7622" s="6">
        <v>185.5</v>
      </c>
      <c r="F7622" s="11"/>
    </row>
    <row r="7623" spans="1:6">
      <c r="A7623" s="5" t="str">
        <f t="shared" si="133"/>
        <v>202328</v>
      </c>
      <c r="B7623" s="5" t="str">
        <f>"23085060227"</f>
        <v>23085060227</v>
      </c>
      <c r="C7623" s="6">
        <v>88.5</v>
      </c>
      <c r="D7623" s="6">
        <v>97</v>
      </c>
      <c r="E7623" s="6">
        <v>185.5</v>
      </c>
      <c r="F7623" s="11"/>
    </row>
    <row r="7624" spans="1:6">
      <c r="A7624" s="5" t="str">
        <f t="shared" si="133"/>
        <v>202328</v>
      </c>
      <c r="B7624" s="5" t="str">
        <f>"23085055324"</f>
        <v>23085055324</v>
      </c>
      <c r="C7624" s="6">
        <v>70.5</v>
      </c>
      <c r="D7624" s="6">
        <v>108.5</v>
      </c>
      <c r="E7624" s="6">
        <v>179</v>
      </c>
      <c r="F7624" s="11"/>
    </row>
    <row r="7625" spans="1:6">
      <c r="A7625" s="5" t="str">
        <f t="shared" si="133"/>
        <v>202328</v>
      </c>
      <c r="B7625" s="5" t="str">
        <f>"23085060128"</f>
        <v>23085060128</v>
      </c>
      <c r="C7625" s="6">
        <v>60</v>
      </c>
      <c r="D7625" s="6">
        <v>111</v>
      </c>
      <c r="E7625" s="6">
        <v>171</v>
      </c>
      <c r="F7625" s="11"/>
    </row>
    <row r="7626" spans="1:6">
      <c r="A7626" s="5" t="str">
        <f t="shared" si="133"/>
        <v>202328</v>
      </c>
      <c r="B7626" s="5" t="str">
        <f>"23085055510"</f>
        <v>23085055510</v>
      </c>
      <c r="C7626" s="6">
        <v>69</v>
      </c>
      <c r="D7626" s="6">
        <v>98.5</v>
      </c>
      <c r="E7626" s="6">
        <v>167.5</v>
      </c>
      <c r="F7626" s="11"/>
    </row>
    <row r="7627" spans="1:6">
      <c r="A7627" s="5" t="str">
        <f t="shared" si="133"/>
        <v>202328</v>
      </c>
      <c r="B7627" s="5" t="str">
        <f>"23085055520"</f>
        <v>23085055520</v>
      </c>
      <c r="C7627" s="6">
        <v>61.5</v>
      </c>
      <c r="D7627" s="6">
        <v>105.5</v>
      </c>
      <c r="E7627" s="6">
        <v>167</v>
      </c>
      <c r="F7627" s="11"/>
    </row>
    <row r="7628" spans="1:6">
      <c r="A7628" s="5" t="str">
        <f t="shared" si="133"/>
        <v>202328</v>
      </c>
      <c r="B7628" s="5" t="str">
        <f>"23085055325"</f>
        <v>23085055325</v>
      </c>
      <c r="C7628" s="6">
        <v>48</v>
      </c>
      <c r="D7628" s="6">
        <v>107</v>
      </c>
      <c r="E7628" s="6">
        <v>155</v>
      </c>
      <c r="F7628" s="11"/>
    </row>
    <row r="7629" spans="1:6">
      <c r="A7629" s="5" t="str">
        <f t="shared" si="133"/>
        <v>202328</v>
      </c>
      <c r="B7629" s="5" t="str">
        <f>"23085055413"</f>
        <v>23085055413</v>
      </c>
      <c r="C7629" s="6">
        <v>70.5</v>
      </c>
      <c r="D7629" s="6">
        <v>73</v>
      </c>
      <c r="E7629" s="6">
        <v>143.5</v>
      </c>
      <c r="F7629" s="11"/>
    </row>
    <row r="7630" spans="1:6">
      <c r="A7630" s="5" t="str">
        <f t="shared" si="133"/>
        <v>202328</v>
      </c>
      <c r="B7630" s="5" t="str">
        <f>"23085060220"</f>
        <v>23085060220</v>
      </c>
      <c r="C7630" s="6">
        <v>0</v>
      </c>
      <c r="D7630" s="6">
        <v>0</v>
      </c>
      <c r="E7630" s="6">
        <v>0</v>
      </c>
      <c r="F7630" s="11" t="s">
        <v>7</v>
      </c>
    </row>
    <row r="7631" spans="1:6">
      <c r="A7631" s="5" t="str">
        <f t="shared" si="133"/>
        <v>202328</v>
      </c>
      <c r="B7631" s="5" t="str">
        <f>"23085060117"</f>
        <v>23085060117</v>
      </c>
      <c r="C7631" s="6">
        <v>0</v>
      </c>
      <c r="D7631" s="6">
        <v>0</v>
      </c>
      <c r="E7631" s="6">
        <v>0</v>
      </c>
      <c r="F7631" s="11" t="s">
        <v>7</v>
      </c>
    </row>
    <row r="7632" spans="1:6">
      <c r="A7632" s="5" t="str">
        <f t="shared" si="133"/>
        <v>202328</v>
      </c>
      <c r="B7632" s="5" t="str">
        <f>"23085055522"</f>
        <v>23085055522</v>
      </c>
      <c r="C7632" s="6">
        <v>0</v>
      </c>
      <c r="D7632" s="6">
        <v>0</v>
      </c>
      <c r="E7632" s="6">
        <v>0</v>
      </c>
      <c r="F7632" s="11" t="s">
        <v>7</v>
      </c>
    </row>
    <row r="7633" spans="1:6">
      <c r="A7633" s="5" t="str">
        <f t="shared" si="133"/>
        <v>202328</v>
      </c>
      <c r="B7633" s="5" t="str">
        <f>"23085055513"</f>
        <v>23085055513</v>
      </c>
      <c r="C7633" s="6">
        <v>0</v>
      </c>
      <c r="D7633" s="6">
        <v>0</v>
      </c>
      <c r="E7633" s="6">
        <v>0</v>
      </c>
      <c r="F7633" s="11" t="s">
        <v>7</v>
      </c>
    </row>
    <row r="7634" spans="1:6">
      <c r="A7634" s="5" t="str">
        <f t="shared" si="133"/>
        <v>202328</v>
      </c>
      <c r="B7634" s="5" t="str">
        <f>"23085055404"</f>
        <v>23085055404</v>
      </c>
      <c r="C7634" s="6">
        <v>0</v>
      </c>
      <c r="D7634" s="6">
        <v>0</v>
      </c>
      <c r="E7634" s="6">
        <v>0</v>
      </c>
      <c r="F7634" s="11" t="s">
        <v>7</v>
      </c>
    </row>
    <row r="7635" spans="1:6">
      <c r="A7635" s="5" t="str">
        <f t="shared" si="133"/>
        <v>202328</v>
      </c>
      <c r="B7635" s="5" t="str">
        <f>"23085060127"</f>
        <v>23085060127</v>
      </c>
      <c r="C7635" s="6">
        <v>0</v>
      </c>
      <c r="D7635" s="6">
        <v>0</v>
      </c>
      <c r="E7635" s="6">
        <v>0</v>
      </c>
      <c r="F7635" s="11" t="s">
        <v>7</v>
      </c>
    </row>
    <row r="7636" spans="1:6">
      <c r="A7636" s="5" t="str">
        <f t="shared" si="133"/>
        <v>202328</v>
      </c>
      <c r="B7636" s="5" t="str">
        <f>"23085060304"</f>
        <v>23085060304</v>
      </c>
      <c r="C7636" s="6">
        <v>0</v>
      </c>
      <c r="D7636" s="6">
        <v>0</v>
      </c>
      <c r="E7636" s="6">
        <v>0</v>
      </c>
      <c r="F7636" s="11" t="s">
        <v>7</v>
      </c>
    </row>
    <row r="7637" spans="1:6">
      <c r="A7637" s="5" t="str">
        <f t="shared" ref="A7637:A7658" si="134">"202328"</f>
        <v>202328</v>
      </c>
      <c r="B7637" s="5" t="str">
        <f>"23085055422"</f>
        <v>23085055422</v>
      </c>
      <c r="C7637" s="6">
        <v>0</v>
      </c>
      <c r="D7637" s="6">
        <v>0</v>
      </c>
      <c r="E7637" s="6">
        <v>0</v>
      </c>
      <c r="F7637" s="11" t="s">
        <v>7</v>
      </c>
    </row>
    <row r="7638" spans="1:6">
      <c r="A7638" s="5" t="str">
        <f t="shared" si="134"/>
        <v>202328</v>
      </c>
      <c r="B7638" s="5" t="str">
        <f>"23085060213"</f>
        <v>23085060213</v>
      </c>
      <c r="C7638" s="6">
        <v>0</v>
      </c>
      <c r="D7638" s="6">
        <v>0</v>
      </c>
      <c r="E7638" s="6">
        <v>0</v>
      </c>
      <c r="F7638" s="11" t="s">
        <v>7</v>
      </c>
    </row>
    <row r="7639" spans="1:6">
      <c r="A7639" s="5" t="str">
        <f t="shared" si="134"/>
        <v>202328</v>
      </c>
      <c r="B7639" s="5" t="str">
        <f>"23085060225"</f>
        <v>23085060225</v>
      </c>
      <c r="C7639" s="6">
        <v>0</v>
      </c>
      <c r="D7639" s="6">
        <v>0</v>
      </c>
      <c r="E7639" s="6">
        <v>0</v>
      </c>
      <c r="F7639" s="11" t="s">
        <v>7</v>
      </c>
    </row>
    <row r="7640" spans="1:6">
      <c r="A7640" s="5" t="str">
        <f t="shared" si="134"/>
        <v>202328</v>
      </c>
      <c r="B7640" s="5" t="str">
        <f>"23085055401"</f>
        <v>23085055401</v>
      </c>
      <c r="C7640" s="6">
        <v>0</v>
      </c>
      <c r="D7640" s="6">
        <v>0</v>
      </c>
      <c r="E7640" s="6">
        <v>0</v>
      </c>
      <c r="F7640" s="11" t="s">
        <v>7</v>
      </c>
    </row>
    <row r="7641" spans="1:6">
      <c r="A7641" s="5" t="str">
        <f t="shared" si="134"/>
        <v>202328</v>
      </c>
      <c r="B7641" s="5" t="str">
        <f>"23085060221"</f>
        <v>23085060221</v>
      </c>
      <c r="C7641" s="6">
        <v>0</v>
      </c>
      <c r="D7641" s="6">
        <v>0</v>
      </c>
      <c r="E7641" s="6">
        <v>0</v>
      </c>
      <c r="F7641" s="11" t="s">
        <v>7</v>
      </c>
    </row>
    <row r="7642" spans="1:6">
      <c r="A7642" s="5" t="str">
        <f t="shared" si="134"/>
        <v>202328</v>
      </c>
      <c r="B7642" s="5" t="str">
        <f>"23085060301"</f>
        <v>23085060301</v>
      </c>
      <c r="C7642" s="6">
        <v>0</v>
      </c>
      <c r="D7642" s="6">
        <v>0</v>
      </c>
      <c r="E7642" s="6">
        <v>0</v>
      </c>
      <c r="F7642" s="11" t="s">
        <v>7</v>
      </c>
    </row>
    <row r="7643" spans="1:6">
      <c r="A7643" s="5" t="str">
        <f t="shared" si="134"/>
        <v>202328</v>
      </c>
      <c r="B7643" s="5" t="str">
        <f>"23085060303"</f>
        <v>23085060303</v>
      </c>
      <c r="C7643" s="6">
        <v>0</v>
      </c>
      <c r="D7643" s="6">
        <v>0</v>
      </c>
      <c r="E7643" s="6">
        <v>0</v>
      </c>
      <c r="F7643" s="11" t="s">
        <v>7</v>
      </c>
    </row>
    <row r="7644" spans="1:6">
      <c r="A7644" s="5" t="str">
        <f t="shared" si="134"/>
        <v>202328</v>
      </c>
      <c r="B7644" s="5" t="str">
        <f>"23085055506"</f>
        <v>23085055506</v>
      </c>
      <c r="C7644" s="6">
        <v>0</v>
      </c>
      <c r="D7644" s="6">
        <v>0</v>
      </c>
      <c r="E7644" s="6">
        <v>0</v>
      </c>
      <c r="F7644" s="11" t="s">
        <v>7</v>
      </c>
    </row>
    <row r="7645" spans="1:6">
      <c r="A7645" s="5" t="str">
        <f t="shared" si="134"/>
        <v>202328</v>
      </c>
      <c r="B7645" s="5" t="str">
        <f>"23085060224"</f>
        <v>23085060224</v>
      </c>
      <c r="C7645" s="6">
        <v>0</v>
      </c>
      <c r="D7645" s="6">
        <v>0</v>
      </c>
      <c r="E7645" s="6">
        <v>0</v>
      </c>
      <c r="F7645" s="11" t="s">
        <v>7</v>
      </c>
    </row>
    <row r="7646" spans="1:6">
      <c r="A7646" s="5" t="str">
        <f t="shared" si="134"/>
        <v>202328</v>
      </c>
      <c r="B7646" s="5" t="str">
        <f>"23085055311"</f>
        <v>23085055311</v>
      </c>
      <c r="C7646" s="6">
        <v>0</v>
      </c>
      <c r="D7646" s="6">
        <v>0</v>
      </c>
      <c r="E7646" s="6">
        <v>0</v>
      </c>
      <c r="F7646" s="11" t="s">
        <v>7</v>
      </c>
    </row>
    <row r="7647" spans="1:6">
      <c r="A7647" s="5" t="str">
        <f t="shared" si="134"/>
        <v>202328</v>
      </c>
      <c r="B7647" s="5" t="str">
        <f>"23085060305"</f>
        <v>23085060305</v>
      </c>
      <c r="C7647" s="6">
        <v>0</v>
      </c>
      <c r="D7647" s="6">
        <v>0</v>
      </c>
      <c r="E7647" s="6">
        <v>0</v>
      </c>
      <c r="F7647" s="11" t="s">
        <v>7</v>
      </c>
    </row>
    <row r="7648" spans="1:6">
      <c r="A7648" s="5" t="str">
        <f t="shared" si="134"/>
        <v>202328</v>
      </c>
      <c r="B7648" s="5" t="str">
        <f>"23085060109"</f>
        <v>23085060109</v>
      </c>
      <c r="C7648" s="6">
        <v>0</v>
      </c>
      <c r="D7648" s="6">
        <v>0</v>
      </c>
      <c r="E7648" s="6">
        <v>0</v>
      </c>
      <c r="F7648" s="11" t="s">
        <v>7</v>
      </c>
    </row>
    <row r="7649" spans="1:6">
      <c r="A7649" s="5" t="str">
        <f t="shared" si="134"/>
        <v>202328</v>
      </c>
      <c r="B7649" s="5" t="str">
        <f>"23085055505"</f>
        <v>23085055505</v>
      </c>
      <c r="C7649" s="6">
        <v>0</v>
      </c>
      <c r="D7649" s="6">
        <v>0</v>
      </c>
      <c r="E7649" s="6">
        <v>0</v>
      </c>
      <c r="F7649" s="11" t="s">
        <v>7</v>
      </c>
    </row>
    <row r="7650" spans="1:6">
      <c r="A7650" s="5" t="str">
        <f t="shared" si="134"/>
        <v>202328</v>
      </c>
      <c r="B7650" s="5" t="str">
        <f>"23085060302"</f>
        <v>23085060302</v>
      </c>
      <c r="C7650" s="6">
        <v>0</v>
      </c>
      <c r="D7650" s="6">
        <v>0</v>
      </c>
      <c r="E7650" s="6">
        <v>0</v>
      </c>
      <c r="F7650" s="11" t="s">
        <v>7</v>
      </c>
    </row>
    <row r="7651" spans="1:6">
      <c r="A7651" s="5" t="str">
        <f t="shared" si="134"/>
        <v>202328</v>
      </c>
      <c r="B7651" s="5" t="str">
        <f>"23085060215"</f>
        <v>23085060215</v>
      </c>
      <c r="C7651" s="6">
        <v>0</v>
      </c>
      <c r="D7651" s="6">
        <v>0</v>
      </c>
      <c r="E7651" s="6">
        <v>0</v>
      </c>
      <c r="F7651" s="11" t="s">
        <v>7</v>
      </c>
    </row>
    <row r="7652" spans="1:6">
      <c r="A7652" s="5" t="str">
        <f t="shared" si="134"/>
        <v>202328</v>
      </c>
      <c r="B7652" s="5" t="str">
        <f>"23085055402"</f>
        <v>23085055402</v>
      </c>
      <c r="C7652" s="6">
        <v>0</v>
      </c>
      <c r="D7652" s="6">
        <v>0</v>
      </c>
      <c r="E7652" s="6">
        <v>0</v>
      </c>
      <c r="F7652" s="11" t="s">
        <v>7</v>
      </c>
    </row>
    <row r="7653" spans="1:6">
      <c r="A7653" s="5" t="str">
        <f t="shared" si="134"/>
        <v>202328</v>
      </c>
      <c r="B7653" s="5" t="str">
        <f>"23085055515"</f>
        <v>23085055515</v>
      </c>
      <c r="C7653" s="6">
        <v>0</v>
      </c>
      <c r="D7653" s="6">
        <v>0</v>
      </c>
      <c r="E7653" s="6">
        <v>0</v>
      </c>
      <c r="F7653" s="11" t="s">
        <v>7</v>
      </c>
    </row>
    <row r="7654" spans="1:6">
      <c r="A7654" s="5" t="str">
        <f t="shared" si="134"/>
        <v>202328</v>
      </c>
      <c r="B7654" s="5" t="str">
        <f>"23085060118"</f>
        <v>23085060118</v>
      </c>
      <c r="C7654" s="6">
        <v>0</v>
      </c>
      <c r="D7654" s="6">
        <v>0</v>
      </c>
      <c r="E7654" s="6">
        <v>0</v>
      </c>
      <c r="F7654" s="11" t="s">
        <v>7</v>
      </c>
    </row>
    <row r="7655" spans="1:6">
      <c r="A7655" s="5" t="str">
        <f t="shared" si="134"/>
        <v>202328</v>
      </c>
      <c r="B7655" s="5" t="str">
        <f>"23085055502"</f>
        <v>23085055502</v>
      </c>
      <c r="C7655" s="6">
        <v>0</v>
      </c>
      <c r="D7655" s="6">
        <v>0</v>
      </c>
      <c r="E7655" s="6">
        <v>0</v>
      </c>
      <c r="F7655" s="11" t="s">
        <v>7</v>
      </c>
    </row>
    <row r="7656" spans="1:6">
      <c r="A7656" s="5" t="str">
        <f t="shared" si="134"/>
        <v>202328</v>
      </c>
      <c r="B7656" s="5" t="str">
        <f>"23085060219"</f>
        <v>23085060219</v>
      </c>
      <c r="C7656" s="6">
        <v>0</v>
      </c>
      <c r="D7656" s="6">
        <v>0</v>
      </c>
      <c r="E7656" s="6">
        <v>0</v>
      </c>
      <c r="F7656" s="11" t="s">
        <v>7</v>
      </c>
    </row>
    <row r="7657" spans="1:6">
      <c r="A7657" s="5" t="str">
        <f t="shared" si="134"/>
        <v>202328</v>
      </c>
      <c r="B7657" s="5" t="str">
        <f>"23085055525"</f>
        <v>23085055525</v>
      </c>
      <c r="C7657" s="6">
        <v>0</v>
      </c>
      <c r="D7657" s="6">
        <v>0</v>
      </c>
      <c r="E7657" s="6">
        <v>0</v>
      </c>
      <c r="F7657" s="11" t="s">
        <v>7</v>
      </c>
    </row>
    <row r="7658" spans="1:6">
      <c r="A7658" s="5" t="str">
        <f t="shared" si="134"/>
        <v>202328</v>
      </c>
      <c r="B7658" s="5" t="str">
        <f>"23085055319"</f>
        <v>23085055319</v>
      </c>
      <c r="C7658" s="6">
        <v>0</v>
      </c>
      <c r="D7658" s="6">
        <v>0</v>
      </c>
      <c r="E7658" s="6">
        <v>0</v>
      </c>
      <c r="F7658" s="11" t="s">
        <v>7</v>
      </c>
    </row>
    <row r="7659" spans="1:6">
      <c r="A7659" s="5" t="str">
        <f t="shared" ref="A7659:A7722" si="135">"202329"</f>
        <v>202329</v>
      </c>
      <c r="B7659" s="5" t="str">
        <f>"23085060527"</f>
        <v>23085060527</v>
      </c>
      <c r="C7659" s="6">
        <v>120</v>
      </c>
      <c r="D7659" s="6">
        <v>119.5</v>
      </c>
      <c r="E7659" s="6">
        <v>239.5</v>
      </c>
      <c r="F7659" s="11"/>
    </row>
    <row r="7660" spans="1:6">
      <c r="A7660" s="5" t="str">
        <f t="shared" si="135"/>
        <v>202329</v>
      </c>
      <c r="B7660" s="5" t="str">
        <f>"23085060403"</f>
        <v>23085060403</v>
      </c>
      <c r="C7660" s="6">
        <v>126</v>
      </c>
      <c r="D7660" s="6">
        <v>111</v>
      </c>
      <c r="E7660" s="6">
        <v>237</v>
      </c>
      <c r="F7660" s="11"/>
    </row>
    <row r="7661" spans="1:6">
      <c r="A7661" s="5" t="str">
        <f t="shared" si="135"/>
        <v>202329</v>
      </c>
      <c r="B7661" s="5" t="str">
        <f>"23085060514"</f>
        <v>23085060514</v>
      </c>
      <c r="C7661" s="6">
        <v>120</v>
      </c>
      <c r="D7661" s="6">
        <v>114</v>
      </c>
      <c r="E7661" s="6">
        <v>234</v>
      </c>
      <c r="F7661" s="11"/>
    </row>
    <row r="7662" spans="1:6">
      <c r="A7662" s="5" t="str">
        <f t="shared" si="135"/>
        <v>202329</v>
      </c>
      <c r="B7662" s="5" t="str">
        <f>"23085060518"</f>
        <v>23085060518</v>
      </c>
      <c r="C7662" s="6">
        <v>108</v>
      </c>
      <c r="D7662" s="6">
        <v>120.5</v>
      </c>
      <c r="E7662" s="6">
        <v>228.5</v>
      </c>
      <c r="F7662" s="11"/>
    </row>
    <row r="7663" spans="1:6">
      <c r="A7663" s="5" t="str">
        <f t="shared" si="135"/>
        <v>202329</v>
      </c>
      <c r="B7663" s="5" t="str">
        <f>"23085060407"</f>
        <v>23085060407</v>
      </c>
      <c r="C7663" s="6">
        <v>111</v>
      </c>
      <c r="D7663" s="6">
        <v>117</v>
      </c>
      <c r="E7663" s="6">
        <v>228</v>
      </c>
      <c r="F7663" s="11"/>
    </row>
    <row r="7664" spans="1:6">
      <c r="A7664" s="5" t="str">
        <f t="shared" si="135"/>
        <v>202329</v>
      </c>
      <c r="B7664" s="5" t="str">
        <f>"23085060525"</f>
        <v>23085060525</v>
      </c>
      <c r="C7664" s="6">
        <v>111</v>
      </c>
      <c r="D7664" s="6">
        <v>116</v>
      </c>
      <c r="E7664" s="6">
        <v>227</v>
      </c>
      <c r="F7664" s="11"/>
    </row>
    <row r="7665" spans="1:6">
      <c r="A7665" s="5" t="str">
        <f t="shared" si="135"/>
        <v>202329</v>
      </c>
      <c r="B7665" s="5" t="str">
        <f>"23085060512"</f>
        <v>23085060512</v>
      </c>
      <c r="C7665" s="6">
        <v>106.5</v>
      </c>
      <c r="D7665" s="6">
        <v>120</v>
      </c>
      <c r="E7665" s="6">
        <v>226.5</v>
      </c>
      <c r="F7665" s="11"/>
    </row>
    <row r="7666" spans="1:6">
      <c r="A7666" s="5" t="str">
        <f t="shared" si="135"/>
        <v>202329</v>
      </c>
      <c r="B7666" s="5" t="str">
        <f>"23085060516"</f>
        <v>23085060516</v>
      </c>
      <c r="C7666" s="6">
        <v>111</v>
      </c>
      <c r="D7666" s="6">
        <v>114</v>
      </c>
      <c r="E7666" s="6">
        <v>225</v>
      </c>
      <c r="F7666" s="11"/>
    </row>
    <row r="7667" spans="1:6">
      <c r="A7667" s="5" t="str">
        <f t="shared" si="135"/>
        <v>202329</v>
      </c>
      <c r="B7667" s="5" t="str">
        <f>"23085060309"</f>
        <v>23085060309</v>
      </c>
      <c r="C7667" s="6">
        <v>103.5</v>
      </c>
      <c r="D7667" s="6">
        <v>121.5</v>
      </c>
      <c r="E7667" s="6">
        <v>225</v>
      </c>
      <c r="F7667" s="11"/>
    </row>
    <row r="7668" spans="1:6">
      <c r="A7668" s="5" t="str">
        <f t="shared" si="135"/>
        <v>202329</v>
      </c>
      <c r="B7668" s="5" t="str">
        <f>"23085060505"</f>
        <v>23085060505</v>
      </c>
      <c r="C7668" s="6">
        <v>102</v>
      </c>
      <c r="D7668" s="6">
        <v>122</v>
      </c>
      <c r="E7668" s="6">
        <v>224</v>
      </c>
      <c r="F7668" s="11"/>
    </row>
    <row r="7669" spans="1:6">
      <c r="A7669" s="5" t="str">
        <f t="shared" si="135"/>
        <v>202329</v>
      </c>
      <c r="B7669" s="5" t="str">
        <f>"23085060314"</f>
        <v>23085060314</v>
      </c>
      <c r="C7669" s="6">
        <v>108</v>
      </c>
      <c r="D7669" s="6">
        <v>115.5</v>
      </c>
      <c r="E7669" s="6">
        <v>223.5</v>
      </c>
      <c r="F7669" s="11"/>
    </row>
    <row r="7670" spans="1:6">
      <c r="A7670" s="5" t="str">
        <f t="shared" si="135"/>
        <v>202329</v>
      </c>
      <c r="B7670" s="5" t="str">
        <f>"23085060503"</f>
        <v>23085060503</v>
      </c>
      <c r="C7670" s="6">
        <v>106.5</v>
      </c>
      <c r="D7670" s="6">
        <v>116.5</v>
      </c>
      <c r="E7670" s="6">
        <v>223</v>
      </c>
      <c r="F7670" s="11"/>
    </row>
    <row r="7671" spans="1:6">
      <c r="A7671" s="5" t="str">
        <f t="shared" si="135"/>
        <v>202329</v>
      </c>
      <c r="B7671" s="5" t="str">
        <f>"23085060330"</f>
        <v>23085060330</v>
      </c>
      <c r="C7671" s="6">
        <v>103.5</v>
      </c>
      <c r="D7671" s="6">
        <v>119</v>
      </c>
      <c r="E7671" s="6">
        <v>222.5</v>
      </c>
      <c r="F7671" s="11"/>
    </row>
    <row r="7672" spans="1:6">
      <c r="A7672" s="5" t="str">
        <f t="shared" si="135"/>
        <v>202329</v>
      </c>
      <c r="B7672" s="5" t="str">
        <f>"23085060329"</f>
        <v>23085060329</v>
      </c>
      <c r="C7672" s="6">
        <v>108</v>
      </c>
      <c r="D7672" s="6">
        <v>114.5</v>
      </c>
      <c r="E7672" s="6">
        <v>222.5</v>
      </c>
      <c r="F7672" s="11"/>
    </row>
    <row r="7673" spans="1:6">
      <c r="A7673" s="5" t="str">
        <f t="shared" si="135"/>
        <v>202329</v>
      </c>
      <c r="B7673" s="5" t="str">
        <f>"23085060521"</f>
        <v>23085060521</v>
      </c>
      <c r="C7673" s="6">
        <v>103.5</v>
      </c>
      <c r="D7673" s="6">
        <v>117</v>
      </c>
      <c r="E7673" s="6">
        <v>220.5</v>
      </c>
      <c r="F7673" s="11"/>
    </row>
    <row r="7674" spans="1:6">
      <c r="A7674" s="5" t="str">
        <f t="shared" si="135"/>
        <v>202329</v>
      </c>
      <c r="B7674" s="5" t="str">
        <f>"23085060325"</f>
        <v>23085060325</v>
      </c>
      <c r="C7674" s="6">
        <v>103.5</v>
      </c>
      <c r="D7674" s="6">
        <v>116.5</v>
      </c>
      <c r="E7674" s="6">
        <v>220</v>
      </c>
      <c r="F7674" s="11"/>
    </row>
    <row r="7675" spans="1:6">
      <c r="A7675" s="5" t="str">
        <f t="shared" si="135"/>
        <v>202329</v>
      </c>
      <c r="B7675" s="5" t="str">
        <f>"23085060421"</f>
        <v>23085060421</v>
      </c>
      <c r="C7675" s="6">
        <v>97.5</v>
      </c>
      <c r="D7675" s="6">
        <v>122</v>
      </c>
      <c r="E7675" s="6">
        <v>219.5</v>
      </c>
      <c r="F7675" s="11"/>
    </row>
    <row r="7676" spans="1:6">
      <c r="A7676" s="5" t="str">
        <f t="shared" si="135"/>
        <v>202329</v>
      </c>
      <c r="B7676" s="5" t="str">
        <f>"23085060504"</f>
        <v>23085060504</v>
      </c>
      <c r="C7676" s="6">
        <v>100.5</v>
      </c>
      <c r="D7676" s="6">
        <v>118</v>
      </c>
      <c r="E7676" s="6">
        <v>218.5</v>
      </c>
      <c r="F7676" s="11"/>
    </row>
    <row r="7677" spans="1:6">
      <c r="A7677" s="5" t="str">
        <f t="shared" si="135"/>
        <v>202329</v>
      </c>
      <c r="B7677" s="5" t="str">
        <f>"23085060414"</f>
        <v>23085060414</v>
      </c>
      <c r="C7677" s="6">
        <v>106.5</v>
      </c>
      <c r="D7677" s="6">
        <v>112</v>
      </c>
      <c r="E7677" s="6">
        <v>218.5</v>
      </c>
      <c r="F7677" s="11"/>
    </row>
    <row r="7678" spans="1:6">
      <c r="A7678" s="5" t="str">
        <f t="shared" si="135"/>
        <v>202329</v>
      </c>
      <c r="B7678" s="5" t="str">
        <f>"23085060427"</f>
        <v>23085060427</v>
      </c>
      <c r="C7678" s="6">
        <v>105</v>
      </c>
      <c r="D7678" s="6">
        <v>113</v>
      </c>
      <c r="E7678" s="6">
        <v>218</v>
      </c>
      <c r="F7678" s="11"/>
    </row>
    <row r="7679" spans="1:6">
      <c r="A7679" s="5" t="str">
        <f t="shared" si="135"/>
        <v>202329</v>
      </c>
      <c r="B7679" s="5" t="str">
        <f>"23085060324"</f>
        <v>23085060324</v>
      </c>
      <c r="C7679" s="6">
        <v>103.5</v>
      </c>
      <c r="D7679" s="6">
        <v>114</v>
      </c>
      <c r="E7679" s="6">
        <v>217.5</v>
      </c>
      <c r="F7679" s="11"/>
    </row>
    <row r="7680" spans="1:6">
      <c r="A7680" s="5" t="str">
        <f t="shared" si="135"/>
        <v>202329</v>
      </c>
      <c r="B7680" s="5" t="str">
        <f>"23085060420"</f>
        <v>23085060420</v>
      </c>
      <c r="C7680" s="6">
        <v>96</v>
      </c>
      <c r="D7680" s="6">
        <v>121</v>
      </c>
      <c r="E7680" s="6">
        <v>217</v>
      </c>
      <c r="F7680" s="11"/>
    </row>
    <row r="7681" spans="1:6">
      <c r="A7681" s="5" t="str">
        <f t="shared" si="135"/>
        <v>202329</v>
      </c>
      <c r="B7681" s="5" t="str">
        <f>"23085060321"</f>
        <v>23085060321</v>
      </c>
      <c r="C7681" s="6">
        <v>102</v>
      </c>
      <c r="D7681" s="6">
        <v>115</v>
      </c>
      <c r="E7681" s="6">
        <v>217</v>
      </c>
      <c r="F7681" s="11"/>
    </row>
    <row r="7682" spans="1:6">
      <c r="A7682" s="5" t="str">
        <f t="shared" si="135"/>
        <v>202329</v>
      </c>
      <c r="B7682" s="5" t="str">
        <f>"23085060501"</f>
        <v>23085060501</v>
      </c>
      <c r="C7682" s="6">
        <v>97.5</v>
      </c>
      <c r="D7682" s="6">
        <v>118</v>
      </c>
      <c r="E7682" s="6">
        <v>215.5</v>
      </c>
      <c r="F7682" s="11"/>
    </row>
    <row r="7683" spans="1:6">
      <c r="A7683" s="5" t="str">
        <f t="shared" si="135"/>
        <v>202329</v>
      </c>
      <c r="B7683" s="5" t="str">
        <f>"23085060515"</f>
        <v>23085060515</v>
      </c>
      <c r="C7683" s="6">
        <v>100.5</v>
      </c>
      <c r="D7683" s="6">
        <v>115</v>
      </c>
      <c r="E7683" s="6">
        <v>215.5</v>
      </c>
      <c r="F7683" s="11"/>
    </row>
    <row r="7684" spans="1:6">
      <c r="A7684" s="5" t="str">
        <f t="shared" si="135"/>
        <v>202329</v>
      </c>
      <c r="B7684" s="5" t="str">
        <f>"23085060520"</f>
        <v>23085060520</v>
      </c>
      <c r="C7684" s="6">
        <v>96</v>
      </c>
      <c r="D7684" s="6">
        <v>119</v>
      </c>
      <c r="E7684" s="6">
        <v>215</v>
      </c>
      <c r="F7684" s="11"/>
    </row>
    <row r="7685" spans="1:6">
      <c r="A7685" s="5" t="str">
        <f t="shared" si="135"/>
        <v>202329</v>
      </c>
      <c r="B7685" s="5" t="str">
        <f>"23085060328"</f>
        <v>23085060328</v>
      </c>
      <c r="C7685" s="6">
        <v>108</v>
      </c>
      <c r="D7685" s="6">
        <v>106.5</v>
      </c>
      <c r="E7685" s="6">
        <v>214.5</v>
      </c>
      <c r="F7685" s="11"/>
    </row>
    <row r="7686" spans="1:6">
      <c r="A7686" s="5" t="str">
        <f t="shared" si="135"/>
        <v>202329</v>
      </c>
      <c r="B7686" s="5" t="str">
        <f>"23085060315"</f>
        <v>23085060315</v>
      </c>
      <c r="C7686" s="6">
        <v>94.5</v>
      </c>
      <c r="D7686" s="6">
        <v>120</v>
      </c>
      <c r="E7686" s="6">
        <v>214.5</v>
      </c>
      <c r="F7686" s="11"/>
    </row>
    <row r="7687" spans="1:6">
      <c r="A7687" s="5" t="str">
        <f t="shared" si="135"/>
        <v>202329</v>
      </c>
      <c r="B7687" s="5" t="str">
        <f>"23085060523"</f>
        <v>23085060523</v>
      </c>
      <c r="C7687" s="6">
        <v>102</v>
      </c>
      <c r="D7687" s="6">
        <v>112.5</v>
      </c>
      <c r="E7687" s="6">
        <v>214.5</v>
      </c>
      <c r="F7687" s="11"/>
    </row>
    <row r="7688" spans="1:6">
      <c r="A7688" s="5" t="str">
        <f t="shared" si="135"/>
        <v>202329</v>
      </c>
      <c r="B7688" s="5" t="str">
        <f>"23085060526"</f>
        <v>23085060526</v>
      </c>
      <c r="C7688" s="6">
        <v>93</v>
      </c>
      <c r="D7688" s="6">
        <v>121</v>
      </c>
      <c r="E7688" s="6">
        <v>214</v>
      </c>
      <c r="F7688" s="11"/>
    </row>
    <row r="7689" spans="1:6">
      <c r="A7689" s="5" t="str">
        <f t="shared" si="135"/>
        <v>202329</v>
      </c>
      <c r="B7689" s="5" t="str">
        <f>"23085060316"</f>
        <v>23085060316</v>
      </c>
      <c r="C7689" s="6">
        <v>102</v>
      </c>
      <c r="D7689" s="6">
        <v>111.5</v>
      </c>
      <c r="E7689" s="6">
        <v>213.5</v>
      </c>
      <c r="F7689" s="11"/>
    </row>
    <row r="7690" spans="1:6">
      <c r="A7690" s="5" t="str">
        <f t="shared" si="135"/>
        <v>202329</v>
      </c>
      <c r="B7690" s="5" t="str">
        <f>"23085060405"</f>
        <v>23085060405</v>
      </c>
      <c r="C7690" s="6">
        <v>96</v>
      </c>
      <c r="D7690" s="6">
        <v>117.5</v>
      </c>
      <c r="E7690" s="6">
        <v>213.5</v>
      </c>
      <c r="F7690" s="11"/>
    </row>
    <row r="7691" spans="1:6">
      <c r="A7691" s="5" t="str">
        <f t="shared" si="135"/>
        <v>202329</v>
      </c>
      <c r="B7691" s="5" t="str">
        <f>"23085060404"</f>
        <v>23085060404</v>
      </c>
      <c r="C7691" s="6">
        <v>99</v>
      </c>
      <c r="D7691" s="6">
        <v>114.5</v>
      </c>
      <c r="E7691" s="6">
        <v>213.5</v>
      </c>
      <c r="F7691" s="11"/>
    </row>
    <row r="7692" spans="1:6">
      <c r="A7692" s="5" t="str">
        <f t="shared" si="135"/>
        <v>202329</v>
      </c>
      <c r="B7692" s="5" t="str">
        <f>"23085060507"</f>
        <v>23085060507</v>
      </c>
      <c r="C7692" s="6">
        <v>96</v>
      </c>
      <c r="D7692" s="6">
        <v>117.5</v>
      </c>
      <c r="E7692" s="6">
        <v>213.5</v>
      </c>
      <c r="F7692" s="11"/>
    </row>
    <row r="7693" spans="1:6">
      <c r="A7693" s="5" t="str">
        <f t="shared" si="135"/>
        <v>202329</v>
      </c>
      <c r="B7693" s="5" t="str">
        <f>"23085060401"</f>
        <v>23085060401</v>
      </c>
      <c r="C7693" s="6">
        <v>99</v>
      </c>
      <c r="D7693" s="6">
        <v>114</v>
      </c>
      <c r="E7693" s="6">
        <v>213</v>
      </c>
      <c r="F7693" s="11"/>
    </row>
    <row r="7694" spans="1:6">
      <c r="A7694" s="5" t="str">
        <f t="shared" si="135"/>
        <v>202329</v>
      </c>
      <c r="B7694" s="5" t="str">
        <f>"23085060509"</f>
        <v>23085060509</v>
      </c>
      <c r="C7694" s="6">
        <v>100.5</v>
      </c>
      <c r="D7694" s="6">
        <v>112</v>
      </c>
      <c r="E7694" s="6">
        <v>212.5</v>
      </c>
      <c r="F7694" s="11"/>
    </row>
    <row r="7695" spans="1:6">
      <c r="A7695" s="5" t="str">
        <f t="shared" si="135"/>
        <v>202329</v>
      </c>
      <c r="B7695" s="5" t="str">
        <f>"23085060416"</f>
        <v>23085060416</v>
      </c>
      <c r="C7695" s="6">
        <v>99</v>
      </c>
      <c r="D7695" s="6">
        <v>113.5</v>
      </c>
      <c r="E7695" s="6">
        <v>212.5</v>
      </c>
      <c r="F7695" s="11"/>
    </row>
    <row r="7696" spans="1:6">
      <c r="A7696" s="5" t="str">
        <f t="shared" si="135"/>
        <v>202329</v>
      </c>
      <c r="B7696" s="5" t="str">
        <f>"23085060430"</f>
        <v>23085060430</v>
      </c>
      <c r="C7696" s="6">
        <v>96</v>
      </c>
      <c r="D7696" s="6">
        <v>116</v>
      </c>
      <c r="E7696" s="6">
        <v>212</v>
      </c>
      <c r="F7696" s="11"/>
    </row>
    <row r="7697" spans="1:6">
      <c r="A7697" s="5" t="str">
        <f t="shared" si="135"/>
        <v>202329</v>
      </c>
      <c r="B7697" s="5" t="str">
        <f>"23085060418"</f>
        <v>23085060418</v>
      </c>
      <c r="C7697" s="6">
        <v>97.5</v>
      </c>
      <c r="D7697" s="6">
        <v>114.5</v>
      </c>
      <c r="E7697" s="6">
        <v>212</v>
      </c>
      <c r="F7697" s="11"/>
    </row>
    <row r="7698" spans="1:6">
      <c r="A7698" s="5" t="str">
        <f t="shared" si="135"/>
        <v>202329</v>
      </c>
      <c r="B7698" s="5" t="str">
        <f>"23085060429"</f>
        <v>23085060429</v>
      </c>
      <c r="C7698" s="6">
        <v>97.5</v>
      </c>
      <c r="D7698" s="6">
        <v>114</v>
      </c>
      <c r="E7698" s="6">
        <v>211.5</v>
      </c>
      <c r="F7698" s="11"/>
    </row>
    <row r="7699" spans="1:6">
      <c r="A7699" s="5" t="str">
        <f t="shared" si="135"/>
        <v>202329</v>
      </c>
      <c r="B7699" s="5" t="str">
        <f>"23085060308"</f>
        <v>23085060308</v>
      </c>
      <c r="C7699" s="6">
        <v>96</v>
      </c>
      <c r="D7699" s="6">
        <v>115.5</v>
      </c>
      <c r="E7699" s="6">
        <v>211.5</v>
      </c>
      <c r="F7699" s="11"/>
    </row>
    <row r="7700" spans="1:6">
      <c r="A7700" s="5" t="str">
        <f t="shared" si="135"/>
        <v>202329</v>
      </c>
      <c r="B7700" s="5" t="str">
        <f>"23085060310"</f>
        <v>23085060310</v>
      </c>
      <c r="C7700" s="6">
        <v>99</v>
      </c>
      <c r="D7700" s="6">
        <v>111</v>
      </c>
      <c r="E7700" s="6">
        <v>210</v>
      </c>
      <c r="F7700" s="11"/>
    </row>
    <row r="7701" spans="1:6">
      <c r="A7701" s="5" t="str">
        <f t="shared" si="135"/>
        <v>202329</v>
      </c>
      <c r="B7701" s="5" t="str">
        <f>"23085060508"</f>
        <v>23085060508</v>
      </c>
      <c r="C7701" s="6">
        <v>97.5</v>
      </c>
      <c r="D7701" s="6">
        <v>112</v>
      </c>
      <c r="E7701" s="6">
        <v>209.5</v>
      </c>
      <c r="F7701" s="11"/>
    </row>
    <row r="7702" spans="1:6">
      <c r="A7702" s="5" t="str">
        <f t="shared" si="135"/>
        <v>202329</v>
      </c>
      <c r="B7702" s="5" t="str">
        <f>"23085060322"</f>
        <v>23085060322</v>
      </c>
      <c r="C7702" s="6">
        <v>88.5</v>
      </c>
      <c r="D7702" s="6">
        <v>120.5</v>
      </c>
      <c r="E7702" s="6">
        <v>209</v>
      </c>
      <c r="F7702" s="11"/>
    </row>
    <row r="7703" spans="1:6">
      <c r="A7703" s="5" t="str">
        <f t="shared" si="135"/>
        <v>202329</v>
      </c>
      <c r="B7703" s="5" t="str">
        <f>"23085060327"</f>
        <v>23085060327</v>
      </c>
      <c r="C7703" s="6">
        <v>99</v>
      </c>
      <c r="D7703" s="6">
        <v>109.5</v>
      </c>
      <c r="E7703" s="6">
        <v>208.5</v>
      </c>
      <c r="F7703" s="11"/>
    </row>
    <row r="7704" spans="1:6">
      <c r="A7704" s="5" t="str">
        <f t="shared" si="135"/>
        <v>202329</v>
      </c>
      <c r="B7704" s="5" t="str">
        <f>"23085060410"</f>
        <v>23085060410</v>
      </c>
      <c r="C7704" s="6">
        <v>99</v>
      </c>
      <c r="D7704" s="6">
        <v>109</v>
      </c>
      <c r="E7704" s="6">
        <v>208</v>
      </c>
      <c r="F7704" s="11"/>
    </row>
    <row r="7705" spans="1:6">
      <c r="A7705" s="5" t="str">
        <f t="shared" si="135"/>
        <v>202329</v>
      </c>
      <c r="B7705" s="5" t="str">
        <f>"23085060517"</f>
        <v>23085060517</v>
      </c>
      <c r="C7705" s="6">
        <v>91.5</v>
      </c>
      <c r="D7705" s="6">
        <v>115</v>
      </c>
      <c r="E7705" s="6">
        <v>206.5</v>
      </c>
      <c r="F7705" s="11"/>
    </row>
    <row r="7706" spans="1:6">
      <c r="A7706" s="5" t="str">
        <f t="shared" si="135"/>
        <v>202329</v>
      </c>
      <c r="B7706" s="5" t="str">
        <f>"23085060513"</f>
        <v>23085060513</v>
      </c>
      <c r="C7706" s="6">
        <v>88.5</v>
      </c>
      <c r="D7706" s="6">
        <v>117.5</v>
      </c>
      <c r="E7706" s="6">
        <v>206</v>
      </c>
      <c r="F7706" s="11"/>
    </row>
    <row r="7707" spans="1:6">
      <c r="A7707" s="5" t="str">
        <f t="shared" si="135"/>
        <v>202329</v>
      </c>
      <c r="B7707" s="5" t="str">
        <f>"23085060522"</f>
        <v>23085060522</v>
      </c>
      <c r="C7707" s="6">
        <v>94.5</v>
      </c>
      <c r="D7707" s="6">
        <v>111</v>
      </c>
      <c r="E7707" s="6">
        <v>205.5</v>
      </c>
      <c r="F7707" s="11"/>
    </row>
    <row r="7708" spans="1:6">
      <c r="A7708" s="5" t="str">
        <f t="shared" si="135"/>
        <v>202329</v>
      </c>
      <c r="B7708" s="5" t="str">
        <f>"23085060423"</f>
        <v>23085060423</v>
      </c>
      <c r="C7708" s="6">
        <v>87</v>
      </c>
      <c r="D7708" s="6">
        <v>117.5</v>
      </c>
      <c r="E7708" s="6">
        <v>204.5</v>
      </c>
      <c r="F7708" s="11"/>
    </row>
    <row r="7709" spans="1:6">
      <c r="A7709" s="5" t="str">
        <f t="shared" si="135"/>
        <v>202329</v>
      </c>
      <c r="B7709" s="5" t="str">
        <f>"23085060320"</f>
        <v>23085060320</v>
      </c>
      <c r="C7709" s="6">
        <v>85.5</v>
      </c>
      <c r="D7709" s="6">
        <v>118.5</v>
      </c>
      <c r="E7709" s="6">
        <v>204</v>
      </c>
      <c r="F7709" s="11"/>
    </row>
    <row r="7710" spans="1:6">
      <c r="A7710" s="5" t="str">
        <f t="shared" si="135"/>
        <v>202329</v>
      </c>
      <c r="B7710" s="5" t="str">
        <f>"23085060326"</f>
        <v>23085060326</v>
      </c>
      <c r="C7710" s="6">
        <v>88.5</v>
      </c>
      <c r="D7710" s="6">
        <v>114.5</v>
      </c>
      <c r="E7710" s="6">
        <v>203</v>
      </c>
      <c r="F7710" s="11"/>
    </row>
    <row r="7711" spans="1:6">
      <c r="A7711" s="5" t="str">
        <f t="shared" si="135"/>
        <v>202329</v>
      </c>
      <c r="B7711" s="5" t="str">
        <f>"23085060412"</f>
        <v>23085060412</v>
      </c>
      <c r="C7711" s="6">
        <v>87</v>
      </c>
      <c r="D7711" s="6">
        <v>114.5</v>
      </c>
      <c r="E7711" s="6">
        <v>201.5</v>
      </c>
      <c r="F7711" s="11"/>
    </row>
    <row r="7712" spans="1:6">
      <c r="A7712" s="5" t="str">
        <f t="shared" si="135"/>
        <v>202329</v>
      </c>
      <c r="B7712" s="5" t="str">
        <f>"23085060422"</f>
        <v>23085060422</v>
      </c>
      <c r="C7712" s="6">
        <v>82.5</v>
      </c>
      <c r="D7712" s="6">
        <v>118</v>
      </c>
      <c r="E7712" s="6">
        <v>200.5</v>
      </c>
      <c r="F7712" s="11"/>
    </row>
    <row r="7713" spans="1:6">
      <c r="A7713" s="5" t="str">
        <f t="shared" si="135"/>
        <v>202329</v>
      </c>
      <c r="B7713" s="5" t="str">
        <f>"23085060511"</f>
        <v>23085060511</v>
      </c>
      <c r="C7713" s="6">
        <v>82.5</v>
      </c>
      <c r="D7713" s="6">
        <v>117</v>
      </c>
      <c r="E7713" s="6">
        <v>199.5</v>
      </c>
      <c r="F7713" s="11"/>
    </row>
    <row r="7714" spans="1:6">
      <c r="A7714" s="5" t="str">
        <f t="shared" si="135"/>
        <v>202329</v>
      </c>
      <c r="B7714" s="5" t="str">
        <f>"23085060317"</f>
        <v>23085060317</v>
      </c>
      <c r="C7714" s="6">
        <v>85.5</v>
      </c>
      <c r="D7714" s="6">
        <v>113</v>
      </c>
      <c r="E7714" s="6">
        <v>198.5</v>
      </c>
      <c r="F7714" s="11"/>
    </row>
    <row r="7715" spans="1:6">
      <c r="A7715" s="5" t="str">
        <f t="shared" si="135"/>
        <v>202329</v>
      </c>
      <c r="B7715" s="5" t="str">
        <f>"23085060312"</f>
        <v>23085060312</v>
      </c>
      <c r="C7715" s="6">
        <v>84</v>
      </c>
      <c r="D7715" s="6">
        <v>113.5</v>
      </c>
      <c r="E7715" s="6">
        <v>197.5</v>
      </c>
      <c r="F7715" s="11"/>
    </row>
    <row r="7716" spans="1:6">
      <c r="A7716" s="5" t="str">
        <f t="shared" si="135"/>
        <v>202329</v>
      </c>
      <c r="B7716" s="5" t="str">
        <f>"23085060318"</f>
        <v>23085060318</v>
      </c>
      <c r="C7716" s="6">
        <v>78</v>
      </c>
      <c r="D7716" s="6">
        <v>119</v>
      </c>
      <c r="E7716" s="6">
        <v>197</v>
      </c>
      <c r="F7716" s="11"/>
    </row>
    <row r="7717" spans="1:6">
      <c r="A7717" s="5" t="str">
        <f t="shared" si="135"/>
        <v>202329</v>
      </c>
      <c r="B7717" s="5" t="str">
        <f>"23085060506"</f>
        <v>23085060506</v>
      </c>
      <c r="C7717" s="6">
        <v>87</v>
      </c>
      <c r="D7717" s="6">
        <v>109</v>
      </c>
      <c r="E7717" s="6">
        <v>196</v>
      </c>
      <c r="F7717" s="11"/>
    </row>
    <row r="7718" spans="1:6">
      <c r="A7718" s="5" t="str">
        <f t="shared" si="135"/>
        <v>202329</v>
      </c>
      <c r="B7718" s="5" t="str">
        <f>"23085060510"</f>
        <v>23085060510</v>
      </c>
      <c r="C7718" s="6">
        <v>84</v>
      </c>
      <c r="D7718" s="6">
        <v>110.5</v>
      </c>
      <c r="E7718" s="6">
        <v>194.5</v>
      </c>
      <c r="F7718" s="11"/>
    </row>
    <row r="7719" spans="1:6">
      <c r="A7719" s="5" t="str">
        <f t="shared" si="135"/>
        <v>202329</v>
      </c>
      <c r="B7719" s="5" t="str">
        <f>"23085060319"</f>
        <v>23085060319</v>
      </c>
      <c r="C7719" s="6">
        <v>87</v>
      </c>
      <c r="D7719" s="6">
        <v>107</v>
      </c>
      <c r="E7719" s="6">
        <v>194</v>
      </c>
      <c r="F7719" s="11"/>
    </row>
    <row r="7720" spans="1:6">
      <c r="A7720" s="5" t="str">
        <f t="shared" si="135"/>
        <v>202329</v>
      </c>
      <c r="B7720" s="5" t="str">
        <f>"23085060323"</f>
        <v>23085060323</v>
      </c>
      <c r="C7720" s="6">
        <v>82.5</v>
      </c>
      <c r="D7720" s="6">
        <v>111.5</v>
      </c>
      <c r="E7720" s="6">
        <v>194</v>
      </c>
      <c r="F7720" s="11"/>
    </row>
    <row r="7721" spans="1:6">
      <c r="A7721" s="5" t="str">
        <f t="shared" si="135"/>
        <v>202329</v>
      </c>
      <c r="B7721" s="5" t="str">
        <f>"23085060406"</f>
        <v>23085060406</v>
      </c>
      <c r="C7721" s="6">
        <v>84</v>
      </c>
      <c r="D7721" s="6">
        <v>109.5</v>
      </c>
      <c r="E7721" s="6">
        <v>193.5</v>
      </c>
      <c r="F7721" s="11"/>
    </row>
    <row r="7722" spans="1:6">
      <c r="A7722" s="5" t="str">
        <f t="shared" si="135"/>
        <v>202329</v>
      </c>
      <c r="B7722" s="5" t="str">
        <f>"23085060524"</f>
        <v>23085060524</v>
      </c>
      <c r="C7722" s="6">
        <v>91.5</v>
      </c>
      <c r="D7722" s="6">
        <v>100.5</v>
      </c>
      <c r="E7722" s="6">
        <v>192</v>
      </c>
      <c r="F7722" s="11"/>
    </row>
    <row r="7723" spans="1:6">
      <c r="A7723" s="5" t="str">
        <f>"202329"</f>
        <v>202329</v>
      </c>
      <c r="B7723" s="5" t="str">
        <f>"23085060415"</f>
        <v>23085060415</v>
      </c>
      <c r="C7723" s="6">
        <v>82.5</v>
      </c>
      <c r="D7723" s="6">
        <v>109</v>
      </c>
      <c r="E7723" s="6">
        <v>191.5</v>
      </c>
      <c r="F7723" s="11"/>
    </row>
    <row r="7724" spans="1:6">
      <c r="A7724" s="5" t="str">
        <f>"202329"</f>
        <v>202329</v>
      </c>
      <c r="B7724" s="5" t="str">
        <f>"23085060502"</f>
        <v>23085060502</v>
      </c>
      <c r="C7724" s="6">
        <v>70.5</v>
      </c>
      <c r="D7724" s="6">
        <v>113.5</v>
      </c>
      <c r="E7724" s="6">
        <v>184</v>
      </c>
      <c r="F7724" s="11"/>
    </row>
    <row r="7725" ht="27" spans="1:6">
      <c r="A7725" s="5" t="str">
        <f>"202329"</f>
        <v>202329</v>
      </c>
      <c r="B7725" s="5" t="str">
        <f>"23085060413"</f>
        <v>23085060413</v>
      </c>
      <c r="C7725" s="6">
        <v>97.5</v>
      </c>
      <c r="D7725" s="6">
        <v>0</v>
      </c>
      <c r="E7725" s="6">
        <v>97.5</v>
      </c>
      <c r="F7725" s="15" t="s">
        <v>11</v>
      </c>
    </row>
    <row r="7726" spans="1:6">
      <c r="A7726" s="5" t="str">
        <f t="shared" ref="A7726:A7739" si="136">"202329"</f>
        <v>202329</v>
      </c>
      <c r="B7726" s="5" t="str">
        <f>"23085060425"</f>
        <v>23085060425</v>
      </c>
      <c r="C7726" s="6">
        <v>0</v>
      </c>
      <c r="D7726" s="6">
        <v>0</v>
      </c>
      <c r="E7726" s="6">
        <v>0</v>
      </c>
      <c r="F7726" s="11" t="s">
        <v>7</v>
      </c>
    </row>
    <row r="7727" spans="1:6">
      <c r="A7727" s="5" t="str">
        <f t="shared" si="136"/>
        <v>202329</v>
      </c>
      <c r="B7727" s="5" t="str">
        <f>"23085060307"</f>
        <v>23085060307</v>
      </c>
      <c r="C7727" s="6">
        <v>0</v>
      </c>
      <c r="D7727" s="6">
        <v>0</v>
      </c>
      <c r="E7727" s="6">
        <v>0</v>
      </c>
      <c r="F7727" s="11" t="s">
        <v>7</v>
      </c>
    </row>
    <row r="7728" spans="1:6">
      <c r="A7728" s="5" t="str">
        <f t="shared" si="136"/>
        <v>202329</v>
      </c>
      <c r="B7728" s="5" t="str">
        <f>"23085060419"</f>
        <v>23085060419</v>
      </c>
      <c r="C7728" s="6">
        <v>0</v>
      </c>
      <c r="D7728" s="6">
        <v>0</v>
      </c>
      <c r="E7728" s="6">
        <v>0</v>
      </c>
      <c r="F7728" s="11" t="s">
        <v>7</v>
      </c>
    </row>
    <row r="7729" spans="1:6">
      <c r="A7729" s="5" t="str">
        <f t="shared" si="136"/>
        <v>202329</v>
      </c>
      <c r="B7729" s="5" t="str">
        <f>"23085060313"</f>
        <v>23085060313</v>
      </c>
      <c r="C7729" s="6">
        <v>0</v>
      </c>
      <c r="D7729" s="6">
        <v>0</v>
      </c>
      <c r="E7729" s="6">
        <v>0</v>
      </c>
      <c r="F7729" s="11" t="s">
        <v>7</v>
      </c>
    </row>
    <row r="7730" spans="1:6">
      <c r="A7730" s="5" t="str">
        <f t="shared" si="136"/>
        <v>202329</v>
      </c>
      <c r="B7730" s="5" t="str">
        <f>"23085060311"</f>
        <v>23085060311</v>
      </c>
      <c r="C7730" s="6">
        <v>0</v>
      </c>
      <c r="D7730" s="6">
        <v>0</v>
      </c>
      <c r="E7730" s="6">
        <v>0</v>
      </c>
      <c r="F7730" s="11" t="s">
        <v>7</v>
      </c>
    </row>
    <row r="7731" spans="1:6">
      <c r="A7731" s="5" t="str">
        <f t="shared" si="136"/>
        <v>202329</v>
      </c>
      <c r="B7731" s="5" t="str">
        <f>"23085060424"</f>
        <v>23085060424</v>
      </c>
      <c r="C7731" s="6">
        <v>0</v>
      </c>
      <c r="D7731" s="6">
        <v>0</v>
      </c>
      <c r="E7731" s="6">
        <v>0</v>
      </c>
      <c r="F7731" s="11" t="s">
        <v>7</v>
      </c>
    </row>
    <row r="7732" spans="1:6">
      <c r="A7732" s="5" t="str">
        <f t="shared" si="136"/>
        <v>202329</v>
      </c>
      <c r="B7732" s="5" t="str">
        <f>"23085060426"</f>
        <v>23085060426</v>
      </c>
      <c r="C7732" s="6">
        <v>0</v>
      </c>
      <c r="D7732" s="6">
        <v>0</v>
      </c>
      <c r="E7732" s="6">
        <v>0</v>
      </c>
      <c r="F7732" s="11" t="s">
        <v>7</v>
      </c>
    </row>
    <row r="7733" spans="1:6">
      <c r="A7733" s="5" t="str">
        <f t="shared" si="136"/>
        <v>202329</v>
      </c>
      <c r="B7733" s="5" t="str">
        <f>"23085060417"</f>
        <v>23085060417</v>
      </c>
      <c r="C7733" s="6">
        <v>0</v>
      </c>
      <c r="D7733" s="6">
        <v>0</v>
      </c>
      <c r="E7733" s="6">
        <v>0</v>
      </c>
      <c r="F7733" s="11" t="s">
        <v>7</v>
      </c>
    </row>
    <row r="7734" spans="1:6">
      <c r="A7734" s="5" t="str">
        <f t="shared" si="136"/>
        <v>202329</v>
      </c>
      <c r="B7734" s="5" t="str">
        <f>"23085060408"</f>
        <v>23085060408</v>
      </c>
      <c r="C7734" s="6">
        <v>0</v>
      </c>
      <c r="D7734" s="6">
        <v>0</v>
      </c>
      <c r="E7734" s="6">
        <v>0</v>
      </c>
      <c r="F7734" s="11" t="s">
        <v>7</v>
      </c>
    </row>
    <row r="7735" spans="1:6">
      <c r="A7735" s="5" t="str">
        <f t="shared" si="136"/>
        <v>202329</v>
      </c>
      <c r="B7735" s="5" t="str">
        <f>"23085060409"</f>
        <v>23085060409</v>
      </c>
      <c r="C7735" s="6">
        <v>0</v>
      </c>
      <c r="D7735" s="6">
        <v>0</v>
      </c>
      <c r="E7735" s="6">
        <v>0</v>
      </c>
      <c r="F7735" s="11" t="s">
        <v>7</v>
      </c>
    </row>
    <row r="7736" spans="1:6">
      <c r="A7736" s="5" t="str">
        <f t="shared" si="136"/>
        <v>202329</v>
      </c>
      <c r="B7736" s="5" t="str">
        <f>"23085060428"</f>
        <v>23085060428</v>
      </c>
      <c r="C7736" s="6">
        <v>0</v>
      </c>
      <c r="D7736" s="6">
        <v>0</v>
      </c>
      <c r="E7736" s="6">
        <v>0</v>
      </c>
      <c r="F7736" s="11" t="s">
        <v>7</v>
      </c>
    </row>
    <row r="7737" spans="1:6">
      <c r="A7737" s="5" t="str">
        <f t="shared" si="136"/>
        <v>202329</v>
      </c>
      <c r="B7737" s="5" t="str">
        <f>"23085060519"</f>
        <v>23085060519</v>
      </c>
      <c r="C7737" s="6">
        <v>0</v>
      </c>
      <c r="D7737" s="6">
        <v>0</v>
      </c>
      <c r="E7737" s="6">
        <v>0</v>
      </c>
      <c r="F7737" s="11" t="s">
        <v>7</v>
      </c>
    </row>
    <row r="7738" spans="1:6">
      <c r="A7738" s="5" t="str">
        <f t="shared" si="136"/>
        <v>202329</v>
      </c>
      <c r="B7738" s="5" t="str">
        <f>"23085060411"</f>
        <v>23085060411</v>
      </c>
      <c r="C7738" s="6">
        <v>0</v>
      </c>
      <c r="D7738" s="6">
        <v>0</v>
      </c>
      <c r="E7738" s="6">
        <v>0</v>
      </c>
      <c r="F7738" s="11" t="s">
        <v>7</v>
      </c>
    </row>
    <row r="7739" spans="1:6">
      <c r="A7739" s="5" t="str">
        <f t="shared" si="136"/>
        <v>202329</v>
      </c>
      <c r="B7739" s="5" t="str">
        <f>"23085060402"</f>
        <v>23085060402</v>
      </c>
      <c r="C7739" s="6">
        <v>0</v>
      </c>
      <c r="D7739" s="6">
        <v>0</v>
      </c>
      <c r="E7739" s="6">
        <v>0</v>
      </c>
      <c r="F7739" s="11" t="s">
        <v>7</v>
      </c>
    </row>
    <row r="7740" spans="1:6">
      <c r="A7740" s="5" t="str">
        <f t="shared" ref="A7740:A7742" si="137">"202330"</f>
        <v>202330</v>
      </c>
      <c r="B7740" s="5" t="str">
        <f>"23085060528"</f>
        <v>23085060528</v>
      </c>
      <c r="C7740" s="6">
        <v>97.5</v>
      </c>
      <c r="D7740" s="6">
        <v>104.5</v>
      </c>
      <c r="E7740" s="6">
        <v>202</v>
      </c>
      <c r="F7740" s="11"/>
    </row>
    <row r="7741" spans="1:6">
      <c r="A7741" s="5" t="str">
        <f t="shared" si="137"/>
        <v>202330</v>
      </c>
      <c r="B7741" s="5" t="str">
        <f>"23085060529"</f>
        <v>23085060529</v>
      </c>
      <c r="C7741" s="6">
        <v>94.5</v>
      </c>
      <c r="D7741" s="6">
        <v>98</v>
      </c>
      <c r="E7741" s="6">
        <v>192.5</v>
      </c>
      <c r="F7741" s="11"/>
    </row>
    <row r="7742" spans="1:6">
      <c r="A7742" s="5" t="str">
        <f t="shared" si="137"/>
        <v>202330</v>
      </c>
      <c r="B7742" s="5" t="str">
        <f>"23085060530"</f>
        <v>23085060530</v>
      </c>
      <c r="C7742" s="6">
        <v>84</v>
      </c>
      <c r="D7742" s="6">
        <v>65.5</v>
      </c>
      <c r="E7742" s="6">
        <v>149.5</v>
      </c>
      <c r="F7742" s="11"/>
    </row>
    <row r="7743" spans="1:6">
      <c r="A7743" s="5" t="str">
        <f t="shared" ref="A7743:A7806" si="138">"202331"</f>
        <v>202331</v>
      </c>
      <c r="B7743" s="5" t="str">
        <f>"23085060718"</f>
        <v>23085060718</v>
      </c>
      <c r="C7743" s="6">
        <v>123</v>
      </c>
      <c r="D7743" s="6">
        <v>121.5</v>
      </c>
      <c r="E7743" s="6">
        <v>244.5</v>
      </c>
      <c r="F7743" s="11"/>
    </row>
    <row r="7744" spans="1:6">
      <c r="A7744" s="5" t="str">
        <f t="shared" si="138"/>
        <v>202331</v>
      </c>
      <c r="B7744" s="5" t="str">
        <f>"23085060820"</f>
        <v>23085060820</v>
      </c>
      <c r="C7744" s="6">
        <v>112.5</v>
      </c>
      <c r="D7744" s="6">
        <v>119.5</v>
      </c>
      <c r="E7744" s="6">
        <v>232</v>
      </c>
      <c r="F7744" s="11"/>
    </row>
    <row r="7745" spans="1:6">
      <c r="A7745" s="5" t="str">
        <f t="shared" si="138"/>
        <v>202331</v>
      </c>
      <c r="B7745" s="5" t="str">
        <f>"23085060618"</f>
        <v>23085060618</v>
      </c>
      <c r="C7745" s="6">
        <v>114</v>
      </c>
      <c r="D7745" s="6">
        <v>117</v>
      </c>
      <c r="E7745" s="6">
        <v>231</v>
      </c>
      <c r="F7745" s="11"/>
    </row>
    <row r="7746" spans="1:6">
      <c r="A7746" s="5" t="str">
        <f t="shared" si="138"/>
        <v>202331</v>
      </c>
      <c r="B7746" s="5" t="str">
        <f>"23085060617"</f>
        <v>23085060617</v>
      </c>
      <c r="C7746" s="6">
        <v>112.5</v>
      </c>
      <c r="D7746" s="6">
        <v>118</v>
      </c>
      <c r="E7746" s="6">
        <v>230.5</v>
      </c>
      <c r="F7746" s="11"/>
    </row>
    <row r="7747" spans="1:6">
      <c r="A7747" s="5" t="str">
        <f t="shared" si="138"/>
        <v>202331</v>
      </c>
      <c r="B7747" s="5" t="str">
        <f>"23085060806"</f>
        <v>23085060806</v>
      </c>
      <c r="C7747" s="6">
        <v>114</v>
      </c>
      <c r="D7747" s="6">
        <v>116.5</v>
      </c>
      <c r="E7747" s="6">
        <v>230.5</v>
      </c>
      <c r="F7747" s="11"/>
    </row>
    <row r="7748" spans="1:6">
      <c r="A7748" s="5" t="str">
        <f t="shared" si="138"/>
        <v>202331</v>
      </c>
      <c r="B7748" s="5" t="str">
        <f>"23085060914"</f>
        <v>23085060914</v>
      </c>
      <c r="C7748" s="6">
        <v>108</v>
      </c>
      <c r="D7748" s="6">
        <v>120.5</v>
      </c>
      <c r="E7748" s="6">
        <v>228.5</v>
      </c>
      <c r="F7748" s="11"/>
    </row>
    <row r="7749" spans="1:6">
      <c r="A7749" s="5" t="str">
        <f t="shared" si="138"/>
        <v>202331</v>
      </c>
      <c r="B7749" s="5" t="str">
        <f>"23085060703"</f>
        <v>23085060703</v>
      </c>
      <c r="C7749" s="6">
        <v>111</v>
      </c>
      <c r="D7749" s="6">
        <v>117</v>
      </c>
      <c r="E7749" s="6">
        <v>228</v>
      </c>
      <c r="F7749" s="11"/>
    </row>
    <row r="7750" spans="1:6">
      <c r="A7750" s="5" t="str">
        <f t="shared" si="138"/>
        <v>202331</v>
      </c>
      <c r="B7750" s="5" t="str">
        <f>"23085060714"</f>
        <v>23085060714</v>
      </c>
      <c r="C7750" s="6">
        <v>111</v>
      </c>
      <c r="D7750" s="6">
        <v>116.5</v>
      </c>
      <c r="E7750" s="6">
        <v>227.5</v>
      </c>
      <c r="F7750" s="11"/>
    </row>
    <row r="7751" spans="1:6">
      <c r="A7751" s="5" t="str">
        <f t="shared" si="138"/>
        <v>202331</v>
      </c>
      <c r="B7751" s="5" t="str">
        <f>"23085060626"</f>
        <v>23085060626</v>
      </c>
      <c r="C7751" s="6">
        <v>106.5</v>
      </c>
      <c r="D7751" s="6">
        <v>120.5</v>
      </c>
      <c r="E7751" s="6">
        <v>227</v>
      </c>
      <c r="F7751" s="11"/>
    </row>
    <row r="7752" spans="1:6">
      <c r="A7752" s="5" t="str">
        <f t="shared" si="138"/>
        <v>202331</v>
      </c>
      <c r="B7752" s="5" t="str">
        <f>"23085060819"</f>
        <v>23085060819</v>
      </c>
      <c r="C7752" s="6">
        <v>112.5</v>
      </c>
      <c r="D7752" s="6">
        <v>114</v>
      </c>
      <c r="E7752" s="6">
        <v>226.5</v>
      </c>
      <c r="F7752" s="11"/>
    </row>
    <row r="7753" spans="1:6">
      <c r="A7753" s="5" t="str">
        <f t="shared" si="138"/>
        <v>202331</v>
      </c>
      <c r="B7753" s="5" t="str">
        <f>"23085060808"</f>
        <v>23085060808</v>
      </c>
      <c r="C7753" s="6">
        <v>114</v>
      </c>
      <c r="D7753" s="6">
        <v>111.5</v>
      </c>
      <c r="E7753" s="6">
        <v>225.5</v>
      </c>
      <c r="F7753" s="11"/>
    </row>
    <row r="7754" spans="1:6">
      <c r="A7754" s="5" t="str">
        <f t="shared" si="138"/>
        <v>202331</v>
      </c>
      <c r="B7754" s="5" t="str">
        <f>"23085060913"</f>
        <v>23085060913</v>
      </c>
      <c r="C7754" s="6">
        <v>112.5</v>
      </c>
      <c r="D7754" s="6">
        <v>112.5</v>
      </c>
      <c r="E7754" s="6">
        <v>225</v>
      </c>
      <c r="F7754" s="11"/>
    </row>
    <row r="7755" spans="1:6">
      <c r="A7755" s="5" t="str">
        <f t="shared" si="138"/>
        <v>202331</v>
      </c>
      <c r="B7755" s="5" t="str">
        <f>"23085060708"</f>
        <v>23085060708</v>
      </c>
      <c r="C7755" s="6">
        <v>103.5</v>
      </c>
      <c r="D7755" s="6">
        <v>121</v>
      </c>
      <c r="E7755" s="6">
        <v>224.5</v>
      </c>
      <c r="F7755" s="11"/>
    </row>
    <row r="7756" spans="1:6">
      <c r="A7756" s="5" t="str">
        <f t="shared" si="138"/>
        <v>202331</v>
      </c>
      <c r="B7756" s="5" t="str">
        <f>"23085060612"</f>
        <v>23085060612</v>
      </c>
      <c r="C7756" s="6">
        <v>105</v>
      </c>
      <c r="D7756" s="6">
        <v>119.5</v>
      </c>
      <c r="E7756" s="6">
        <v>224.5</v>
      </c>
      <c r="F7756" s="11"/>
    </row>
    <row r="7757" spans="1:6">
      <c r="A7757" s="5" t="str">
        <f t="shared" si="138"/>
        <v>202331</v>
      </c>
      <c r="B7757" s="5" t="str">
        <f>"23085060801"</f>
        <v>23085060801</v>
      </c>
      <c r="C7757" s="6">
        <v>103.5</v>
      </c>
      <c r="D7757" s="6">
        <v>119.5</v>
      </c>
      <c r="E7757" s="6">
        <v>223</v>
      </c>
      <c r="F7757" s="11"/>
    </row>
    <row r="7758" spans="1:6">
      <c r="A7758" s="5" t="str">
        <f t="shared" si="138"/>
        <v>202331</v>
      </c>
      <c r="B7758" s="5" t="str">
        <f>"23085060722"</f>
        <v>23085060722</v>
      </c>
      <c r="C7758" s="6">
        <v>112.5</v>
      </c>
      <c r="D7758" s="6">
        <v>110.5</v>
      </c>
      <c r="E7758" s="6">
        <v>223</v>
      </c>
      <c r="F7758" s="11"/>
    </row>
    <row r="7759" spans="1:6">
      <c r="A7759" s="5" t="str">
        <f t="shared" si="138"/>
        <v>202331</v>
      </c>
      <c r="B7759" s="5" t="str">
        <f>"23085060912"</f>
        <v>23085060912</v>
      </c>
      <c r="C7759" s="6">
        <v>108</v>
      </c>
      <c r="D7759" s="6">
        <v>115</v>
      </c>
      <c r="E7759" s="6">
        <v>223</v>
      </c>
      <c r="F7759" s="11"/>
    </row>
    <row r="7760" spans="1:6">
      <c r="A7760" s="5" t="str">
        <f t="shared" si="138"/>
        <v>202331</v>
      </c>
      <c r="B7760" s="5" t="str">
        <f>"23085060615"</f>
        <v>23085060615</v>
      </c>
      <c r="C7760" s="6">
        <v>105</v>
      </c>
      <c r="D7760" s="6">
        <v>118</v>
      </c>
      <c r="E7760" s="6">
        <v>223</v>
      </c>
      <c r="F7760" s="11"/>
    </row>
    <row r="7761" spans="1:6">
      <c r="A7761" s="5" t="str">
        <f t="shared" si="138"/>
        <v>202331</v>
      </c>
      <c r="B7761" s="5" t="str">
        <f>"23085060610"</f>
        <v>23085060610</v>
      </c>
      <c r="C7761" s="6">
        <v>114</v>
      </c>
      <c r="D7761" s="6">
        <v>108</v>
      </c>
      <c r="E7761" s="6">
        <v>222</v>
      </c>
      <c r="F7761" s="11"/>
    </row>
    <row r="7762" spans="1:6">
      <c r="A7762" s="5" t="str">
        <f t="shared" si="138"/>
        <v>202331</v>
      </c>
      <c r="B7762" s="5" t="str">
        <f>"23085060711"</f>
        <v>23085060711</v>
      </c>
      <c r="C7762" s="6">
        <v>103.5</v>
      </c>
      <c r="D7762" s="6">
        <v>118.5</v>
      </c>
      <c r="E7762" s="6">
        <v>222</v>
      </c>
      <c r="F7762" s="11"/>
    </row>
    <row r="7763" spans="1:6">
      <c r="A7763" s="5" t="str">
        <f t="shared" si="138"/>
        <v>202331</v>
      </c>
      <c r="B7763" s="5" t="str">
        <f>"23085060622"</f>
        <v>23085060622</v>
      </c>
      <c r="C7763" s="6">
        <v>102</v>
      </c>
      <c r="D7763" s="6">
        <v>120</v>
      </c>
      <c r="E7763" s="6">
        <v>222</v>
      </c>
      <c r="F7763" s="11"/>
    </row>
    <row r="7764" spans="1:6">
      <c r="A7764" s="5" t="str">
        <f t="shared" si="138"/>
        <v>202331</v>
      </c>
      <c r="B7764" s="5" t="str">
        <f>"23085060811"</f>
        <v>23085060811</v>
      </c>
      <c r="C7764" s="6">
        <v>103.5</v>
      </c>
      <c r="D7764" s="6">
        <v>118</v>
      </c>
      <c r="E7764" s="6">
        <v>221.5</v>
      </c>
      <c r="F7764" s="11"/>
    </row>
    <row r="7765" spans="1:6">
      <c r="A7765" s="5" t="str">
        <f t="shared" si="138"/>
        <v>202331</v>
      </c>
      <c r="B7765" s="5" t="str">
        <f>"23085060803"</f>
        <v>23085060803</v>
      </c>
      <c r="C7765" s="6">
        <v>106.5</v>
      </c>
      <c r="D7765" s="6">
        <v>115</v>
      </c>
      <c r="E7765" s="6">
        <v>221.5</v>
      </c>
      <c r="F7765" s="11"/>
    </row>
    <row r="7766" spans="1:6">
      <c r="A7766" s="5" t="str">
        <f t="shared" si="138"/>
        <v>202331</v>
      </c>
      <c r="B7766" s="5" t="str">
        <f>"23085060902"</f>
        <v>23085060902</v>
      </c>
      <c r="C7766" s="6">
        <v>105</v>
      </c>
      <c r="D7766" s="6">
        <v>116.5</v>
      </c>
      <c r="E7766" s="6">
        <v>221.5</v>
      </c>
      <c r="F7766" s="11"/>
    </row>
    <row r="7767" spans="1:6">
      <c r="A7767" s="5" t="str">
        <f t="shared" si="138"/>
        <v>202331</v>
      </c>
      <c r="B7767" s="5" t="str">
        <f>"23085060715"</f>
        <v>23085060715</v>
      </c>
      <c r="C7767" s="6">
        <v>103.5</v>
      </c>
      <c r="D7767" s="6">
        <v>117.5</v>
      </c>
      <c r="E7767" s="6">
        <v>221</v>
      </c>
      <c r="F7767" s="11"/>
    </row>
    <row r="7768" spans="1:6">
      <c r="A7768" s="5" t="str">
        <f t="shared" si="138"/>
        <v>202331</v>
      </c>
      <c r="B7768" s="5" t="str">
        <f>"23085060829"</f>
        <v>23085060829</v>
      </c>
      <c r="C7768" s="6">
        <v>102</v>
      </c>
      <c r="D7768" s="6">
        <v>119</v>
      </c>
      <c r="E7768" s="6">
        <v>221</v>
      </c>
      <c r="F7768" s="11"/>
    </row>
    <row r="7769" spans="1:6">
      <c r="A7769" s="5" t="str">
        <f t="shared" si="138"/>
        <v>202331</v>
      </c>
      <c r="B7769" s="5" t="str">
        <f>"23085060826"</f>
        <v>23085060826</v>
      </c>
      <c r="C7769" s="6">
        <v>103.5</v>
      </c>
      <c r="D7769" s="6">
        <v>116.5</v>
      </c>
      <c r="E7769" s="6">
        <v>220</v>
      </c>
      <c r="F7769" s="11"/>
    </row>
    <row r="7770" spans="1:6">
      <c r="A7770" s="5" t="str">
        <f t="shared" si="138"/>
        <v>202331</v>
      </c>
      <c r="B7770" s="5" t="str">
        <f>"23085060725"</f>
        <v>23085060725</v>
      </c>
      <c r="C7770" s="6">
        <v>102</v>
      </c>
      <c r="D7770" s="6">
        <v>118</v>
      </c>
      <c r="E7770" s="6">
        <v>220</v>
      </c>
      <c r="F7770" s="11"/>
    </row>
    <row r="7771" spans="1:6">
      <c r="A7771" s="5" t="str">
        <f t="shared" si="138"/>
        <v>202331</v>
      </c>
      <c r="B7771" s="5" t="str">
        <f>"23085060701"</f>
        <v>23085060701</v>
      </c>
      <c r="C7771" s="6">
        <v>103.5</v>
      </c>
      <c r="D7771" s="6">
        <v>116</v>
      </c>
      <c r="E7771" s="6">
        <v>219.5</v>
      </c>
      <c r="F7771" s="11"/>
    </row>
    <row r="7772" spans="1:6">
      <c r="A7772" s="5" t="str">
        <f t="shared" si="138"/>
        <v>202331</v>
      </c>
      <c r="B7772" s="5" t="str">
        <f>"23085060706"</f>
        <v>23085060706</v>
      </c>
      <c r="C7772" s="6">
        <v>105</v>
      </c>
      <c r="D7772" s="6">
        <v>114</v>
      </c>
      <c r="E7772" s="6">
        <v>219</v>
      </c>
      <c r="F7772" s="11"/>
    </row>
    <row r="7773" spans="1:6">
      <c r="A7773" s="5" t="str">
        <f t="shared" si="138"/>
        <v>202331</v>
      </c>
      <c r="B7773" s="5" t="str">
        <f>"23085060607"</f>
        <v>23085060607</v>
      </c>
      <c r="C7773" s="6">
        <v>96</v>
      </c>
      <c r="D7773" s="6">
        <v>121.5</v>
      </c>
      <c r="E7773" s="6">
        <v>217.5</v>
      </c>
      <c r="F7773" s="11"/>
    </row>
    <row r="7774" spans="1:6">
      <c r="A7774" s="5" t="str">
        <f t="shared" si="138"/>
        <v>202331</v>
      </c>
      <c r="B7774" s="5" t="str">
        <f>"23085060723"</f>
        <v>23085060723</v>
      </c>
      <c r="C7774" s="6">
        <v>100.5</v>
      </c>
      <c r="D7774" s="6">
        <v>117</v>
      </c>
      <c r="E7774" s="6">
        <v>217.5</v>
      </c>
      <c r="F7774" s="11"/>
    </row>
    <row r="7775" spans="1:6">
      <c r="A7775" s="5" t="str">
        <f t="shared" si="138"/>
        <v>202331</v>
      </c>
      <c r="B7775" s="5" t="str">
        <f>"23085060822"</f>
        <v>23085060822</v>
      </c>
      <c r="C7775" s="6">
        <v>105</v>
      </c>
      <c r="D7775" s="6">
        <v>112.5</v>
      </c>
      <c r="E7775" s="6">
        <v>217.5</v>
      </c>
      <c r="F7775" s="11"/>
    </row>
    <row r="7776" spans="1:6">
      <c r="A7776" s="5" t="str">
        <f t="shared" si="138"/>
        <v>202331</v>
      </c>
      <c r="B7776" s="5" t="str">
        <f>"23085060910"</f>
        <v>23085060910</v>
      </c>
      <c r="C7776" s="6">
        <v>97.5</v>
      </c>
      <c r="D7776" s="6">
        <v>120</v>
      </c>
      <c r="E7776" s="6">
        <v>217.5</v>
      </c>
      <c r="F7776" s="11"/>
    </row>
    <row r="7777" spans="1:6">
      <c r="A7777" s="5" t="str">
        <f t="shared" si="138"/>
        <v>202331</v>
      </c>
      <c r="B7777" s="5" t="str">
        <f>"23085060713"</f>
        <v>23085060713</v>
      </c>
      <c r="C7777" s="6">
        <v>102</v>
      </c>
      <c r="D7777" s="6">
        <v>115</v>
      </c>
      <c r="E7777" s="6">
        <v>217</v>
      </c>
      <c r="F7777" s="11"/>
    </row>
    <row r="7778" spans="1:6">
      <c r="A7778" s="5" t="str">
        <f t="shared" si="138"/>
        <v>202331</v>
      </c>
      <c r="B7778" s="5" t="str">
        <f>"23085060717"</f>
        <v>23085060717</v>
      </c>
      <c r="C7778" s="6">
        <v>114</v>
      </c>
      <c r="D7778" s="6">
        <v>102</v>
      </c>
      <c r="E7778" s="6">
        <v>216</v>
      </c>
      <c r="F7778" s="11"/>
    </row>
    <row r="7779" spans="1:6">
      <c r="A7779" s="5" t="str">
        <f t="shared" si="138"/>
        <v>202331</v>
      </c>
      <c r="B7779" s="5" t="str">
        <f>"23085060817"</f>
        <v>23085060817</v>
      </c>
      <c r="C7779" s="6">
        <v>97.5</v>
      </c>
      <c r="D7779" s="6">
        <v>116.5</v>
      </c>
      <c r="E7779" s="6">
        <v>214</v>
      </c>
      <c r="F7779" s="11"/>
    </row>
    <row r="7780" spans="1:6">
      <c r="A7780" s="5" t="str">
        <f t="shared" si="138"/>
        <v>202331</v>
      </c>
      <c r="B7780" s="5" t="str">
        <f>"23085060608"</f>
        <v>23085060608</v>
      </c>
      <c r="C7780" s="6">
        <v>94.5</v>
      </c>
      <c r="D7780" s="6">
        <v>119.5</v>
      </c>
      <c r="E7780" s="6">
        <v>214</v>
      </c>
      <c r="F7780" s="11"/>
    </row>
    <row r="7781" spans="1:6">
      <c r="A7781" s="5" t="str">
        <f t="shared" si="138"/>
        <v>202331</v>
      </c>
      <c r="B7781" s="5" t="str">
        <f>"23085060710"</f>
        <v>23085060710</v>
      </c>
      <c r="C7781" s="6">
        <v>102</v>
      </c>
      <c r="D7781" s="6">
        <v>111</v>
      </c>
      <c r="E7781" s="6">
        <v>213</v>
      </c>
      <c r="F7781" s="11"/>
    </row>
    <row r="7782" spans="1:6">
      <c r="A7782" s="5" t="str">
        <f t="shared" si="138"/>
        <v>202331</v>
      </c>
      <c r="B7782" s="5" t="str">
        <f>"23085060818"</f>
        <v>23085060818</v>
      </c>
      <c r="C7782" s="6">
        <v>96</v>
      </c>
      <c r="D7782" s="6">
        <v>116.5</v>
      </c>
      <c r="E7782" s="6">
        <v>212.5</v>
      </c>
      <c r="F7782" s="11"/>
    </row>
    <row r="7783" spans="1:6">
      <c r="A7783" s="5" t="str">
        <f t="shared" si="138"/>
        <v>202331</v>
      </c>
      <c r="B7783" s="5" t="str">
        <f>"23085060616"</f>
        <v>23085060616</v>
      </c>
      <c r="C7783" s="6">
        <v>94.5</v>
      </c>
      <c r="D7783" s="6">
        <v>117.5</v>
      </c>
      <c r="E7783" s="6">
        <v>212</v>
      </c>
      <c r="F7783" s="11"/>
    </row>
    <row r="7784" spans="1:6">
      <c r="A7784" s="5" t="str">
        <f t="shared" si="138"/>
        <v>202331</v>
      </c>
      <c r="B7784" s="5" t="str">
        <f>"23085060916"</f>
        <v>23085060916</v>
      </c>
      <c r="C7784" s="6">
        <v>97.5</v>
      </c>
      <c r="D7784" s="6">
        <v>114.5</v>
      </c>
      <c r="E7784" s="6">
        <v>212</v>
      </c>
      <c r="F7784" s="11"/>
    </row>
    <row r="7785" spans="1:6">
      <c r="A7785" s="5" t="str">
        <f t="shared" si="138"/>
        <v>202331</v>
      </c>
      <c r="B7785" s="5" t="str">
        <f>"23085060709"</f>
        <v>23085060709</v>
      </c>
      <c r="C7785" s="6">
        <v>102</v>
      </c>
      <c r="D7785" s="6">
        <v>109.5</v>
      </c>
      <c r="E7785" s="6">
        <v>211.5</v>
      </c>
      <c r="F7785" s="11"/>
    </row>
    <row r="7786" spans="1:6">
      <c r="A7786" s="5" t="str">
        <f t="shared" si="138"/>
        <v>202331</v>
      </c>
      <c r="B7786" s="5" t="str">
        <f>"23085060613"</f>
        <v>23085060613</v>
      </c>
      <c r="C7786" s="6">
        <v>93</v>
      </c>
      <c r="D7786" s="6">
        <v>117</v>
      </c>
      <c r="E7786" s="6">
        <v>210</v>
      </c>
      <c r="F7786" s="11"/>
    </row>
    <row r="7787" spans="1:6">
      <c r="A7787" s="5" t="str">
        <f t="shared" si="138"/>
        <v>202331</v>
      </c>
      <c r="B7787" s="5" t="str">
        <f>"23085060730"</f>
        <v>23085060730</v>
      </c>
      <c r="C7787" s="6">
        <v>90</v>
      </c>
      <c r="D7787" s="6">
        <v>118.5</v>
      </c>
      <c r="E7787" s="6">
        <v>208.5</v>
      </c>
      <c r="F7787" s="11"/>
    </row>
    <row r="7788" spans="1:6">
      <c r="A7788" s="5" t="str">
        <f t="shared" si="138"/>
        <v>202331</v>
      </c>
      <c r="B7788" s="5" t="str">
        <f>"23085060614"</f>
        <v>23085060614</v>
      </c>
      <c r="C7788" s="6">
        <v>94.5</v>
      </c>
      <c r="D7788" s="6">
        <v>113.5</v>
      </c>
      <c r="E7788" s="6">
        <v>208</v>
      </c>
      <c r="F7788" s="11"/>
    </row>
    <row r="7789" spans="1:6">
      <c r="A7789" s="5" t="str">
        <f t="shared" si="138"/>
        <v>202331</v>
      </c>
      <c r="B7789" s="5" t="str">
        <f>"23085060830"</f>
        <v>23085060830</v>
      </c>
      <c r="C7789" s="6">
        <v>93</v>
      </c>
      <c r="D7789" s="6">
        <v>114.5</v>
      </c>
      <c r="E7789" s="6">
        <v>207.5</v>
      </c>
      <c r="F7789" s="11"/>
    </row>
    <row r="7790" spans="1:6">
      <c r="A7790" s="5" t="str">
        <f t="shared" si="138"/>
        <v>202331</v>
      </c>
      <c r="B7790" s="5" t="str">
        <f>"23085060606"</f>
        <v>23085060606</v>
      </c>
      <c r="C7790" s="6">
        <v>91.5</v>
      </c>
      <c r="D7790" s="6">
        <v>115</v>
      </c>
      <c r="E7790" s="6">
        <v>206.5</v>
      </c>
      <c r="F7790" s="11"/>
    </row>
    <row r="7791" spans="1:6">
      <c r="A7791" s="5" t="str">
        <f t="shared" si="138"/>
        <v>202331</v>
      </c>
      <c r="B7791" s="5" t="str">
        <f>"23085060812"</f>
        <v>23085060812</v>
      </c>
      <c r="C7791" s="6">
        <v>96</v>
      </c>
      <c r="D7791" s="6">
        <v>109.5</v>
      </c>
      <c r="E7791" s="6">
        <v>205.5</v>
      </c>
      <c r="F7791" s="11"/>
    </row>
    <row r="7792" spans="1:6">
      <c r="A7792" s="5" t="str">
        <f t="shared" si="138"/>
        <v>202331</v>
      </c>
      <c r="B7792" s="5" t="str">
        <f>"23085060704"</f>
        <v>23085060704</v>
      </c>
      <c r="C7792" s="6">
        <v>91.5</v>
      </c>
      <c r="D7792" s="6">
        <v>113.5</v>
      </c>
      <c r="E7792" s="6">
        <v>205</v>
      </c>
      <c r="F7792" s="11"/>
    </row>
    <row r="7793" spans="1:6">
      <c r="A7793" s="5" t="str">
        <f t="shared" si="138"/>
        <v>202331</v>
      </c>
      <c r="B7793" s="5" t="str">
        <f>"23085060721"</f>
        <v>23085060721</v>
      </c>
      <c r="C7793" s="6">
        <v>88.5</v>
      </c>
      <c r="D7793" s="6">
        <v>116</v>
      </c>
      <c r="E7793" s="6">
        <v>204.5</v>
      </c>
      <c r="F7793" s="11"/>
    </row>
    <row r="7794" spans="1:6">
      <c r="A7794" s="5" t="str">
        <f t="shared" si="138"/>
        <v>202331</v>
      </c>
      <c r="B7794" s="5" t="str">
        <f>"23085060908"</f>
        <v>23085060908</v>
      </c>
      <c r="C7794" s="6">
        <v>91.5</v>
      </c>
      <c r="D7794" s="6">
        <v>113</v>
      </c>
      <c r="E7794" s="6">
        <v>204.5</v>
      </c>
      <c r="F7794" s="11"/>
    </row>
    <row r="7795" spans="1:6">
      <c r="A7795" s="5" t="str">
        <f t="shared" si="138"/>
        <v>202331</v>
      </c>
      <c r="B7795" s="5" t="str">
        <f>"23085060905"</f>
        <v>23085060905</v>
      </c>
      <c r="C7795" s="6">
        <v>93</v>
      </c>
      <c r="D7795" s="6">
        <v>111</v>
      </c>
      <c r="E7795" s="6">
        <v>204</v>
      </c>
      <c r="F7795" s="11"/>
    </row>
    <row r="7796" spans="1:6">
      <c r="A7796" s="5" t="str">
        <f t="shared" si="138"/>
        <v>202331</v>
      </c>
      <c r="B7796" s="5" t="str">
        <f>"23085060828"</f>
        <v>23085060828</v>
      </c>
      <c r="C7796" s="6">
        <v>85.5</v>
      </c>
      <c r="D7796" s="6">
        <v>118.5</v>
      </c>
      <c r="E7796" s="6">
        <v>204</v>
      </c>
      <c r="F7796" s="11"/>
    </row>
    <row r="7797" spans="1:6">
      <c r="A7797" s="5" t="str">
        <f t="shared" si="138"/>
        <v>202331</v>
      </c>
      <c r="B7797" s="5" t="str">
        <f>"23085060604"</f>
        <v>23085060604</v>
      </c>
      <c r="C7797" s="6">
        <v>87</v>
      </c>
      <c r="D7797" s="6">
        <v>116.5</v>
      </c>
      <c r="E7797" s="6">
        <v>203.5</v>
      </c>
      <c r="F7797" s="11"/>
    </row>
    <row r="7798" spans="1:6">
      <c r="A7798" s="5" t="str">
        <f t="shared" si="138"/>
        <v>202331</v>
      </c>
      <c r="B7798" s="5" t="str">
        <f>"23085060813"</f>
        <v>23085060813</v>
      </c>
      <c r="C7798" s="6">
        <v>103.5</v>
      </c>
      <c r="D7798" s="6">
        <v>100</v>
      </c>
      <c r="E7798" s="6">
        <v>203.5</v>
      </c>
      <c r="F7798" s="11"/>
    </row>
    <row r="7799" spans="1:6">
      <c r="A7799" s="5" t="str">
        <f t="shared" si="138"/>
        <v>202331</v>
      </c>
      <c r="B7799" s="5" t="str">
        <f>"23085060609"</f>
        <v>23085060609</v>
      </c>
      <c r="C7799" s="6">
        <v>90</v>
      </c>
      <c r="D7799" s="6">
        <v>113.5</v>
      </c>
      <c r="E7799" s="6">
        <v>203.5</v>
      </c>
      <c r="F7799" s="11"/>
    </row>
    <row r="7800" spans="1:6">
      <c r="A7800" s="5" t="str">
        <f t="shared" si="138"/>
        <v>202331</v>
      </c>
      <c r="B7800" s="5" t="str">
        <f>"23085060901"</f>
        <v>23085060901</v>
      </c>
      <c r="C7800" s="6">
        <v>82.5</v>
      </c>
      <c r="D7800" s="6">
        <v>120.5</v>
      </c>
      <c r="E7800" s="6">
        <v>203</v>
      </c>
      <c r="F7800" s="11"/>
    </row>
    <row r="7801" spans="1:6">
      <c r="A7801" s="5" t="str">
        <f t="shared" si="138"/>
        <v>202331</v>
      </c>
      <c r="B7801" s="5" t="str">
        <f>"23085060816"</f>
        <v>23085060816</v>
      </c>
      <c r="C7801" s="6">
        <v>94.5</v>
      </c>
      <c r="D7801" s="6">
        <v>108.5</v>
      </c>
      <c r="E7801" s="6">
        <v>203</v>
      </c>
      <c r="F7801" s="11"/>
    </row>
    <row r="7802" spans="1:6">
      <c r="A7802" s="5" t="str">
        <f t="shared" si="138"/>
        <v>202331</v>
      </c>
      <c r="B7802" s="5" t="str">
        <f>"23085060915"</f>
        <v>23085060915</v>
      </c>
      <c r="C7802" s="6">
        <v>96</v>
      </c>
      <c r="D7802" s="6">
        <v>107</v>
      </c>
      <c r="E7802" s="6">
        <v>203</v>
      </c>
      <c r="F7802" s="11"/>
    </row>
    <row r="7803" spans="1:6">
      <c r="A7803" s="5" t="str">
        <f t="shared" si="138"/>
        <v>202331</v>
      </c>
      <c r="B7803" s="5" t="str">
        <f>"23085060601"</f>
        <v>23085060601</v>
      </c>
      <c r="C7803" s="6">
        <v>85.5</v>
      </c>
      <c r="D7803" s="6">
        <v>116</v>
      </c>
      <c r="E7803" s="6">
        <v>201.5</v>
      </c>
      <c r="F7803" s="11"/>
    </row>
    <row r="7804" spans="1:6">
      <c r="A7804" s="5" t="str">
        <f t="shared" si="138"/>
        <v>202331</v>
      </c>
      <c r="B7804" s="5" t="str">
        <f>"23085060814"</f>
        <v>23085060814</v>
      </c>
      <c r="C7804" s="6">
        <v>78</v>
      </c>
      <c r="D7804" s="6">
        <v>123</v>
      </c>
      <c r="E7804" s="6">
        <v>201</v>
      </c>
      <c r="F7804" s="11"/>
    </row>
    <row r="7805" spans="1:6">
      <c r="A7805" s="5" t="str">
        <f t="shared" si="138"/>
        <v>202331</v>
      </c>
      <c r="B7805" s="5" t="str">
        <f>"23085060726"</f>
        <v>23085060726</v>
      </c>
      <c r="C7805" s="6">
        <v>94.5</v>
      </c>
      <c r="D7805" s="6">
        <v>106.5</v>
      </c>
      <c r="E7805" s="6">
        <v>201</v>
      </c>
      <c r="F7805" s="11"/>
    </row>
    <row r="7806" spans="1:6">
      <c r="A7806" s="5" t="str">
        <f t="shared" si="138"/>
        <v>202331</v>
      </c>
      <c r="B7806" s="5" t="str">
        <f>"23085060824"</f>
        <v>23085060824</v>
      </c>
      <c r="C7806" s="6">
        <v>85.5</v>
      </c>
      <c r="D7806" s="6">
        <v>115.5</v>
      </c>
      <c r="E7806" s="6">
        <v>201</v>
      </c>
      <c r="F7806" s="11"/>
    </row>
    <row r="7807" spans="1:6">
      <c r="A7807" s="5" t="str">
        <f t="shared" ref="A7807:A7850" si="139">"202331"</f>
        <v>202331</v>
      </c>
      <c r="B7807" s="5" t="str">
        <f>"23085060809"</f>
        <v>23085060809</v>
      </c>
      <c r="C7807" s="6">
        <v>85.5</v>
      </c>
      <c r="D7807" s="6">
        <v>115</v>
      </c>
      <c r="E7807" s="6">
        <v>200.5</v>
      </c>
      <c r="F7807" s="11"/>
    </row>
    <row r="7808" spans="1:6">
      <c r="A7808" s="5" t="str">
        <f t="shared" si="139"/>
        <v>202331</v>
      </c>
      <c r="B7808" s="5" t="str">
        <f>"23085060627"</f>
        <v>23085060627</v>
      </c>
      <c r="C7808" s="6">
        <v>78</v>
      </c>
      <c r="D7808" s="6">
        <v>121.5</v>
      </c>
      <c r="E7808" s="6">
        <v>199.5</v>
      </c>
      <c r="F7808" s="11"/>
    </row>
    <row r="7809" spans="1:6">
      <c r="A7809" s="5" t="str">
        <f t="shared" si="139"/>
        <v>202331</v>
      </c>
      <c r="B7809" s="5" t="str">
        <f>"23085060807"</f>
        <v>23085060807</v>
      </c>
      <c r="C7809" s="6">
        <v>81</v>
      </c>
      <c r="D7809" s="6">
        <v>118.5</v>
      </c>
      <c r="E7809" s="6">
        <v>199.5</v>
      </c>
      <c r="F7809" s="11"/>
    </row>
    <row r="7810" spans="1:6">
      <c r="A7810" s="5" t="str">
        <f t="shared" si="139"/>
        <v>202331</v>
      </c>
      <c r="B7810" s="5" t="str">
        <f>"23085060629"</f>
        <v>23085060629</v>
      </c>
      <c r="C7810" s="6">
        <v>78</v>
      </c>
      <c r="D7810" s="6">
        <v>120</v>
      </c>
      <c r="E7810" s="6">
        <v>198</v>
      </c>
      <c r="F7810" s="11"/>
    </row>
    <row r="7811" spans="1:6">
      <c r="A7811" s="5" t="str">
        <f t="shared" si="139"/>
        <v>202331</v>
      </c>
      <c r="B7811" s="5" t="str">
        <f>"23085060719"</f>
        <v>23085060719</v>
      </c>
      <c r="C7811" s="6">
        <v>78</v>
      </c>
      <c r="D7811" s="6">
        <v>118.5</v>
      </c>
      <c r="E7811" s="6">
        <v>196.5</v>
      </c>
      <c r="F7811" s="11"/>
    </row>
    <row r="7812" spans="1:6">
      <c r="A7812" s="5" t="str">
        <f t="shared" si="139"/>
        <v>202331</v>
      </c>
      <c r="B7812" s="5" t="str">
        <f>"23085060712"</f>
        <v>23085060712</v>
      </c>
      <c r="C7812" s="6">
        <v>85.5</v>
      </c>
      <c r="D7812" s="6">
        <v>109</v>
      </c>
      <c r="E7812" s="6">
        <v>194.5</v>
      </c>
      <c r="F7812" s="11"/>
    </row>
    <row r="7813" spans="1:6">
      <c r="A7813" s="5" t="str">
        <f t="shared" si="139"/>
        <v>202331</v>
      </c>
      <c r="B7813" s="5" t="str">
        <f>"23085060727"</f>
        <v>23085060727</v>
      </c>
      <c r="C7813" s="6">
        <v>97.5</v>
      </c>
      <c r="D7813" s="6">
        <v>96.5</v>
      </c>
      <c r="E7813" s="6">
        <v>194</v>
      </c>
      <c r="F7813" s="11"/>
    </row>
    <row r="7814" spans="1:6">
      <c r="A7814" s="5" t="str">
        <f t="shared" si="139"/>
        <v>202331</v>
      </c>
      <c r="B7814" s="5" t="str">
        <f>"23085060620"</f>
        <v>23085060620</v>
      </c>
      <c r="C7814" s="6">
        <v>76.5</v>
      </c>
      <c r="D7814" s="6">
        <v>117.5</v>
      </c>
      <c r="E7814" s="6">
        <v>194</v>
      </c>
      <c r="F7814" s="11"/>
    </row>
    <row r="7815" spans="1:6">
      <c r="A7815" s="5" t="str">
        <f t="shared" si="139"/>
        <v>202331</v>
      </c>
      <c r="B7815" s="5" t="str">
        <f>"23085060903"</f>
        <v>23085060903</v>
      </c>
      <c r="C7815" s="6">
        <v>79.5</v>
      </c>
      <c r="D7815" s="6">
        <v>113.5</v>
      </c>
      <c r="E7815" s="6">
        <v>193</v>
      </c>
      <c r="F7815" s="11"/>
    </row>
    <row r="7816" spans="1:6">
      <c r="A7816" s="5" t="str">
        <f t="shared" si="139"/>
        <v>202331</v>
      </c>
      <c r="B7816" s="5" t="str">
        <f>"23085060907"</f>
        <v>23085060907</v>
      </c>
      <c r="C7816" s="6">
        <v>75</v>
      </c>
      <c r="D7816" s="6">
        <v>117.5</v>
      </c>
      <c r="E7816" s="6">
        <v>192.5</v>
      </c>
      <c r="F7816" s="11"/>
    </row>
    <row r="7817" spans="1:6">
      <c r="A7817" s="5" t="str">
        <f t="shared" si="139"/>
        <v>202331</v>
      </c>
      <c r="B7817" s="5" t="str">
        <f>"23085060630"</f>
        <v>23085060630</v>
      </c>
      <c r="C7817" s="6">
        <v>81</v>
      </c>
      <c r="D7817" s="6">
        <v>109</v>
      </c>
      <c r="E7817" s="6">
        <v>190</v>
      </c>
      <c r="F7817" s="11"/>
    </row>
    <row r="7818" spans="1:6">
      <c r="A7818" s="5" t="str">
        <f t="shared" si="139"/>
        <v>202331</v>
      </c>
      <c r="B7818" s="5" t="str">
        <f>"23085060805"</f>
        <v>23085060805</v>
      </c>
      <c r="C7818" s="6">
        <v>82.5</v>
      </c>
      <c r="D7818" s="6">
        <v>105</v>
      </c>
      <c r="E7818" s="6">
        <v>187.5</v>
      </c>
      <c r="F7818" s="11"/>
    </row>
    <row r="7819" spans="1:6">
      <c r="A7819" s="5" t="str">
        <f t="shared" si="139"/>
        <v>202331</v>
      </c>
      <c r="B7819" s="5" t="str">
        <f>"23085060625"</f>
        <v>23085060625</v>
      </c>
      <c r="C7819" s="6">
        <v>69</v>
      </c>
      <c r="D7819" s="6">
        <v>114</v>
      </c>
      <c r="E7819" s="6">
        <v>183</v>
      </c>
      <c r="F7819" s="11"/>
    </row>
    <row r="7820" spans="1:6">
      <c r="A7820" s="5" t="str">
        <f t="shared" si="139"/>
        <v>202331</v>
      </c>
      <c r="B7820" s="5" t="str">
        <f>"23085060628"</f>
        <v>23085060628</v>
      </c>
      <c r="C7820" s="6">
        <v>88.5</v>
      </c>
      <c r="D7820" s="6">
        <v>90</v>
      </c>
      <c r="E7820" s="6">
        <v>178.5</v>
      </c>
      <c r="F7820" s="11"/>
    </row>
    <row r="7821" spans="1:6">
      <c r="A7821" s="5" t="str">
        <f t="shared" si="139"/>
        <v>202331</v>
      </c>
      <c r="B7821" s="5" t="str">
        <f>"23085060904"</f>
        <v>23085060904</v>
      </c>
      <c r="C7821" s="6">
        <v>67.5</v>
      </c>
      <c r="D7821" s="6">
        <v>106.5</v>
      </c>
      <c r="E7821" s="6">
        <v>174</v>
      </c>
      <c r="F7821" s="11"/>
    </row>
    <row r="7822" spans="1:6">
      <c r="A7822" s="5" t="str">
        <f t="shared" si="139"/>
        <v>202331</v>
      </c>
      <c r="B7822" s="5" t="str">
        <f>"23085060621"</f>
        <v>23085060621</v>
      </c>
      <c r="C7822" s="6">
        <v>63</v>
      </c>
      <c r="D7822" s="6">
        <v>108</v>
      </c>
      <c r="E7822" s="6">
        <v>171</v>
      </c>
      <c r="F7822" s="11"/>
    </row>
    <row r="7823" spans="1:6">
      <c r="A7823" s="5" t="str">
        <f t="shared" si="139"/>
        <v>202331</v>
      </c>
      <c r="B7823" s="5" t="str">
        <f>"23085060827"</f>
        <v>23085060827</v>
      </c>
      <c r="C7823" s="6">
        <v>63</v>
      </c>
      <c r="D7823" s="6">
        <v>92.5</v>
      </c>
      <c r="E7823" s="6">
        <v>155.5</v>
      </c>
      <c r="F7823" s="11"/>
    </row>
    <row r="7824" spans="1:6">
      <c r="A7824" s="5" t="str">
        <f t="shared" si="139"/>
        <v>202331</v>
      </c>
      <c r="B7824" s="5" t="str">
        <f>"23085060707"</f>
        <v>23085060707</v>
      </c>
      <c r="C7824" s="6">
        <v>0</v>
      </c>
      <c r="D7824" s="6">
        <v>0</v>
      </c>
      <c r="E7824" s="6">
        <v>0</v>
      </c>
      <c r="F7824" s="11" t="s">
        <v>7</v>
      </c>
    </row>
    <row r="7825" spans="1:6">
      <c r="A7825" s="5" t="str">
        <f t="shared" si="139"/>
        <v>202331</v>
      </c>
      <c r="B7825" s="5" t="str">
        <f>"23085060705"</f>
        <v>23085060705</v>
      </c>
      <c r="C7825" s="6">
        <v>0</v>
      </c>
      <c r="D7825" s="6">
        <v>0</v>
      </c>
      <c r="E7825" s="6">
        <v>0</v>
      </c>
      <c r="F7825" s="11" t="s">
        <v>7</v>
      </c>
    </row>
    <row r="7826" spans="1:6">
      <c r="A7826" s="5" t="str">
        <f t="shared" si="139"/>
        <v>202331</v>
      </c>
      <c r="B7826" s="5" t="str">
        <f>"23085060909"</f>
        <v>23085060909</v>
      </c>
      <c r="C7826" s="6">
        <v>0</v>
      </c>
      <c r="D7826" s="6">
        <v>0</v>
      </c>
      <c r="E7826" s="6">
        <v>0</v>
      </c>
      <c r="F7826" s="11" t="s">
        <v>7</v>
      </c>
    </row>
    <row r="7827" spans="1:6">
      <c r="A7827" s="5" t="str">
        <f t="shared" si="139"/>
        <v>202331</v>
      </c>
      <c r="B7827" s="5" t="str">
        <f>"23085060619"</f>
        <v>23085060619</v>
      </c>
      <c r="C7827" s="6">
        <v>0</v>
      </c>
      <c r="D7827" s="6">
        <v>0</v>
      </c>
      <c r="E7827" s="6">
        <v>0</v>
      </c>
      <c r="F7827" s="11" t="s">
        <v>7</v>
      </c>
    </row>
    <row r="7828" spans="1:6">
      <c r="A7828" s="5" t="str">
        <f t="shared" si="139"/>
        <v>202331</v>
      </c>
      <c r="B7828" s="5" t="str">
        <f>"23085060823"</f>
        <v>23085060823</v>
      </c>
      <c r="C7828" s="6">
        <v>0</v>
      </c>
      <c r="D7828" s="6">
        <v>0</v>
      </c>
      <c r="E7828" s="6">
        <v>0</v>
      </c>
      <c r="F7828" s="11" t="s">
        <v>7</v>
      </c>
    </row>
    <row r="7829" spans="1:6">
      <c r="A7829" s="5" t="str">
        <f t="shared" si="139"/>
        <v>202331</v>
      </c>
      <c r="B7829" s="5" t="str">
        <f>"23085060716"</f>
        <v>23085060716</v>
      </c>
      <c r="C7829" s="6">
        <v>0</v>
      </c>
      <c r="D7829" s="6">
        <v>0</v>
      </c>
      <c r="E7829" s="6">
        <v>0</v>
      </c>
      <c r="F7829" s="11" t="s">
        <v>7</v>
      </c>
    </row>
    <row r="7830" spans="1:6">
      <c r="A7830" s="5" t="str">
        <f t="shared" si="139"/>
        <v>202331</v>
      </c>
      <c r="B7830" s="5" t="str">
        <f>"23085060720"</f>
        <v>23085060720</v>
      </c>
      <c r="C7830" s="6">
        <v>0</v>
      </c>
      <c r="D7830" s="6">
        <v>0</v>
      </c>
      <c r="E7830" s="6">
        <v>0</v>
      </c>
      <c r="F7830" s="11" t="s">
        <v>7</v>
      </c>
    </row>
    <row r="7831" spans="1:6">
      <c r="A7831" s="5" t="str">
        <f t="shared" si="139"/>
        <v>202331</v>
      </c>
      <c r="B7831" s="5" t="str">
        <f>"23085060602"</f>
        <v>23085060602</v>
      </c>
      <c r="C7831" s="6">
        <v>0</v>
      </c>
      <c r="D7831" s="6">
        <v>0</v>
      </c>
      <c r="E7831" s="6">
        <v>0</v>
      </c>
      <c r="F7831" s="11" t="s">
        <v>7</v>
      </c>
    </row>
    <row r="7832" spans="1:6">
      <c r="A7832" s="5" t="str">
        <f t="shared" si="139"/>
        <v>202331</v>
      </c>
      <c r="B7832" s="5" t="str">
        <f>"23085060906"</f>
        <v>23085060906</v>
      </c>
      <c r="C7832" s="6">
        <v>0</v>
      </c>
      <c r="D7832" s="6">
        <v>0</v>
      </c>
      <c r="E7832" s="6">
        <v>0</v>
      </c>
      <c r="F7832" s="11" t="s">
        <v>7</v>
      </c>
    </row>
    <row r="7833" spans="1:6">
      <c r="A7833" s="5" t="str">
        <f t="shared" si="139"/>
        <v>202331</v>
      </c>
      <c r="B7833" s="5" t="str">
        <f>"23085060825"</f>
        <v>23085060825</v>
      </c>
      <c r="C7833" s="6">
        <v>0</v>
      </c>
      <c r="D7833" s="6">
        <v>0</v>
      </c>
      <c r="E7833" s="6">
        <v>0</v>
      </c>
      <c r="F7833" s="11" t="s">
        <v>7</v>
      </c>
    </row>
    <row r="7834" spans="1:6">
      <c r="A7834" s="5" t="str">
        <f t="shared" si="139"/>
        <v>202331</v>
      </c>
      <c r="B7834" s="5" t="str">
        <f>"23085060821"</f>
        <v>23085060821</v>
      </c>
      <c r="C7834" s="6">
        <v>0</v>
      </c>
      <c r="D7834" s="6">
        <v>0</v>
      </c>
      <c r="E7834" s="6">
        <v>0</v>
      </c>
      <c r="F7834" s="11" t="s">
        <v>7</v>
      </c>
    </row>
    <row r="7835" spans="1:6">
      <c r="A7835" s="5" t="str">
        <f t="shared" si="139"/>
        <v>202331</v>
      </c>
      <c r="B7835" s="5" t="str">
        <f>"23085060724"</f>
        <v>23085060724</v>
      </c>
      <c r="C7835" s="6">
        <v>0</v>
      </c>
      <c r="D7835" s="6">
        <v>0</v>
      </c>
      <c r="E7835" s="6">
        <v>0</v>
      </c>
      <c r="F7835" s="11" t="s">
        <v>7</v>
      </c>
    </row>
    <row r="7836" spans="1:6">
      <c r="A7836" s="5" t="str">
        <f t="shared" si="139"/>
        <v>202331</v>
      </c>
      <c r="B7836" s="5" t="str">
        <f>"23085060611"</f>
        <v>23085060611</v>
      </c>
      <c r="C7836" s="6">
        <v>0</v>
      </c>
      <c r="D7836" s="6">
        <v>0</v>
      </c>
      <c r="E7836" s="6">
        <v>0</v>
      </c>
      <c r="F7836" s="11" t="s">
        <v>7</v>
      </c>
    </row>
    <row r="7837" spans="1:6">
      <c r="A7837" s="5" t="str">
        <f t="shared" si="139"/>
        <v>202331</v>
      </c>
      <c r="B7837" s="5" t="str">
        <f>"23085060728"</f>
        <v>23085060728</v>
      </c>
      <c r="C7837" s="6">
        <v>0</v>
      </c>
      <c r="D7837" s="6">
        <v>0</v>
      </c>
      <c r="E7837" s="6">
        <v>0</v>
      </c>
      <c r="F7837" s="11" t="s">
        <v>7</v>
      </c>
    </row>
    <row r="7838" spans="1:6">
      <c r="A7838" s="5" t="str">
        <f t="shared" si="139"/>
        <v>202331</v>
      </c>
      <c r="B7838" s="5" t="str">
        <f>"23085060804"</f>
        <v>23085060804</v>
      </c>
      <c r="C7838" s="6">
        <v>0</v>
      </c>
      <c r="D7838" s="6">
        <v>0</v>
      </c>
      <c r="E7838" s="6">
        <v>0</v>
      </c>
      <c r="F7838" s="11" t="s">
        <v>7</v>
      </c>
    </row>
    <row r="7839" spans="1:6">
      <c r="A7839" s="5" t="str">
        <f t="shared" si="139"/>
        <v>202331</v>
      </c>
      <c r="B7839" s="5" t="str">
        <f>"23085060729"</f>
        <v>23085060729</v>
      </c>
      <c r="C7839" s="6">
        <v>0</v>
      </c>
      <c r="D7839" s="6">
        <v>0</v>
      </c>
      <c r="E7839" s="6">
        <v>0</v>
      </c>
      <c r="F7839" s="11" t="s">
        <v>7</v>
      </c>
    </row>
    <row r="7840" spans="1:6">
      <c r="A7840" s="5" t="str">
        <f t="shared" si="139"/>
        <v>202331</v>
      </c>
      <c r="B7840" s="5" t="str">
        <f>"23085060917"</f>
        <v>23085060917</v>
      </c>
      <c r="C7840" s="6">
        <v>0</v>
      </c>
      <c r="D7840" s="6">
        <v>0</v>
      </c>
      <c r="E7840" s="6">
        <v>0</v>
      </c>
      <c r="F7840" s="11" t="s">
        <v>7</v>
      </c>
    </row>
    <row r="7841" spans="1:6">
      <c r="A7841" s="5" t="str">
        <f t="shared" si="139"/>
        <v>202331</v>
      </c>
      <c r="B7841" s="5" t="str">
        <f>"23085060815"</f>
        <v>23085060815</v>
      </c>
      <c r="C7841" s="6">
        <v>0</v>
      </c>
      <c r="D7841" s="6">
        <v>0</v>
      </c>
      <c r="E7841" s="6">
        <v>0</v>
      </c>
      <c r="F7841" s="11" t="s">
        <v>7</v>
      </c>
    </row>
    <row r="7842" spans="1:6">
      <c r="A7842" s="5" t="str">
        <f t="shared" si="139"/>
        <v>202331</v>
      </c>
      <c r="B7842" s="5" t="str">
        <f>"23085060802"</f>
        <v>23085060802</v>
      </c>
      <c r="C7842" s="6">
        <v>0</v>
      </c>
      <c r="D7842" s="6">
        <v>0</v>
      </c>
      <c r="E7842" s="6">
        <v>0</v>
      </c>
      <c r="F7842" s="11" t="s">
        <v>7</v>
      </c>
    </row>
    <row r="7843" spans="1:6">
      <c r="A7843" s="5" t="str">
        <f t="shared" si="139"/>
        <v>202331</v>
      </c>
      <c r="B7843" s="5" t="str">
        <f>"23085060623"</f>
        <v>23085060623</v>
      </c>
      <c r="C7843" s="6">
        <v>0</v>
      </c>
      <c r="D7843" s="6">
        <v>0</v>
      </c>
      <c r="E7843" s="6">
        <v>0</v>
      </c>
      <c r="F7843" s="11" t="s">
        <v>7</v>
      </c>
    </row>
    <row r="7844" spans="1:6">
      <c r="A7844" s="5" t="str">
        <f t="shared" si="139"/>
        <v>202331</v>
      </c>
      <c r="B7844" s="5" t="str">
        <f>"23085060918"</f>
        <v>23085060918</v>
      </c>
      <c r="C7844" s="6">
        <v>0</v>
      </c>
      <c r="D7844" s="6">
        <v>0</v>
      </c>
      <c r="E7844" s="6">
        <v>0</v>
      </c>
      <c r="F7844" s="11" t="s">
        <v>7</v>
      </c>
    </row>
    <row r="7845" spans="1:6">
      <c r="A7845" s="5" t="str">
        <f t="shared" si="139"/>
        <v>202331</v>
      </c>
      <c r="B7845" s="5" t="str">
        <f>"23085060624"</f>
        <v>23085060624</v>
      </c>
      <c r="C7845" s="6">
        <v>0</v>
      </c>
      <c r="D7845" s="6">
        <v>0</v>
      </c>
      <c r="E7845" s="6">
        <v>0</v>
      </c>
      <c r="F7845" s="11" t="s">
        <v>7</v>
      </c>
    </row>
    <row r="7846" spans="1:6">
      <c r="A7846" s="5" t="str">
        <f t="shared" si="139"/>
        <v>202331</v>
      </c>
      <c r="B7846" s="5" t="str">
        <f>"23085060603"</f>
        <v>23085060603</v>
      </c>
      <c r="C7846" s="6">
        <v>0</v>
      </c>
      <c r="D7846" s="6">
        <v>0</v>
      </c>
      <c r="E7846" s="6">
        <v>0</v>
      </c>
      <c r="F7846" s="11" t="s">
        <v>7</v>
      </c>
    </row>
    <row r="7847" spans="1:6">
      <c r="A7847" s="5" t="str">
        <f t="shared" si="139"/>
        <v>202331</v>
      </c>
      <c r="B7847" s="5" t="str">
        <f>"23085060810"</f>
        <v>23085060810</v>
      </c>
      <c r="C7847" s="6">
        <v>0</v>
      </c>
      <c r="D7847" s="6">
        <v>0</v>
      </c>
      <c r="E7847" s="6">
        <v>0</v>
      </c>
      <c r="F7847" s="11" t="s">
        <v>7</v>
      </c>
    </row>
    <row r="7848" spans="1:6">
      <c r="A7848" s="5" t="str">
        <f t="shared" si="139"/>
        <v>202331</v>
      </c>
      <c r="B7848" s="5" t="str">
        <f>"23085060911"</f>
        <v>23085060911</v>
      </c>
      <c r="C7848" s="6">
        <v>0</v>
      </c>
      <c r="D7848" s="6">
        <v>0</v>
      </c>
      <c r="E7848" s="6">
        <v>0</v>
      </c>
      <c r="F7848" s="11" t="s">
        <v>7</v>
      </c>
    </row>
    <row r="7849" spans="1:6">
      <c r="A7849" s="5" t="str">
        <f t="shared" si="139"/>
        <v>202331</v>
      </c>
      <c r="B7849" s="5" t="str">
        <f>"23085060702"</f>
        <v>23085060702</v>
      </c>
      <c r="C7849" s="6">
        <v>0</v>
      </c>
      <c r="D7849" s="6">
        <v>0</v>
      </c>
      <c r="E7849" s="6">
        <v>0</v>
      </c>
      <c r="F7849" s="11" t="s">
        <v>7</v>
      </c>
    </row>
    <row r="7850" spans="1:6">
      <c r="A7850" s="5" t="str">
        <f t="shared" si="139"/>
        <v>202331</v>
      </c>
      <c r="B7850" s="5" t="str">
        <f>"23085060605"</f>
        <v>23085060605</v>
      </c>
      <c r="C7850" s="6">
        <v>0</v>
      </c>
      <c r="D7850" s="6">
        <v>0</v>
      </c>
      <c r="E7850" s="6">
        <v>0</v>
      </c>
      <c r="F7850" s="11" t="s">
        <v>7</v>
      </c>
    </row>
    <row r="7851" spans="1:6">
      <c r="A7851" s="5" t="str">
        <f t="shared" ref="A7851:A7914" si="140">"202332"</f>
        <v>202332</v>
      </c>
      <c r="B7851" s="5" t="str">
        <f>"23085062313"</f>
        <v>23085062313</v>
      </c>
      <c r="C7851" s="6">
        <v>129</v>
      </c>
      <c r="D7851" s="6">
        <v>118.5</v>
      </c>
      <c r="E7851" s="6">
        <v>247.5</v>
      </c>
      <c r="F7851" s="11"/>
    </row>
    <row r="7852" spans="1:6">
      <c r="A7852" s="5" t="str">
        <f t="shared" si="140"/>
        <v>202332</v>
      </c>
      <c r="B7852" s="5" t="str">
        <f>"23085063323"</f>
        <v>23085063323</v>
      </c>
      <c r="C7852" s="6">
        <v>124.5</v>
      </c>
      <c r="D7852" s="6">
        <v>121.5</v>
      </c>
      <c r="E7852" s="6">
        <v>246</v>
      </c>
      <c r="F7852" s="11"/>
    </row>
    <row r="7853" spans="1:6">
      <c r="A7853" s="5" t="str">
        <f t="shared" si="140"/>
        <v>202332</v>
      </c>
      <c r="B7853" s="5" t="str">
        <f>"23085061211"</f>
        <v>23085061211</v>
      </c>
      <c r="C7853" s="6">
        <v>124.5</v>
      </c>
      <c r="D7853" s="6">
        <v>119</v>
      </c>
      <c r="E7853" s="6">
        <v>243.5</v>
      </c>
      <c r="F7853" s="11"/>
    </row>
    <row r="7854" spans="1:6">
      <c r="A7854" s="5" t="str">
        <f t="shared" si="140"/>
        <v>202332</v>
      </c>
      <c r="B7854" s="5" t="str">
        <f>"23085062707"</f>
        <v>23085062707</v>
      </c>
      <c r="C7854" s="6">
        <v>126</v>
      </c>
      <c r="D7854" s="6">
        <v>116.5</v>
      </c>
      <c r="E7854" s="6">
        <v>242.5</v>
      </c>
      <c r="F7854" s="11"/>
    </row>
    <row r="7855" spans="1:6">
      <c r="A7855" s="5" t="str">
        <f t="shared" si="140"/>
        <v>202332</v>
      </c>
      <c r="B7855" s="5" t="str">
        <f>"23085061406"</f>
        <v>23085061406</v>
      </c>
      <c r="C7855" s="6">
        <v>117</v>
      </c>
      <c r="D7855" s="6">
        <v>124.5</v>
      </c>
      <c r="E7855" s="6">
        <v>241.5</v>
      </c>
      <c r="F7855" s="11"/>
    </row>
    <row r="7856" spans="1:6">
      <c r="A7856" s="5" t="str">
        <f t="shared" si="140"/>
        <v>202332</v>
      </c>
      <c r="B7856" s="5" t="str">
        <f>"23085061721"</f>
        <v>23085061721</v>
      </c>
      <c r="C7856" s="6">
        <v>124.5</v>
      </c>
      <c r="D7856" s="6">
        <v>116.5</v>
      </c>
      <c r="E7856" s="6">
        <v>241</v>
      </c>
      <c r="F7856" s="11"/>
    </row>
    <row r="7857" spans="1:6">
      <c r="A7857" s="5" t="str">
        <f t="shared" si="140"/>
        <v>202332</v>
      </c>
      <c r="B7857" s="5" t="str">
        <f>"23085062914"</f>
        <v>23085062914</v>
      </c>
      <c r="C7857" s="6">
        <v>126</v>
      </c>
      <c r="D7857" s="6">
        <v>115</v>
      </c>
      <c r="E7857" s="6">
        <v>241</v>
      </c>
      <c r="F7857" s="11"/>
    </row>
    <row r="7858" spans="1:6">
      <c r="A7858" s="5" t="str">
        <f t="shared" si="140"/>
        <v>202332</v>
      </c>
      <c r="B7858" s="5" t="str">
        <f>"23085062813"</f>
        <v>23085062813</v>
      </c>
      <c r="C7858" s="6">
        <v>120</v>
      </c>
      <c r="D7858" s="6">
        <v>120</v>
      </c>
      <c r="E7858" s="6">
        <v>240</v>
      </c>
      <c r="F7858" s="11"/>
    </row>
    <row r="7859" spans="1:6">
      <c r="A7859" s="5" t="str">
        <f t="shared" si="140"/>
        <v>202332</v>
      </c>
      <c r="B7859" s="5" t="str">
        <f>"23085063209"</f>
        <v>23085063209</v>
      </c>
      <c r="C7859" s="6">
        <v>121.5</v>
      </c>
      <c r="D7859" s="6">
        <v>118.5</v>
      </c>
      <c r="E7859" s="6">
        <v>240</v>
      </c>
      <c r="F7859" s="11"/>
    </row>
    <row r="7860" spans="1:6">
      <c r="A7860" s="5" t="str">
        <f t="shared" si="140"/>
        <v>202332</v>
      </c>
      <c r="B7860" s="5" t="str">
        <f>"23085063217"</f>
        <v>23085063217</v>
      </c>
      <c r="C7860" s="6">
        <v>118.5</v>
      </c>
      <c r="D7860" s="6">
        <v>121.5</v>
      </c>
      <c r="E7860" s="6">
        <v>240</v>
      </c>
      <c r="F7860" s="11"/>
    </row>
    <row r="7861" spans="1:6">
      <c r="A7861" s="5" t="str">
        <f t="shared" si="140"/>
        <v>202332</v>
      </c>
      <c r="B7861" s="5" t="str">
        <f>"23085063413"</f>
        <v>23085063413</v>
      </c>
      <c r="C7861" s="6">
        <v>123</v>
      </c>
      <c r="D7861" s="6">
        <v>117</v>
      </c>
      <c r="E7861" s="6">
        <v>240</v>
      </c>
      <c r="F7861" s="11"/>
    </row>
    <row r="7862" spans="1:6">
      <c r="A7862" s="5" t="str">
        <f t="shared" si="140"/>
        <v>202332</v>
      </c>
      <c r="B7862" s="5" t="str">
        <f>"23085062420"</f>
        <v>23085062420</v>
      </c>
      <c r="C7862" s="6">
        <v>124.5</v>
      </c>
      <c r="D7862" s="6">
        <v>115</v>
      </c>
      <c r="E7862" s="6">
        <v>239.5</v>
      </c>
      <c r="F7862" s="11"/>
    </row>
    <row r="7863" spans="1:6">
      <c r="A7863" s="5" t="str">
        <f t="shared" si="140"/>
        <v>202332</v>
      </c>
      <c r="B7863" s="5" t="str">
        <f>"23085061108"</f>
        <v>23085061108</v>
      </c>
      <c r="C7863" s="6">
        <v>120</v>
      </c>
      <c r="D7863" s="6">
        <v>119.5</v>
      </c>
      <c r="E7863" s="6">
        <v>239.5</v>
      </c>
      <c r="F7863" s="11"/>
    </row>
    <row r="7864" spans="1:6">
      <c r="A7864" s="5" t="str">
        <f t="shared" si="140"/>
        <v>202332</v>
      </c>
      <c r="B7864" s="5" t="str">
        <f>"23085061709"</f>
        <v>23085061709</v>
      </c>
      <c r="C7864" s="6">
        <v>123</v>
      </c>
      <c r="D7864" s="6">
        <v>116.5</v>
      </c>
      <c r="E7864" s="6">
        <v>239.5</v>
      </c>
      <c r="F7864" s="11"/>
    </row>
    <row r="7865" spans="1:6">
      <c r="A7865" s="5" t="str">
        <f t="shared" si="140"/>
        <v>202332</v>
      </c>
      <c r="B7865" s="5" t="str">
        <f>"23085061222"</f>
        <v>23085061222</v>
      </c>
      <c r="C7865" s="6">
        <v>123</v>
      </c>
      <c r="D7865" s="6">
        <v>116</v>
      </c>
      <c r="E7865" s="6">
        <v>239</v>
      </c>
      <c r="F7865" s="11"/>
    </row>
    <row r="7866" spans="1:6">
      <c r="A7866" s="5" t="str">
        <f t="shared" si="140"/>
        <v>202332</v>
      </c>
      <c r="B7866" s="5" t="str">
        <f>"23085061019"</f>
        <v>23085061019</v>
      </c>
      <c r="C7866" s="6">
        <v>120</v>
      </c>
      <c r="D7866" s="6">
        <v>119</v>
      </c>
      <c r="E7866" s="6">
        <v>239</v>
      </c>
      <c r="F7866" s="11"/>
    </row>
    <row r="7867" spans="1:6">
      <c r="A7867" s="5" t="str">
        <f t="shared" si="140"/>
        <v>202332</v>
      </c>
      <c r="B7867" s="5" t="str">
        <f>"23085061612"</f>
        <v>23085061612</v>
      </c>
      <c r="C7867" s="6">
        <v>118.5</v>
      </c>
      <c r="D7867" s="6">
        <v>120</v>
      </c>
      <c r="E7867" s="6">
        <v>238.5</v>
      </c>
      <c r="F7867" s="11"/>
    </row>
    <row r="7868" spans="1:6">
      <c r="A7868" s="5" t="str">
        <f t="shared" si="140"/>
        <v>202332</v>
      </c>
      <c r="B7868" s="5" t="str">
        <f>"23085061427"</f>
        <v>23085061427</v>
      </c>
      <c r="C7868" s="6">
        <v>121.5</v>
      </c>
      <c r="D7868" s="6">
        <v>116.5</v>
      </c>
      <c r="E7868" s="6">
        <v>238</v>
      </c>
      <c r="F7868" s="11"/>
    </row>
    <row r="7869" spans="1:6">
      <c r="A7869" s="5" t="str">
        <f t="shared" si="140"/>
        <v>202332</v>
      </c>
      <c r="B7869" s="5" t="str">
        <f>"23085062404"</f>
        <v>23085062404</v>
      </c>
      <c r="C7869" s="6">
        <v>117</v>
      </c>
      <c r="D7869" s="6">
        <v>120.5</v>
      </c>
      <c r="E7869" s="6">
        <v>237.5</v>
      </c>
      <c r="F7869" s="11"/>
    </row>
    <row r="7870" spans="1:6">
      <c r="A7870" s="5" t="str">
        <f t="shared" si="140"/>
        <v>202332</v>
      </c>
      <c r="B7870" s="5" t="str">
        <f>"23085061602"</f>
        <v>23085061602</v>
      </c>
      <c r="C7870" s="6">
        <v>120</v>
      </c>
      <c r="D7870" s="6">
        <v>117.5</v>
      </c>
      <c r="E7870" s="6">
        <v>237.5</v>
      </c>
      <c r="F7870" s="11"/>
    </row>
    <row r="7871" spans="1:6">
      <c r="A7871" s="5" t="str">
        <f t="shared" si="140"/>
        <v>202332</v>
      </c>
      <c r="B7871" s="5" t="str">
        <f>"23085062214"</f>
        <v>23085062214</v>
      </c>
      <c r="C7871" s="6">
        <v>117</v>
      </c>
      <c r="D7871" s="6">
        <v>119.5</v>
      </c>
      <c r="E7871" s="6">
        <v>236.5</v>
      </c>
      <c r="F7871" s="11"/>
    </row>
    <row r="7872" spans="1:6">
      <c r="A7872" s="5" t="str">
        <f t="shared" si="140"/>
        <v>202332</v>
      </c>
      <c r="B7872" s="5" t="str">
        <f>"23085062020"</f>
        <v>23085062020</v>
      </c>
      <c r="C7872" s="6">
        <v>117</v>
      </c>
      <c r="D7872" s="6">
        <v>119.5</v>
      </c>
      <c r="E7872" s="6">
        <v>236.5</v>
      </c>
      <c r="F7872" s="11"/>
    </row>
    <row r="7873" spans="1:6">
      <c r="A7873" s="5" t="str">
        <f t="shared" si="140"/>
        <v>202332</v>
      </c>
      <c r="B7873" s="5" t="str">
        <f>"23085062605"</f>
        <v>23085062605</v>
      </c>
      <c r="C7873" s="6">
        <v>117</v>
      </c>
      <c r="D7873" s="6">
        <v>119</v>
      </c>
      <c r="E7873" s="6">
        <v>236</v>
      </c>
      <c r="F7873" s="11"/>
    </row>
    <row r="7874" spans="1:6">
      <c r="A7874" s="5" t="str">
        <f t="shared" si="140"/>
        <v>202332</v>
      </c>
      <c r="B7874" s="5" t="str">
        <f>"23085062811"</f>
        <v>23085062811</v>
      </c>
      <c r="C7874" s="6">
        <v>115.5</v>
      </c>
      <c r="D7874" s="6">
        <v>120</v>
      </c>
      <c r="E7874" s="6">
        <v>235.5</v>
      </c>
      <c r="F7874" s="11"/>
    </row>
    <row r="7875" spans="1:6">
      <c r="A7875" s="5" t="str">
        <f t="shared" si="140"/>
        <v>202332</v>
      </c>
      <c r="B7875" s="5" t="str">
        <f>"23085062428"</f>
        <v>23085062428</v>
      </c>
      <c r="C7875" s="6">
        <v>117</v>
      </c>
      <c r="D7875" s="6">
        <v>118</v>
      </c>
      <c r="E7875" s="6">
        <v>235</v>
      </c>
      <c r="F7875" s="11"/>
    </row>
    <row r="7876" spans="1:6">
      <c r="A7876" s="5" t="str">
        <f t="shared" si="140"/>
        <v>202332</v>
      </c>
      <c r="B7876" s="5" t="str">
        <f>"23085062523"</f>
        <v>23085062523</v>
      </c>
      <c r="C7876" s="6">
        <v>115.5</v>
      </c>
      <c r="D7876" s="6">
        <v>119.5</v>
      </c>
      <c r="E7876" s="6">
        <v>235</v>
      </c>
      <c r="F7876" s="11"/>
    </row>
    <row r="7877" spans="1:6">
      <c r="A7877" s="5" t="str">
        <f t="shared" si="140"/>
        <v>202332</v>
      </c>
      <c r="B7877" s="5" t="str">
        <f>"23085062124"</f>
        <v>23085062124</v>
      </c>
      <c r="C7877" s="6">
        <v>118.5</v>
      </c>
      <c r="D7877" s="6">
        <v>116.5</v>
      </c>
      <c r="E7877" s="6">
        <v>235</v>
      </c>
      <c r="F7877" s="11"/>
    </row>
    <row r="7878" spans="1:6">
      <c r="A7878" s="5" t="str">
        <f t="shared" si="140"/>
        <v>202332</v>
      </c>
      <c r="B7878" s="5" t="str">
        <f>"23085061218"</f>
        <v>23085061218</v>
      </c>
      <c r="C7878" s="6">
        <v>120</v>
      </c>
      <c r="D7878" s="6">
        <v>115</v>
      </c>
      <c r="E7878" s="6">
        <v>235</v>
      </c>
      <c r="F7878" s="11"/>
    </row>
    <row r="7879" spans="1:6">
      <c r="A7879" s="5" t="str">
        <f t="shared" si="140"/>
        <v>202332</v>
      </c>
      <c r="B7879" s="5" t="str">
        <f>"23085061311"</f>
        <v>23085061311</v>
      </c>
      <c r="C7879" s="6">
        <v>118.5</v>
      </c>
      <c r="D7879" s="6">
        <v>116</v>
      </c>
      <c r="E7879" s="6">
        <v>234.5</v>
      </c>
      <c r="F7879" s="11"/>
    </row>
    <row r="7880" spans="1:6">
      <c r="A7880" s="5" t="str">
        <f t="shared" si="140"/>
        <v>202332</v>
      </c>
      <c r="B7880" s="5" t="str">
        <f>"23085062509"</f>
        <v>23085062509</v>
      </c>
      <c r="C7880" s="6">
        <v>118.5</v>
      </c>
      <c r="D7880" s="6">
        <v>115.5</v>
      </c>
      <c r="E7880" s="6">
        <v>234</v>
      </c>
      <c r="F7880" s="11"/>
    </row>
    <row r="7881" spans="1:6">
      <c r="A7881" s="5" t="str">
        <f t="shared" si="140"/>
        <v>202332</v>
      </c>
      <c r="B7881" s="5" t="str">
        <f>"23085062125"</f>
        <v>23085062125</v>
      </c>
      <c r="C7881" s="6">
        <v>114</v>
      </c>
      <c r="D7881" s="6">
        <v>120</v>
      </c>
      <c r="E7881" s="6">
        <v>234</v>
      </c>
      <c r="F7881" s="11"/>
    </row>
    <row r="7882" spans="1:6">
      <c r="A7882" s="5" t="str">
        <f t="shared" si="140"/>
        <v>202332</v>
      </c>
      <c r="B7882" s="5" t="str">
        <f>"23085061112"</f>
        <v>23085061112</v>
      </c>
      <c r="C7882" s="6">
        <v>115.5</v>
      </c>
      <c r="D7882" s="6">
        <v>118</v>
      </c>
      <c r="E7882" s="6">
        <v>233.5</v>
      </c>
      <c r="F7882" s="11"/>
    </row>
    <row r="7883" spans="1:6">
      <c r="A7883" s="5" t="str">
        <f t="shared" si="140"/>
        <v>202332</v>
      </c>
      <c r="B7883" s="5" t="str">
        <f>"23085062025"</f>
        <v>23085062025</v>
      </c>
      <c r="C7883" s="6">
        <v>117</v>
      </c>
      <c r="D7883" s="6">
        <v>116.5</v>
      </c>
      <c r="E7883" s="6">
        <v>233.5</v>
      </c>
      <c r="F7883" s="11"/>
    </row>
    <row r="7884" spans="1:6">
      <c r="A7884" s="5" t="str">
        <f t="shared" si="140"/>
        <v>202332</v>
      </c>
      <c r="B7884" s="5" t="str">
        <f>"23085062809"</f>
        <v>23085062809</v>
      </c>
      <c r="C7884" s="6">
        <v>117</v>
      </c>
      <c r="D7884" s="6">
        <v>116.5</v>
      </c>
      <c r="E7884" s="6">
        <v>233.5</v>
      </c>
      <c r="F7884" s="11"/>
    </row>
    <row r="7885" spans="1:6">
      <c r="A7885" s="5" t="str">
        <f t="shared" si="140"/>
        <v>202332</v>
      </c>
      <c r="B7885" s="5" t="str">
        <f>"23085063514"</f>
        <v>23085063514</v>
      </c>
      <c r="C7885" s="6">
        <v>117</v>
      </c>
      <c r="D7885" s="6">
        <v>116.5</v>
      </c>
      <c r="E7885" s="6">
        <v>233.5</v>
      </c>
      <c r="F7885" s="11"/>
    </row>
    <row r="7886" spans="1:6">
      <c r="A7886" s="5" t="str">
        <f t="shared" si="140"/>
        <v>202332</v>
      </c>
      <c r="B7886" s="5" t="str">
        <f>"23085061504"</f>
        <v>23085061504</v>
      </c>
      <c r="C7886" s="6">
        <v>118.5</v>
      </c>
      <c r="D7886" s="6">
        <v>115</v>
      </c>
      <c r="E7886" s="6">
        <v>233.5</v>
      </c>
      <c r="F7886" s="11"/>
    </row>
    <row r="7887" spans="1:6">
      <c r="A7887" s="5" t="str">
        <f t="shared" si="140"/>
        <v>202332</v>
      </c>
      <c r="B7887" s="5" t="str">
        <f>"23085061024"</f>
        <v>23085061024</v>
      </c>
      <c r="C7887" s="6">
        <v>112.5</v>
      </c>
      <c r="D7887" s="6">
        <v>120.5</v>
      </c>
      <c r="E7887" s="6">
        <v>233</v>
      </c>
      <c r="F7887" s="11"/>
    </row>
    <row r="7888" spans="1:6">
      <c r="A7888" s="5" t="str">
        <f t="shared" si="140"/>
        <v>202332</v>
      </c>
      <c r="B7888" s="5" t="str">
        <f>"23085061809"</f>
        <v>23085061809</v>
      </c>
      <c r="C7888" s="6">
        <v>120</v>
      </c>
      <c r="D7888" s="6">
        <v>113</v>
      </c>
      <c r="E7888" s="6">
        <v>233</v>
      </c>
      <c r="F7888" s="11"/>
    </row>
    <row r="7889" spans="1:6">
      <c r="A7889" s="5" t="str">
        <f t="shared" si="140"/>
        <v>202332</v>
      </c>
      <c r="B7889" s="5" t="str">
        <f>"23085063316"</f>
        <v>23085063316</v>
      </c>
      <c r="C7889" s="6">
        <v>120</v>
      </c>
      <c r="D7889" s="6">
        <v>113</v>
      </c>
      <c r="E7889" s="6">
        <v>233</v>
      </c>
      <c r="F7889" s="11"/>
    </row>
    <row r="7890" spans="1:6">
      <c r="A7890" s="5" t="str">
        <f t="shared" si="140"/>
        <v>202332</v>
      </c>
      <c r="B7890" s="5" t="str">
        <f>"23085062623"</f>
        <v>23085062623</v>
      </c>
      <c r="C7890" s="6">
        <v>117</v>
      </c>
      <c r="D7890" s="6">
        <v>115.5</v>
      </c>
      <c r="E7890" s="6">
        <v>232.5</v>
      </c>
      <c r="F7890" s="11"/>
    </row>
    <row r="7891" spans="1:6">
      <c r="A7891" s="5" t="str">
        <f t="shared" si="140"/>
        <v>202332</v>
      </c>
      <c r="B7891" s="5" t="str">
        <f>"23085061804"</f>
        <v>23085061804</v>
      </c>
      <c r="C7891" s="6">
        <v>121.5</v>
      </c>
      <c r="D7891" s="6">
        <v>111</v>
      </c>
      <c r="E7891" s="6">
        <v>232.5</v>
      </c>
      <c r="F7891" s="11"/>
    </row>
    <row r="7892" spans="1:6">
      <c r="A7892" s="5" t="str">
        <f t="shared" si="140"/>
        <v>202332</v>
      </c>
      <c r="B7892" s="5" t="str">
        <f>"23085062510"</f>
        <v>23085062510</v>
      </c>
      <c r="C7892" s="6">
        <v>115.5</v>
      </c>
      <c r="D7892" s="6">
        <v>117</v>
      </c>
      <c r="E7892" s="6">
        <v>232.5</v>
      </c>
      <c r="F7892" s="11"/>
    </row>
    <row r="7893" spans="1:6">
      <c r="A7893" s="5" t="str">
        <f t="shared" si="140"/>
        <v>202332</v>
      </c>
      <c r="B7893" s="5" t="str">
        <f>"23085061620"</f>
        <v>23085061620</v>
      </c>
      <c r="C7893" s="6">
        <v>115.5</v>
      </c>
      <c r="D7893" s="6">
        <v>117</v>
      </c>
      <c r="E7893" s="6">
        <v>232.5</v>
      </c>
      <c r="F7893" s="11"/>
    </row>
    <row r="7894" spans="1:6">
      <c r="A7894" s="5" t="str">
        <f t="shared" si="140"/>
        <v>202332</v>
      </c>
      <c r="B7894" s="5" t="str">
        <f>"23085062006"</f>
        <v>23085062006</v>
      </c>
      <c r="C7894" s="6">
        <v>121.5</v>
      </c>
      <c r="D7894" s="6">
        <v>111</v>
      </c>
      <c r="E7894" s="6">
        <v>232.5</v>
      </c>
      <c r="F7894" s="11"/>
    </row>
    <row r="7895" spans="1:6">
      <c r="A7895" s="5" t="str">
        <f t="shared" si="140"/>
        <v>202332</v>
      </c>
      <c r="B7895" s="5" t="str">
        <f>"23085062108"</f>
        <v>23085062108</v>
      </c>
      <c r="C7895" s="6">
        <v>121.5</v>
      </c>
      <c r="D7895" s="6">
        <v>111</v>
      </c>
      <c r="E7895" s="6">
        <v>232.5</v>
      </c>
      <c r="F7895" s="11"/>
    </row>
    <row r="7896" spans="1:6">
      <c r="A7896" s="5" t="str">
        <f t="shared" si="140"/>
        <v>202332</v>
      </c>
      <c r="B7896" s="5" t="str">
        <f>"23085062220"</f>
        <v>23085062220</v>
      </c>
      <c r="C7896" s="6">
        <v>109.5</v>
      </c>
      <c r="D7896" s="6">
        <v>122.5</v>
      </c>
      <c r="E7896" s="6">
        <v>232</v>
      </c>
      <c r="F7896" s="11"/>
    </row>
    <row r="7897" spans="1:6">
      <c r="A7897" s="5" t="str">
        <f t="shared" si="140"/>
        <v>202332</v>
      </c>
      <c r="B7897" s="5" t="str">
        <f>"23085061519"</f>
        <v>23085061519</v>
      </c>
      <c r="C7897" s="6">
        <v>118.5</v>
      </c>
      <c r="D7897" s="6">
        <v>113.5</v>
      </c>
      <c r="E7897" s="6">
        <v>232</v>
      </c>
      <c r="F7897" s="11"/>
    </row>
    <row r="7898" spans="1:6">
      <c r="A7898" s="5" t="str">
        <f t="shared" si="140"/>
        <v>202332</v>
      </c>
      <c r="B7898" s="5" t="str">
        <f>"23085061121"</f>
        <v>23085061121</v>
      </c>
      <c r="C7898" s="6">
        <v>115.5</v>
      </c>
      <c r="D7898" s="6">
        <v>116</v>
      </c>
      <c r="E7898" s="6">
        <v>231.5</v>
      </c>
      <c r="F7898" s="11"/>
    </row>
    <row r="7899" spans="1:6">
      <c r="A7899" s="5" t="str">
        <f t="shared" si="140"/>
        <v>202332</v>
      </c>
      <c r="B7899" s="5" t="str">
        <f>"23085063502"</f>
        <v>23085063502</v>
      </c>
      <c r="C7899" s="6">
        <v>118.5</v>
      </c>
      <c r="D7899" s="6">
        <v>113</v>
      </c>
      <c r="E7899" s="6">
        <v>231.5</v>
      </c>
      <c r="F7899" s="11"/>
    </row>
    <row r="7900" spans="1:6">
      <c r="A7900" s="5" t="str">
        <f t="shared" si="140"/>
        <v>202332</v>
      </c>
      <c r="B7900" s="5" t="str">
        <f>"23085061815"</f>
        <v>23085061815</v>
      </c>
      <c r="C7900" s="6">
        <v>114</v>
      </c>
      <c r="D7900" s="6">
        <v>117</v>
      </c>
      <c r="E7900" s="6">
        <v>231</v>
      </c>
      <c r="F7900" s="11"/>
    </row>
    <row r="7901" spans="1:6">
      <c r="A7901" s="5" t="str">
        <f t="shared" si="140"/>
        <v>202332</v>
      </c>
      <c r="B7901" s="5" t="str">
        <f>"23085062328"</f>
        <v>23085062328</v>
      </c>
      <c r="C7901" s="6">
        <v>120</v>
      </c>
      <c r="D7901" s="6">
        <v>111</v>
      </c>
      <c r="E7901" s="6">
        <v>231</v>
      </c>
      <c r="F7901" s="11"/>
    </row>
    <row r="7902" spans="1:6">
      <c r="A7902" s="5" t="str">
        <f t="shared" si="140"/>
        <v>202332</v>
      </c>
      <c r="B7902" s="5" t="str">
        <f>"23085063521"</f>
        <v>23085063521</v>
      </c>
      <c r="C7902" s="6">
        <v>114</v>
      </c>
      <c r="D7902" s="6">
        <v>117</v>
      </c>
      <c r="E7902" s="6">
        <v>231</v>
      </c>
      <c r="F7902" s="11"/>
    </row>
    <row r="7903" spans="1:6">
      <c r="A7903" s="5" t="str">
        <f t="shared" si="140"/>
        <v>202332</v>
      </c>
      <c r="B7903" s="5" t="str">
        <f>"23085063424"</f>
        <v>23085063424</v>
      </c>
      <c r="C7903" s="6">
        <v>118.5</v>
      </c>
      <c r="D7903" s="6">
        <v>112</v>
      </c>
      <c r="E7903" s="6">
        <v>230.5</v>
      </c>
      <c r="F7903" s="11"/>
    </row>
    <row r="7904" spans="1:6">
      <c r="A7904" s="5" t="str">
        <f t="shared" si="140"/>
        <v>202332</v>
      </c>
      <c r="B7904" s="5" t="str">
        <f>"23085062601"</f>
        <v>23085062601</v>
      </c>
      <c r="C7904" s="6">
        <v>114</v>
      </c>
      <c r="D7904" s="6">
        <v>116.5</v>
      </c>
      <c r="E7904" s="6">
        <v>230.5</v>
      </c>
      <c r="F7904" s="11"/>
    </row>
    <row r="7905" spans="1:6">
      <c r="A7905" s="5" t="str">
        <f t="shared" si="140"/>
        <v>202332</v>
      </c>
      <c r="B7905" s="5" t="str">
        <f>"23085061402"</f>
        <v>23085061402</v>
      </c>
      <c r="C7905" s="6">
        <v>109.5</v>
      </c>
      <c r="D7905" s="6">
        <v>121</v>
      </c>
      <c r="E7905" s="6">
        <v>230.5</v>
      </c>
      <c r="F7905" s="11"/>
    </row>
    <row r="7906" spans="1:6">
      <c r="A7906" s="5" t="str">
        <f t="shared" si="140"/>
        <v>202332</v>
      </c>
      <c r="B7906" s="5" t="str">
        <f>"23085062630"</f>
        <v>23085062630</v>
      </c>
      <c r="C7906" s="6">
        <v>117</v>
      </c>
      <c r="D7906" s="6">
        <v>113</v>
      </c>
      <c r="E7906" s="6">
        <v>230</v>
      </c>
      <c r="F7906" s="11"/>
    </row>
    <row r="7907" spans="1:6">
      <c r="A7907" s="5" t="str">
        <f t="shared" si="140"/>
        <v>202332</v>
      </c>
      <c r="B7907" s="5" t="str">
        <f>"23085062701"</f>
        <v>23085062701</v>
      </c>
      <c r="C7907" s="6">
        <v>112.5</v>
      </c>
      <c r="D7907" s="6">
        <v>117.5</v>
      </c>
      <c r="E7907" s="6">
        <v>230</v>
      </c>
      <c r="F7907" s="11"/>
    </row>
    <row r="7908" spans="1:6">
      <c r="A7908" s="5" t="str">
        <f t="shared" si="140"/>
        <v>202332</v>
      </c>
      <c r="B7908" s="5" t="str">
        <f>"23085062422"</f>
        <v>23085062422</v>
      </c>
      <c r="C7908" s="6">
        <v>112.5</v>
      </c>
      <c r="D7908" s="6">
        <v>117.5</v>
      </c>
      <c r="E7908" s="6">
        <v>230</v>
      </c>
      <c r="F7908" s="11"/>
    </row>
    <row r="7909" spans="1:6">
      <c r="A7909" s="5" t="str">
        <f t="shared" si="140"/>
        <v>202332</v>
      </c>
      <c r="B7909" s="5" t="str">
        <f>"23085062121"</f>
        <v>23085062121</v>
      </c>
      <c r="C7909" s="6">
        <v>117</v>
      </c>
      <c r="D7909" s="6">
        <v>113</v>
      </c>
      <c r="E7909" s="6">
        <v>230</v>
      </c>
      <c r="F7909" s="11"/>
    </row>
    <row r="7910" spans="1:6">
      <c r="A7910" s="5" t="str">
        <f t="shared" si="140"/>
        <v>202332</v>
      </c>
      <c r="B7910" s="5" t="str">
        <f>"23085063206"</f>
        <v>23085063206</v>
      </c>
      <c r="C7910" s="6">
        <v>118.5</v>
      </c>
      <c r="D7910" s="6">
        <v>111.5</v>
      </c>
      <c r="E7910" s="6">
        <v>230</v>
      </c>
      <c r="F7910" s="11"/>
    </row>
    <row r="7911" spans="1:6">
      <c r="A7911" s="5" t="str">
        <f t="shared" si="140"/>
        <v>202332</v>
      </c>
      <c r="B7911" s="5" t="str">
        <f>"23085062001"</f>
        <v>23085062001</v>
      </c>
      <c r="C7911" s="6">
        <v>115.5</v>
      </c>
      <c r="D7911" s="6">
        <v>114.5</v>
      </c>
      <c r="E7911" s="6">
        <v>230</v>
      </c>
      <c r="F7911" s="11"/>
    </row>
    <row r="7912" spans="1:6">
      <c r="A7912" s="5" t="str">
        <f t="shared" si="140"/>
        <v>202332</v>
      </c>
      <c r="B7912" s="5" t="str">
        <f>"23085062604"</f>
        <v>23085062604</v>
      </c>
      <c r="C7912" s="6">
        <v>120</v>
      </c>
      <c r="D7912" s="6">
        <v>110</v>
      </c>
      <c r="E7912" s="6">
        <v>230</v>
      </c>
      <c r="F7912" s="11"/>
    </row>
    <row r="7913" spans="1:6">
      <c r="A7913" s="5" t="str">
        <f t="shared" si="140"/>
        <v>202332</v>
      </c>
      <c r="B7913" s="5" t="str">
        <f>"23085063326"</f>
        <v>23085063326</v>
      </c>
      <c r="C7913" s="6">
        <v>112.5</v>
      </c>
      <c r="D7913" s="6">
        <v>117.5</v>
      </c>
      <c r="E7913" s="6">
        <v>230</v>
      </c>
      <c r="F7913" s="11"/>
    </row>
    <row r="7914" spans="1:6">
      <c r="A7914" s="5" t="str">
        <f t="shared" si="140"/>
        <v>202332</v>
      </c>
      <c r="B7914" s="5" t="str">
        <f>"23085061224"</f>
        <v>23085061224</v>
      </c>
      <c r="C7914" s="6">
        <v>112.5</v>
      </c>
      <c r="D7914" s="6">
        <v>117.5</v>
      </c>
      <c r="E7914" s="6">
        <v>230</v>
      </c>
      <c r="F7914" s="11"/>
    </row>
    <row r="7915" spans="1:6">
      <c r="A7915" s="5" t="str">
        <f t="shared" ref="A7915:A7978" si="141">"202332"</f>
        <v>202332</v>
      </c>
      <c r="B7915" s="5" t="str">
        <f>"23085063513"</f>
        <v>23085063513</v>
      </c>
      <c r="C7915" s="6">
        <v>114</v>
      </c>
      <c r="D7915" s="6">
        <v>116</v>
      </c>
      <c r="E7915" s="6">
        <v>230</v>
      </c>
      <c r="F7915" s="11"/>
    </row>
    <row r="7916" spans="1:6">
      <c r="A7916" s="5" t="str">
        <f t="shared" si="141"/>
        <v>202332</v>
      </c>
      <c r="B7916" s="5" t="str">
        <f>"23085061416"</f>
        <v>23085061416</v>
      </c>
      <c r="C7916" s="6">
        <v>115.5</v>
      </c>
      <c r="D7916" s="6">
        <v>114</v>
      </c>
      <c r="E7916" s="6">
        <v>229.5</v>
      </c>
      <c r="F7916" s="11"/>
    </row>
    <row r="7917" spans="1:6">
      <c r="A7917" s="5" t="str">
        <f t="shared" si="141"/>
        <v>202332</v>
      </c>
      <c r="B7917" s="5" t="str">
        <f>"23085062926"</f>
        <v>23085062926</v>
      </c>
      <c r="C7917" s="6">
        <v>114</v>
      </c>
      <c r="D7917" s="6">
        <v>115.5</v>
      </c>
      <c r="E7917" s="6">
        <v>229.5</v>
      </c>
      <c r="F7917" s="11"/>
    </row>
    <row r="7918" spans="1:6">
      <c r="A7918" s="5" t="str">
        <f t="shared" si="141"/>
        <v>202332</v>
      </c>
      <c r="B7918" s="5" t="str">
        <f>"23085063228"</f>
        <v>23085063228</v>
      </c>
      <c r="C7918" s="6">
        <v>114</v>
      </c>
      <c r="D7918" s="6">
        <v>115.5</v>
      </c>
      <c r="E7918" s="6">
        <v>229.5</v>
      </c>
      <c r="F7918" s="11"/>
    </row>
    <row r="7919" spans="1:6">
      <c r="A7919" s="5" t="str">
        <f t="shared" si="141"/>
        <v>202332</v>
      </c>
      <c r="B7919" s="5" t="str">
        <f>"23085062603"</f>
        <v>23085062603</v>
      </c>
      <c r="C7919" s="6">
        <v>115.5</v>
      </c>
      <c r="D7919" s="6">
        <v>114</v>
      </c>
      <c r="E7919" s="6">
        <v>229.5</v>
      </c>
      <c r="F7919" s="11"/>
    </row>
    <row r="7920" spans="1:6">
      <c r="A7920" s="5" t="str">
        <f t="shared" si="141"/>
        <v>202332</v>
      </c>
      <c r="B7920" s="5" t="str">
        <f>"23085062004"</f>
        <v>23085062004</v>
      </c>
      <c r="C7920" s="6">
        <v>111</v>
      </c>
      <c r="D7920" s="6">
        <v>118.5</v>
      </c>
      <c r="E7920" s="6">
        <v>229.5</v>
      </c>
      <c r="F7920" s="11"/>
    </row>
    <row r="7921" spans="1:6">
      <c r="A7921" s="5" t="str">
        <f t="shared" si="141"/>
        <v>202332</v>
      </c>
      <c r="B7921" s="5" t="str">
        <f>"23085061704"</f>
        <v>23085061704</v>
      </c>
      <c r="C7921" s="6">
        <v>112.5</v>
      </c>
      <c r="D7921" s="6">
        <v>117</v>
      </c>
      <c r="E7921" s="6">
        <v>229.5</v>
      </c>
      <c r="F7921" s="11"/>
    </row>
    <row r="7922" spans="1:6">
      <c r="A7922" s="5" t="str">
        <f t="shared" si="141"/>
        <v>202332</v>
      </c>
      <c r="B7922" s="5" t="str">
        <f>"23085061105"</f>
        <v>23085061105</v>
      </c>
      <c r="C7922" s="6">
        <v>118.5</v>
      </c>
      <c r="D7922" s="6">
        <v>110.5</v>
      </c>
      <c r="E7922" s="6">
        <v>229</v>
      </c>
      <c r="F7922" s="11"/>
    </row>
    <row r="7923" spans="1:6">
      <c r="A7923" s="5" t="str">
        <f t="shared" si="141"/>
        <v>202332</v>
      </c>
      <c r="B7923" s="5" t="str">
        <f>"23085061205"</f>
        <v>23085061205</v>
      </c>
      <c r="C7923" s="6">
        <v>120</v>
      </c>
      <c r="D7923" s="6">
        <v>109</v>
      </c>
      <c r="E7923" s="6">
        <v>229</v>
      </c>
      <c r="F7923" s="11"/>
    </row>
    <row r="7924" spans="1:6">
      <c r="A7924" s="5" t="str">
        <f t="shared" si="141"/>
        <v>202332</v>
      </c>
      <c r="B7924" s="5" t="str">
        <f>"23085063007"</f>
        <v>23085063007</v>
      </c>
      <c r="C7924" s="6">
        <v>117</v>
      </c>
      <c r="D7924" s="6">
        <v>112</v>
      </c>
      <c r="E7924" s="6">
        <v>229</v>
      </c>
      <c r="F7924" s="11"/>
    </row>
    <row r="7925" spans="1:6">
      <c r="A7925" s="5" t="str">
        <f t="shared" si="141"/>
        <v>202332</v>
      </c>
      <c r="B7925" s="5" t="str">
        <f>"23085061618"</f>
        <v>23085061618</v>
      </c>
      <c r="C7925" s="6">
        <v>108</v>
      </c>
      <c r="D7925" s="6">
        <v>121</v>
      </c>
      <c r="E7925" s="6">
        <v>229</v>
      </c>
      <c r="F7925" s="11"/>
    </row>
    <row r="7926" spans="1:6">
      <c r="A7926" s="5" t="str">
        <f t="shared" si="141"/>
        <v>202332</v>
      </c>
      <c r="B7926" s="5" t="str">
        <f>"23085062114"</f>
        <v>23085062114</v>
      </c>
      <c r="C7926" s="6">
        <v>114</v>
      </c>
      <c r="D7926" s="6">
        <v>115</v>
      </c>
      <c r="E7926" s="6">
        <v>229</v>
      </c>
      <c r="F7926" s="11"/>
    </row>
    <row r="7927" spans="1:6">
      <c r="A7927" s="5" t="str">
        <f t="shared" si="141"/>
        <v>202332</v>
      </c>
      <c r="B7927" s="5" t="str">
        <f>"23085061508"</f>
        <v>23085061508</v>
      </c>
      <c r="C7927" s="6">
        <v>115.5</v>
      </c>
      <c r="D7927" s="6">
        <v>113.5</v>
      </c>
      <c r="E7927" s="6">
        <v>229</v>
      </c>
      <c r="F7927" s="11"/>
    </row>
    <row r="7928" spans="1:6">
      <c r="A7928" s="5" t="str">
        <f t="shared" si="141"/>
        <v>202332</v>
      </c>
      <c r="B7928" s="5" t="str">
        <f>"23085062728"</f>
        <v>23085062728</v>
      </c>
      <c r="C7928" s="6">
        <v>114</v>
      </c>
      <c r="D7928" s="6">
        <v>115</v>
      </c>
      <c r="E7928" s="6">
        <v>229</v>
      </c>
      <c r="F7928" s="11"/>
    </row>
    <row r="7929" spans="1:6">
      <c r="A7929" s="5" t="str">
        <f t="shared" si="141"/>
        <v>202332</v>
      </c>
      <c r="B7929" s="5" t="str">
        <f>"23085063004"</f>
        <v>23085063004</v>
      </c>
      <c r="C7929" s="6">
        <v>117</v>
      </c>
      <c r="D7929" s="6">
        <v>112</v>
      </c>
      <c r="E7929" s="6">
        <v>229</v>
      </c>
      <c r="F7929" s="11"/>
    </row>
    <row r="7930" spans="1:6">
      <c r="A7930" s="5" t="str">
        <f t="shared" si="141"/>
        <v>202332</v>
      </c>
      <c r="B7930" s="5" t="str">
        <f>"23085062011"</f>
        <v>23085062011</v>
      </c>
      <c r="C7930" s="6">
        <v>115.5</v>
      </c>
      <c r="D7930" s="6">
        <v>113.5</v>
      </c>
      <c r="E7930" s="6">
        <v>229</v>
      </c>
      <c r="F7930" s="11"/>
    </row>
    <row r="7931" spans="1:6">
      <c r="A7931" s="5" t="str">
        <f t="shared" si="141"/>
        <v>202332</v>
      </c>
      <c r="B7931" s="5" t="str">
        <f>"23085063017"</f>
        <v>23085063017</v>
      </c>
      <c r="C7931" s="6">
        <v>111</v>
      </c>
      <c r="D7931" s="6">
        <v>117.5</v>
      </c>
      <c r="E7931" s="6">
        <v>228.5</v>
      </c>
      <c r="F7931" s="11"/>
    </row>
    <row r="7932" spans="1:6">
      <c r="A7932" s="5" t="str">
        <f t="shared" si="141"/>
        <v>202332</v>
      </c>
      <c r="B7932" s="5" t="str">
        <f>"23085061206"</f>
        <v>23085061206</v>
      </c>
      <c r="C7932" s="6">
        <v>109.5</v>
      </c>
      <c r="D7932" s="6">
        <v>119</v>
      </c>
      <c r="E7932" s="6">
        <v>228.5</v>
      </c>
      <c r="F7932" s="11"/>
    </row>
    <row r="7933" spans="1:6">
      <c r="A7933" s="5" t="str">
        <f t="shared" si="141"/>
        <v>202332</v>
      </c>
      <c r="B7933" s="5" t="str">
        <f>"23085061816"</f>
        <v>23085061816</v>
      </c>
      <c r="C7933" s="6">
        <v>105</v>
      </c>
      <c r="D7933" s="6">
        <v>123.5</v>
      </c>
      <c r="E7933" s="6">
        <v>228.5</v>
      </c>
      <c r="F7933" s="11"/>
    </row>
    <row r="7934" spans="1:6">
      <c r="A7934" s="5" t="str">
        <f t="shared" si="141"/>
        <v>202332</v>
      </c>
      <c r="B7934" s="5" t="str">
        <f>"23085061822"</f>
        <v>23085061822</v>
      </c>
      <c r="C7934" s="6">
        <v>112.5</v>
      </c>
      <c r="D7934" s="6">
        <v>116</v>
      </c>
      <c r="E7934" s="6">
        <v>228.5</v>
      </c>
      <c r="F7934" s="11"/>
    </row>
    <row r="7935" spans="1:6">
      <c r="A7935" s="5" t="str">
        <f t="shared" si="141"/>
        <v>202332</v>
      </c>
      <c r="B7935" s="5" t="str">
        <f>"23085062518"</f>
        <v>23085062518</v>
      </c>
      <c r="C7935" s="6">
        <v>112.5</v>
      </c>
      <c r="D7935" s="6">
        <v>115.5</v>
      </c>
      <c r="E7935" s="6">
        <v>228</v>
      </c>
      <c r="F7935" s="11"/>
    </row>
    <row r="7936" spans="1:6">
      <c r="A7936" s="5" t="str">
        <f t="shared" si="141"/>
        <v>202332</v>
      </c>
      <c r="B7936" s="5" t="str">
        <f>"23085062903"</f>
        <v>23085062903</v>
      </c>
      <c r="C7936" s="6">
        <v>111</v>
      </c>
      <c r="D7936" s="6">
        <v>117</v>
      </c>
      <c r="E7936" s="6">
        <v>228</v>
      </c>
      <c r="F7936" s="11"/>
    </row>
    <row r="7937" spans="1:6">
      <c r="A7937" s="5" t="str">
        <f t="shared" si="141"/>
        <v>202332</v>
      </c>
      <c r="B7937" s="5" t="str">
        <f>"23085062611"</f>
        <v>23085062611</v>
      </c>
      <c r="C7937" s="6">
        <v>114</v>
      </c>
      <c r="D7937" s="6">
        <v>114</v>
      </c>
      <c r="E7937" s="6">
        <v>228</v>
      </c>
      <c r="F7937" s="11"/>
    </row>
    <row r="7938" spans="1:6">
      <c r="A7938" s="5" t="str">
        <f t="shared" si="141"/>
        <v>202332</v>
      </c>
      <c r="B7938" s="5" t="str">
        <f>"23085063516"</f>
        <v>23085063516</v>
      </c>
      <c r="C7938" s="6">
        <v>117</v>
      </c>
      <c r="D7938" s="6">
        <v>111</v>
      </c>
      <c r="E7938" s="6">
        <v>228</v>
      </c>
      <c r="F7938" s="11"/>
    </row>
    <row r="7939" spans="1:6">
      <c r="A7939" s="5" t="str">
        <f t="shared" si="141"/>
        <v>202332</v>
      </c>
      <c r="B7939" s="5" t="str">
        <f>"23085061801"</f>
        <v>23085061801</v>
      </c>
      <c r="C7939" s="6">
        <v>118.5</v>
      </c>
      <c r="D7939" s="6">
        <v>109.5</v>
      </c>
      <c r="E7939" s="6">
        <v>228</v>
      </c>
      <c r="F7939" s="11"/>
    </row>
    <row r="7940" spans="1:6">
      <c r="A7940" s="5" t="str">
        <f t="shared" si="141"/>
        <v>202332</v>
      </c>
      <c r="B7940" s="5" t="str">
        <f>"23085063321"</f>
        <v>23085063321</v>
      </c>
      <c r="C7940" s="6">
        <v>111</v>
      </c>
      <c r="D7940" s="6">
        <v>117</v>
      </c>
      <c r="E7940" s="6">
        <v>228</v>
      </c>
      <c r="F7940" s="11"/>
    </row>
    <row r="7941" spans="1:6">
      <c r="A7941" s="5" t="str">
        <f t="shared" si="141"/>
        <v>202332</v>
      </c>
      <c r="B7941" s="5" t="str">
        <f>"23085062708"</f>
        <v>23085062708</v>
      </c>
      <c r="C7941" s="6">
        <v>112.5</v>
      </c>
      <c r="D7941" s="6">
        <v>115.5</v>
      </c>
      <c r="E7941" s="6">
        <v>228</v>
      </c>
      <c r="F7941" s="11"/>
    </row>
    <row r="7942" spans="1:6">
      <c r="A7942" s="5" t="str">
        <f t="shared" si="141"/>
        <v>202332</v>
      </c>
      <c r="B7942" s="5" t="str">
        <f>"23085062713"</f>
        <v>23085062713</v>
      </c>
      <c r="C7942" s="6">
        <v>114</v>
      </c>
      <c r="D7942" s="6">
        <v>114</v>
      </c>
      <c r="E7942" s="6">
        <v>228</v>
      </c>
      <c r="F7942" s="11"/>
    </row>
    <row r="7943" spans="1:6">
      <c r="A7943" s="5" t="str">
        <f t="shared" si="141"/>
        <v>202332</v>
      </c>
      <c r="B7943" s="5" t="str">
        <f>"23085062426"</f>
        <v>23085062426</v>
      </c>
      <c r="C7943" s="6">
        <v>109.5</v>
      </c>
      <c r="D7943" s="6">
        <v>118</v>
      </c>
      <c r="E7943" s="6">
        <v>227.5</v>
      </c>
      <c r="F7943" s="11"/>
    </row>
    <row r="7944" spans="1:6">
      <c r="A7944" s="5" t="str">
        <f t="shared" si="141"/>
        <v>202332</v>
      </c>
      <c r="B7944" s="5" t="str">
        <f>"23085062508"</f>
        <v>23085062508</v>
      </c>
      <c r="C7944" s="6">
        <v>121.5</v>
      </c>
      <c r="D7944" s="6">
        <v>106</v>
      </c>
      <c r="E7944" s="6">
        <v>227.5</v>
      </c>
      <c r="F7944" s="11"/>
    </row>
    <row r="7945" spans="1:6">
      <c r="A7945" s="5" t="str">
        <f t="shared" si="141"/>
        <v>202332</v>
      </c>
      <c r="B7945" s="5" t="str">
        <f>"23085062815"</f>
        <v>23085062815</v>
      </c>
      <c r="C7945" s="6">
        <v>117</v>
      </c>
      <c r="D7945" s="6">
        <v>110.5</v>
      </c>
      <c r="E7945" s="6">
        <v>227.5</v>
      </c>
      <c r="F7945" s="11"/>
    </row>
    <row r="7946" spans="1:6">
      <c r="A7946" s="5" t="str">
        <f t="shared" si="141"/>
        <v>202332</v>
      </c>
      <c r="B7946" s="5" t="str">
        <f>"23085062705"</f>
        <v>23085062705</v>
      </c>
      <c r="C7946" s="6">
        <v>114</v>
      </c>
      <c r="D7946" s="6">
        <v>113.5</v>
      </c>
      <c r="E7946" s="6">
        <v>227.5</v>
      </c>
      <c r="F7946" s="11"/>
    </row>
    <row r="7947" spans="1:6">
      <c r="A7947" s="5" t="str">
        <f t="shared" si="141"/>
        <v>202332</v>
      </c>
      <c r="B7947" s="5" t="str">
        <f>"23085062127"</f>
        <v>23085062127</v>
      </c>
      <c r="C7947" s="6">
        <v>112.5</v>
      </c>
      <c r="D7947" s="6">
        <v>114.5</v>
      </c>
      <c r="E7947" s="6">
        <v>227</v>
      </c>
      <c r="F7947" s="11"/>
    </row>
    <row r="7948" spans="1:6">
      <c r="A7948" s="5" t="str">
        <f t="shared" si="141"/>
        <v>202332</v>
      </c>
      <c r="B7948" s="5" t="str">
        <f>"23085062927"</f>
        <v>23085062927</v>
      </c>
      <c r="C7948" s="6">
        <v>124.5</v>
      </c>
      <c r="D7948" s="6">
        <v>102.5</v>
      </c>
      <c r="E7948" s="6">
        <v>227</v>
      </c>
      <c r="F7948" s="11"/>
    </row>
    <row r="7949" spans="1:6">
      <c r="A7949" s="5" t="str">
        <f t="shared" si="141"/>
        <v>202332</v>
      </c>
      <c r="B7949" s="5" t="str">
        <f>"23085062126"</f>
        <v>23085062126</v>
      </c>
      <c r="C7949" s="6">
        <v>112.5</v>
      </c>
      <c r="D7949" s="6">
        <v>114</v>
      </c>
      <c r="E7949" s="6">
        <v>226.5</v>
      </c>
      <c r="F7949" s="11"/>
    </row>
    <row r="7950" spans="1:6">
      <c r="A7950" s="5" t="str">
        <f t="shared" si="141"/>
        <v>202332</v>
      </c>
      <c r="B7950" s="5" t="str">
        <f>"23085063208"</f>
        <v>23085063208</v>
      </c>
      <c r="C7950" s="6">
        <v>111</v>
      </c>
      <c r="D7950" s="6">
        <v>115.5</v>
      </c>
      <c r="E7950" s="6">
        <v>226.5</v>
      </c>
      <c r="F7950" s="11"/>
    </row>
    <row r="7951" spans="1:6">
      <c r="A7951" s="5" t="str">
        <f t="shared" si="141"/>
        <v>202332</v>
      </c>
      <c r="B7951" s="5" t="str">
        <f>"23085062806"</f>
        <v>23085062806</v>
      </c>
      <c r="C7951" s="6">
        <v>108</v>
      </c>
      <c r="D7951" s="6">
        <v>118.5</v>
      </c>
      <c r="E7951" s="6">
        <v>226.5</v>
      </c>
      <c r="F7951" s="11"/>
    </row>
    <row r="7952" spans="1:6">
      <c r="A7952" s="5" t="str">
        <f t="shared" si="141"/>
        <v>202332</v>
      </c>
      <c r="B7952" s="5" t="str">
        <f>"23085061419"</f>
        <v>23085061419</v>
      </c>
      <c r="C7952" s="6">
        <v>117</v>
      </c>
      <c r="D7952" s="6">
        <v>109.5</v>
      </c>
      <c r="E7952" s="6">
        <v>226.5</v>
      </c>
      <c r="F7952" s="11"/>
    </row>
    <row r="7953" spans="1:6">
      <c r="A7953" s="5" t="str">
        <f t="shared" si="141"/>
        <v>202332</v>
      </c>
      <c r="B7953" s="5" t="str">
        <f>"23085062702"</f>
        <v>23085062702</v>
      </c>
      <c r="C7953" s="6">
        <v>112.5</v>
      </c>
      <c r="D7953" s="6">
        <v>114</v>
      </c>
      <c r="E7953" s="6">
        <v>226.5</v>
      </c>
      <c r="F7953" s="11"/>
    </row>
    <row r="7954" spans="1:6">
      <c r="A7954" s="5" t="str">
        <f t="shared" si="141"/>
        <v>202332</v>
      </c>
      <c r="B7954" s="5" t="str">
        <f>"23085063420"</f>
        <v>23085063420</v>
      </c>
      <c r="C7954" s="6">
        <v>114</v>
      </c>
      <c r="D7954" s="6">
        <v>112.5</v>
      </c>
      <c r="E7954" s="6">
        <v>226.5</v>
      </c>
      <c r="F7954" s="11"/>
    </row>
    <row r="7955" spans="1:6">
      <c r="A7955" s="5" t="str">
        <f t="shared" si="141"/>
        <v>202332</v>
      </c>
      <c r="B7955" s="5" t="str">
        <f>"23085062112"</f>
        <v>23085062112</v>
      </c>
      <c r="C7955" s="6">
        <v>112.5</v>
      </c>
      <c r="D7955" s="6">
        <v>114</v>
      </c>
      <c r="E7955" s="6">
        <v>226.5</v>
      </c>
      <c r="F7955" s="11"/>
    </row>
    <row r="7956" spans="1:6">
      <c r="A7956" s="5" t="str">
        <f t="shared" si="141"/>
        <v>202332</v>
      </c>
      <c r="B7956" s="5" t="str">
        <f>"23085062412"</f>
        <v>23085062412</v>
      </c>
      <c r="C7956" s="6">
        <v>109.5</v>
      </c>
      <c r="D7956" s="6">
        <v>117</v>
      </c>
      <c r="E7956" s="6">
        <v>226.5</v>
      </c>
      <c r="F7956" s="11"/>
    </row>
    <row r="7957" spans="1:6">
      <c r="A7957" s="5" t="str">
        <f t="shared" si="141"/>
        <v>202332</v>
      </c>
      <c r="B7957" s="5" t="str">
        <f>"23085063306"</f>
        <v>23085063306</v>
      </c>
      <c r="C7957" s="6">
        <v>108</v>
      </c>
      <c r="D7957" s="6">
        <v>118</v>
      </c>
      <c r="E7957" s="6">
        <v>226</v>
      </c>
      <c r="F7957" s="11"/>
    </row>
    <row r="7958" spans="1:6">
      <c r="A7958" s="5" t="str">
        <f t="shared" si="141"/>
        <v>202332</v>
      </c>
      <c r="B7958" s="5" t="str">
        <f>"23085063019"</f>
        <v>23085063019</v>
      </c>
      <c r="C7958" s="6">
        <v>117</v>
      </c>
      <c r="D7958" s="6">
        <v>109</v>
      </c>
      <c r="E7958" s="6">
        <v>226</v>
      </c>
      <c r="F7958" s="11"/>
    </row>
    <row r="7959" spans="1:6">
      <c r="A7959" s="5" t="str">
        <f t="shared" si="141"/>
        <v>202332</v>
      </c>
      <c r="B7959" s="5" t="str">
        <f>"23085062306"</f>
        <v>23085062306</v>
      </c>
      <c r="C7959" s="6">
        <v>123</v>
      </c>
      <c r="D7959" s="6">
        <v>103</v>
      </c>
      <c r="E7959" s="6">
        <v>226</v>
      </c>
      <c r="F7959" s="11"/>
    </row>
    <row r="7960" spans="1:6">
      <c r="A7960" s="5" t="str">
        <f t="shared" si="141"/>
        <v>202332</v>
      </c>
      <c r="B7960" s="5" t="str">
        <f>"23085061002"</f>
        <v>23085061002</v>
      </c>
      <c r="C7960" s="6">
        <v>111</v>
      </c>
      <c r="D7960" s="6">
        <v>115</v>
      </c>
      <c r="E7960" s="6">
        <v>226</v>
      </c>
      <c r="F7960" s="11"/>
    </row>
    <row r="7961" spans="1:6">
      <c r="A7961" s="5" t="str">
        <f t="shared" si="141"/>
        <v>202332</v>
      </c>
      <c r="B7961" s="5" t="str">
        <f>"23085061601"</f>
        <v>23085061601</v>
      </c>
      <c r="C7961" s="6">
        <v>109.5</v>
      </c>
      <c r="D7961" s="6">
        <v>116</v>
      </c>
      <c r="E7961" s="6">
        <v>225.5</v>
      </c>
      <c r="F7961" s="11"/>
    </row>
    <row r="7962" spans="1:6">
      <c r="A7962" s="5" t="str">
        <f t="shared" si="141"/>
        <v>202332</v>
      </c>
      <c r="B7962" s="5" t="str">
        <f>"23085063203"</f>
        <v>23085063203</v>
      </c>
      <c r="C7962" s="6">
        <v>115.5</v>
      </c>
      <c r="D7962" s="6">
        <v>110</v>
      </c>
      <c r="E7962" s="6">
        <v>225.5</v>
      </c>
      <c r="F7962" s="11"/>
    </row>
    <row r="7963" spans="1:6">
      <c r="A7963" s="5" t="str">
        <f t="shared" si="141"/>
        <v>202332</v>
      </c>
      <c r="B7963" s="5" t="str">
        <f>"23085062819"</f>
        <v>23085062819</v>
      </c>
      <c r="C7963" s="6">
        <v>112.5</v>
      </c>
      <c r="D7963" s="6">
        <v>113</v>
      </c>
      <c r="E7963" s="6">
        <v>225.5</v>
      </c>
      <c r="F7963" s="11"/>
    </row>
    <row r="7964" spans="1:6">
      <c r="A7964" s="5" t="str">
        <f t="shared" si="141"/>
        <v>202332</v>
      </c>
      <c r="B7964" s="5" t="str">
        <f>"23085061013"</f>
        <v>23085061013</v>
      </c>
      <c r="C7964" s="6">
        <v>115.5</v>
      </c>
      <c r="D7964" s="6">
        <v>110</v>
      </c>
      <c r="E7964" s="6">
        <v>225.5</v>
      </c>
      <c r="F7964" s="11"/>
    </row>
    <row r="7965" spans="1:6">
      <c r="A7965" s="5" t="str">
        <f t="shared" si="141"/>
        <v>202332</v>
      </c>
      <c r="B7965" s="5" t="str">
        <f>"23085062421"</f>
        <v>23085062421</v>
      </c>
      <c r="C7965" s="6">
        <v>115.5</v>
      </c>
      <c r="D7965" s="6">
        <v>110</v>
      </c>
      <c r="E7965" s="6">
        <v>225.5</v>
      </c>
      <c r="F7965" s="11"/>
    </row>
    <row r="7966" spans="1:6">
      <c r="A7966" s="5" t="str">
        <f t="shared" si="141"/>
        <v>202332</v>
      </c>
      <c r="B7966" s="5" t="str">
        <f>"23085062917"</f>
        <v>23085062917</v>
      </c>
      <c r="C7966" s="6">
        <v>111</v>
      </c>
      <c r="D7966" s="6">
        <v>114.5</v>
      </c>
      <c r="E7966" s="6">
        <v>225.5</v>
      </c>
      <c r="F7966" s="11"/>
    </row>
    <row r="7967" spans="1:6">
      <c r="A7967" s="5" t="str">
        <f t="shared" si="141"/>
        <v>202332</v>
      </c>
      <c r="B7967" s="5" t="str">
        <f>"23085062430"</f>
        <v>23085062430</v>
      </c>
      <c r="C7967" s="6">
        <v>114</v>
      </c>
      <c r="D7967" s="6">
        <v>111.5</v>
      </c>
      <c r="E7967" s="6">
        <v>225.5</v>
      </c>
      <c r="F7967" s="11"/>
    </row>
    <row r="7968" spans="1:6">
      <c r="A7968" s="5" t="str">
        <f t="shared" si="141"/>
        <v>202332</v>
      </c>
      <c r="B7968" s="5" t="str">
        <f>"23085062825"</f>
        <v>23085062825</v>
      </c>
      <c r="C7968" s="6">
        <v>111</v>
      </c>
      <c r="D7968" s="6">
        <v>114</v>
      </c>
      <c r="E7968" s="6">
        <v>225</v>
      </c>
      <c r="F7968" s="11"/>
    </row>
    <row r="7969" spans="1:6">
      <c r="A7969" s="5" t="str">
        <f t="shared" si="141"/>
        <v>202332</v>
      </c>
      <c r="B7969" s="5" t="str">
        <f>"23085061712"</f>
        <v>23085061712</v>
      </c>
      <c r="C7969" s="6">
        <v>111</v>
      </c>
      <c r="D7969" s="6">
        <v>114</v>
      </c>
      <c r="E7969" s="6">
        <v>225</v>
      </c>
      <c r="F7969" s="11"/>
    </row>
    <row r="7970" spans="1:6">
      <c r="A7970" s="5" t="str">
        <f t="shared" si="141"/>
        <v>202332</v>
      </c>
      <c r="B7970" s="5" t="str">
        <f>"23085062610"</f>
        <v>23085062610</v>
      </c>
      <c r="C7970" s="6">
        <v>109.5</v>
      </c>
      <c r="D7970" s="6">
        <v>115.5</v>
      </c>
      <c r="E7970" s="6">
        <v>225</v>
      </c>
      <c r="F7970" s="11"/>
    </row>
    <row r="7971" spans="1:6">
      <c r="A7971" s="5" t="str">
        <f t="shared" si="141"/>
        <v>202332</v>
      </c>
      <c r="B7971" s="5" t="str">
        <f>"23085062409"</f>
        <v>23085062409</v>
      </c>
      <c r="C7971" s="6">
        <v>108</v>
      </c>
      <c r="D7971" s="6">
        <v>117</v>
      </c>
      <c r="E7971" s="6">
        <v>225</v>
      </c>
      <c r="F7971" s="11"/>
    </row>
    <row r="7972" spans="1:6">
      <c r="A7972" s="5" t="str">
        <f t="shared" si="141"/>
        <v>202332</v>
      </c>
      <c r="B7972" s="5" t="str">
        <f>"23085062301"</f>
        <v>23085062301</v>
      </c>
      <c r="C7972" s="6">
        <v>106.5</v>
      </c>
      <c r="D7972" s="6">
        <v>118.5</v>
      </c>
      <c r="E7972" s="6">
        <v>225</v>
      </c>
      <c r="F7972" s="11"/>
    </row>
    <row r="7973" spans="1:6">
      <c r="A7973" s="5" t="str">
        <f t="shared" si="141"/>
        <v>202332</v>
      </c>
      <c r="B7973" s="5" t="str">
        <f>"23085062314"</f>
        <v>23085062314</v>
      </c>
      <c r="C7973" s="6">
        <v>109.5</v>
      </c>
      <c r="D7973" s="6">
        <v>115.5</v>
      </c>
      <c r="E7973" s="6">
        <v>225</v>
      </c>
      <c r="F7973" s="11"/>
    </row>
    <row r="7974" spans="1:6">
      <c r="A7974" s="5" t="str">
        <f t="shared" si="141"/>
        <v>202332</v>
      </c>
      <c r="B7974" s="5" t="str">
        <f>"23085063028"</f>
        <v>23085063028</v>
      </c>
      <c r="C7974" s="6">
        <v>106.5</v>
      </c>
      <c r="D7974" s="6">
        <v>118.5</v>
      </c>
      <c r="E7974" s="6">
        <v>225</v>
      </c>
      <c r="F7974" s="11"/>
    </row>
    <row r="7975" spans="1:6">
      <c r="A7975" s="5" t="str">
        <f t="shared" si="141"/>
        <v>202332</v>
      </c>
      <c r="B7975" s="5" t="str">
        <f>"23085061119"</f>
        <v>23085061119</v>
      </c>
      <c r="C7975" s="6">
        <v>109.5</v>
      </c>
      <c r="D7975" s="6">
        <v>115.5</v>
      </c>
      <c r="E7975" s="6">
        <v>225</v>
      </c>
      <c r="F7975" s="11"/>
    </row>
    <row r="7976" spans="1:6">
      <c r="A7976" s="5" t="str">
        <f t="shared" si="141"/>
        <v>202332</v>
      </c>
      <c r="B7976" s="5" t="str">
        <f>"23085061517"</f>
        <v>23085061517</v>
      </c>
      <c r="C7976" s="6">
        <v>106.5</v>
      </c>
      <c r="D7976" s="6">
        <v>118.5</v>
      </c>
      <c r="E7976" s="6">
        <v>225</v>
      </c>
      <c r="F7976" s="11"/>
    </row>
    <row r="7977" spans="1:6">
      <c r="A7977" s="5" t="str">
        <f t="shared" si="141"/>
        <v>202332</v>
      </c>
      <c r="B7977" s="5" t="str">
        <f>"23085062710"</f>
        <v>23085062710</v>
      </c>
      <c r="C7977" s="6">
        <v>106.5</v>
      </c>
      <c r="D7977" s="6">
        <v>118</v>
      </c>
      <c r="E7977" s="6">
        <v>224.5</v>
      </c>
      <c r="F7977" s="11"/>
    </row>
    <row r="7978" spans="1:6">
      <c r="A7978" s="5" t="str">
        <f t="shared" si="141"/>
        <v>202332</v>
      </c>
      <c r="B7978" s="5" t="str">
        <f>"23085061819"</f>
        <v>23085061819</v>
      </c>
      <c r="C7978" s="6">
        <v>112.5</v>
      </c>
      <c r="D7978" s="6">
        <v>112</v>
      </c>
      <c r="E7978" s="6">
        <v>224.5</v>
      </c>
      <c r="F7978" s="11"/>
    </row>
    <row r="7979" spans="1:6">
      <c r="A7979" s="5" t="str">
        <f t="shared" ref="A7979:A8042" si="142">"202332"</f>
        <v>202332</v>
      </c>
      <c r="B7979" s="5" t="str">
        <f>"23085062222"</f>
        <v>23085062222</v>
      </c>
      <c r="C7979" s="6">
        <v>106.5</v>
      </c>
      <c r="D7979" s="6">
        <v>118</v>
      </c>
      <c r="E7979" s="6">
        <v>224.5</v>
      </c>
      <c r="F7979" s="11"/>
    </row>
    <row r="7980" spans="1:6">
      <c r="A7980" s="5" t="str">
        <f t="shared" si="142"/>
        <v>202332</v>
      </c>
      <c r="B7980" s="5" t="str">
        <f>"23085061512"</f>
        <v>23085061512</v>
      </c>
      <c r="C7980" s="6">
        <v>111</v>
      </c>
      <c r="D7980" s="6">
        <v>113.5</v>
      </c>
      <c r="E7980" s="6">
        <v>224.5</v>
      </c>
      <c r="F7980" s="11"/>
    </row>
    <row r="7981" spans="1:6">
      <c r="A7981" s="5" t="str">
        <f t="shared" si="142"/>
        <v>202332</v>
      </c>
      <c r="B7981" s="5" t="str">
        <f>"23085061916"</f>
        <v>23085061916</v>
      </c>
      <c r="C7981" s="6">
        <v>112.5</v>
      </c>
      <c r="D7981" s="6">
        <v>112</v>
      </c>
      <c r="E7981" s="6">
        <v>224.5</v>
      </c>
      <c r="F7981" s="11"/>
    </row>
    <row r="7982" spans="1:6">
      <c r="A7982" s="5" t="str">
        <f t="shared" si="142"/>
        <v>202332</v>
      </c>
      <c r="B7982" s="5" t="str">
        <f>"23085062511"</f>
        <v>23085062511</v>
      </c>
      <c r="C7982" s="6">
        <v>111</v>
      </c>
      <c r="D7982" s="6">
        <v>113.5</v>
      </c>
      <c r="E7982" s="6">
        <v>224.5</v>
      </c>
      <c r="F7982" s="11"/>
    </row>
    <row r="7983" spans="1:6">
      <c r="A7983" s="5" t="str">
        <f t="shared" si="142"/>
        <v>202332</v>
      </c>
      <c r="B7983" s="5" t="str">
        <f>"23085062729"</f>
        <v>23085062729</v>
      </c>
      <c r="C7983" s="6">
        <v>105</v>
      </c>
      <c r="D7983" s="6">
        <v>119</v>
      </c>
      <c r="E7983" s="6">
        <v>224</v>
      </c>
      <c r="F7983" s="11"/>
    </row>
    <row r="7984" spans="1:6">
      <c r="A7984" s="5" t="str">
        <f t="shared" si="142"/>
        <v>202332</v>
      </c>
      <c r="B7984" s="5" t="str">
        <f>"23085061812"</f>
        <v>23085061812</v>
      </c>
      <c r="C7984" s="6">
        <v>105</v>
      </c>
      <c r="D7984" s="6">
        <v>119</v>
      </c>
      <c r="E7984" s="6">
        <v>224</v>
      </c>
      <c r="F7984" s="11"/>
    </row>
    <row r="7985" spans="1:6">
      <c r="A7985" s="5" t="str">
        <f t="shared" si="142"/>
        <v>202332</v>
      </c>
      <c r="B7985" s="5" t="str">
        <f>"23085063221"</f>
        <v>23085063221</v>
      </c>
      <c r="C7985" s="6">
        <v>111</v>
      </c>
      <c r="D7985" s="6">
        <v>113</v>
      </c>
      <c r="E7985" s="6">
        <v>224</v>
      </c>
      <c r="F7985" s="11"/>
    </row>
    <row r="7986" spans="1:6">
      <c r="A7986" s="5" t="str">
        <f t="shared" si="142"/>
        <v>202332</v>
      </c>
      <c r="B7986" s="5" t="str">
        <f>"23085062318"</f>
        <v>23085062318</v>
      </c>
      <c r="C7986" s="6">
        <v>103.5</v>
      </c>
      <c r="D7986" s="6">
        <v>120.5</v>
      </c>
      <c r="E7986" s="6">
        <v>224</v>
      </c>
      <c r="F7986" s="11"/>
    </row>
    <row r="7987" spans="1:6">
      <c r="A7987" s="5" t="str">
        <f t="shared" si="142"/>
        <v>202332</v>
      </c>
      <c r="B7987" s="5" t="str">
        <f>"23085061730"</f>
        <v>23085061730</v>
      </c>
      <c r="C7987" s="6">
        <v>109.5</v>
      </c>
      <c r="D7987" s="6">
        <v>114.5</v>
      </c>
      <c r="E7987" s="6">
        <v>224</v>
      </c>
      <c r="F7987" s="11"/>
    </row>
    <row r="7988" spans="1:6">
      <c r="A7988" s="5" t="str">
        <f t="shared" si="142"/>
        <v>202332</v>
      </c>
      <c r="B7988" s="5" t="str">
        <f>"23085062524"</f>
        <v>23085062524</v>
      </c>
      <c r="C7988" s="6">
        <v>108</v>
      </c>
      <c r="D7988" s="6">
        <v>116</v>
      </c>
      <c r="E7988" s="6">
        <v>224</v>
      </c>
      <c r="F7988" s="11"/>
    </row>
    <row r="7989" spans="1:6">
      <c r="A7989" s="5" t="str">
        <f t="shared" si="142"/>
        <v>202332</v>
      </c>
      <c r="B7989" s="5" t="str">
        <f>"23085062625"</f>
        <v>23085062625</v>
      </c>
      <c r="C7989" s="6">
        <v>106.5</v>
      </c>
      <c r="D7989" s="6">
        <v>117.5</v>
      </c>
      <c r="E7989" s="6">
        <v>224</v>
      </c>
      <c r="F7989" s="11"/>
    </row>
    <row r="7990" spans="1:6">
      <c r="A7990" s="5" t="str">
        <f t="shared" si="142"/>
        <v>202332</v>
      </c>
      <c r="B7990" s="5" t="str">
        <f>"23085063018"</f>
        <v>23085063018</v>
      </c>
      <c r="C7990" s="6">
        <v>108</v>
      </c>
      <c r="D7990" s="6">
        <v>116</v>
      </c>
      <c r="E7990" s="6">
        <v>224</v>
      </c>
      <c r="F7990" s="11"/>
    </row>
    <row r="7991" spans="1:6">
      <c r="A7991" s="5" t="str">
        <f t="shared" si="142"/>
        <v>202332</v>
      </c>
      <c r="B7991" s="5" t="str">
        <f>"23085061821"</f>
        <v>23085061821</v>
      </c>
      <c r="C7991" s="6">
        <v>111</v>
      </c>
      <c r="D7991" s="6">
        <v>113</v>
      </c>
      <c r="E7991" s="6">
        <v>224</v>
      </c>
      <c r="F7991" s="11"/>
    </row>
    <row r="7992" spans="1:6">
      <c r="A7992" s="5" t="str">
        <f t="shared" si="142"/>
        <v>202332</v>
      </c>
      <c r="B7992" s="5" t="str">
        <f>"23085062606"</f>
        <v>23085062606</v>
      </c>
      <c r="C7992" s="6">
        <v>109.5</v>
      </c>
      <c r="D7992" s="6">
        <v>114</v>
      </c>
      <c r="E7992" s="6">
        <v>223.5</v>
      </c>
      <c r="F7992" s="11"/>
    </row>
    <row r="7993" spans="1:6">
      <c r="A7993" s="5" t="str">
        <f t="shared" si="142"/>
        <v>202332</v>
      </c>
      <c r="B7993" s="5" t="str">
        <f>"23085063003"</f>
        <v>23085063003</v>
      </c>
      <c r="C7993" s="6">
        <v>106.5</v>
      </c>
      <c r="D7993" s="6">
        <v>117</v>
      </c>
      <c r="E7993" s="6">
        <v>223.5</v>
      </c>
      <c r="F7993" s="11"/>
    </row>
    <row r="7994" spans="1:6">
      <c r="A7994" s="5" t="str">
        <f t="shared" si="142"/>
        <v>202332</v>
      </c>
      <c r="B7994" s="5" t="str">
        <f>"23085062909"</f>
        <v>23085062909</v>
      </c>
      <c r="C7994" s="6">
        <v>111</v>
      </c>
      <c r="D7994" s="6">
        <v>112.5</v>
      </c>
      <c r="E7994" s="6">
        <v>223.5</v>
      </c>
      <c r="F7994" s="11"/>
    </row>
    <row r="7995" spans="1:6">
      <c r="A7995" s="5" t="str">
        <f t="shared" si="142"/>
        <v>202332</v>
      </c>
      <c r="B7995" s="5" t="str">
        <f>"23085063304"</f>
        <v>23085063304</v>
      </c>
      <c r="C7995" s="6">
        <v>112.5</v>
      </c>
      <c r="D7995" s="6">
        <v>111</v>
      </c>
      <c r="E7995" s="6">
        <v>223.5</v>
      </c>
      <c r="F7995" s="11"/>
    </row>
    <row r="7996" spans="1:6">
      <c r="A7996" s="5" t="str">
        <f t="shared" si="142"/>
        <v>202332</v>
      </c>
      <c r="B7996" s="5" t="str">
        <f>"23085062716"</f>
        <v>23085062716</v>
      </c>
      <c r="C7996" s="6">
        <v>117</v>
      </c>
      <c r="D7996" s="6">
        <v>106.5</v>
      </c>
      <c r="E7996" s="6">
        <v>223.5</v>
      </c>
      <c r="F7996" s="11"/>
    </row>
    <row r="7997" spans="1:6">
      <c r="A7997" s="5" t="str">
        <f t="shared" si="142"/>
        <v>202332</v>
      </c>
      <c r="B7997" s="5" t="str">
        <f>"23085062905"</f>
        <v>23085062905</v>
      </c>
      <c r="C7997" s="6">
        <v>109.5</v>
      </c>
      <c r="D7997" s="6">
        <v>114</v>
      </c>
      <c r="E7997" s="6">
        <v>223.5</v>
      </c>
      <c r="F7997" s="11"/>
    </row>
    <row r="7998" spans="1:6">
      <c r="A7998" s="5" t="str">
        <f t="shared" si="142"/>
        <v>202332</v>
      </c>
      <c r="B7998" s="5" t="str">
        <f>"23085061806"</f>
        <v>23085061806</v>
      </c>
      <c r="C7998" s="6">
        <v>105</v>
      </c>
      <c r="D7998" s="6">
        <v>118.5</v>
      </c>
      <c r="E7998" s="6">
        <v>223.5</v>
      </c>
      <c r="F7998" s="11"/>
    </row>
    <row r="7999" spans="1:6">
      <c r="A7999" s="5" t="str">
        <f t="shared" si="142"/>
        <v>202332</v>
      </c>
      <c r="B7999" s="5" t="str">
        <f>"23085061109"</f>
        <v>23085061109</v>
      </c>
      <c r="C7999" s="6">
        <v>105</v>
      </c>
      <c r="D7999" s="6">
        <v>118.5</v>
      </c>
      <c r="E7999" s="6">
        <v>223.5</v>
      </c>
      <c r="F7999" s="11"/>
    </row>
    <row r="8000" spans="1:6">
      <c r="A8000" s="5" t="str">
        <f t="shared" si="142"/>
        <v>202332</v>
      </c>
      <c r="B8000" s="5" t="str">
        <f>"23085063113"</f>
        <v>23085063113</v>
      </c>
      <c r="C8000" s="6">
        <v>109.5</v>
      </c>
      <c r="D8000" s="6">
        <v>114</v>
      </c>
      <c r="E8000" s="6">
        <v>223.5</v>
      </c>
      <c r="F8000" s="11"/>
    </row>
    <row r="8001" spans="1:6">
      <c r="A8001" s="5" t="str">
        <f t="shared" si="142"/>
        <v>202332</v>
      </c>
      <c r="B8001" s="5" t="str">
        <f>"23085061102"</f>
        <v>23085061102</v>
      </c>
      <c r="C8001" s="6">
        <v>109.5</v>
      </c>
      <c r="D8001" s="6">
        <v>113.5</v>
      </c>
      <c r="E8001" s="6">
        <v>223</v>
      </c>
      <c r="F8001" s="11"/>
    </row>
    <row r="8002" spans="1:6">
      <c r="A8002" s="5" t="str">
        <f t="shared" si="142"/>
        <v>202332</v>
      </c>
      <c r="B8002" s="5" t="str">
        <f>"23085061915"</f>
        <v>23085061915</v>
      </c>
      <c r="C8002" s="6">
        <v>111</v>
      </c>
      <c r="D8002" s="6">
        <v>112</v>
      </c>
      <c r="E8002" s="6">
        <v>223</v>
      </c>
      <c r="F8002" s="11"/>
    </row>
    <row r="8003" spans="1:6">
      <c r="A8003" s="5" t="str">
        <f t="shared" si="142"/>
        <v>202332</v>
      </c>
      <c r="B8003" s="5" t="str">
        <f>"23085061016"</f>
        <v>23085061016</v>
      </c>
      <c r="C8003" s="6">
        <v>120</v>
      </c>
      <c r="D8003" s="6">
        <v>103</v>
      </c>
      <c r="E8003" s="6">
        <v>223</v>
      </c>
      <c r="F8003" s="11"/>
    </row>
    <row r="8004" spans="1:6">
      <c r="A8004" s="5" t="str">
        <f t="shared" si="142"/>
        <v>202332</v>
      </c>
      <c r="B8004" s="5" t="str">
        <f>"23085061115"</f>
        <v>23085061115</v>
      </c>
      <c r="C8004" s="6">
        <v>108</v>
      </c>
      <c r="D8004" s="6">
        <v>115</v>
      </c>
      <c r="E8004" s="6">
        <v>223</v>
      </c>
      <c r="F8004" s="11"/>
    </row>
    <row r="8005" spans="1:6">
      <c r="A8005" s="5" t="str">
        <f t="shared" si="142"/>
        <v>202332</v>
      </c>
      <c r="B8005" s="5" t="str">
        <f>"23085061404"</f>
        <v>23085061404</v>
      </c>
      <c r="C8005" s="6">
        <v>117</v>
      </c>
      <c r="D8005" s="6">
        <v>106</v>
      </c>
      <c r="E8005" s="6">
        <v>223</v>
      </c>
      <c r="F8005" s="11"/>
    </row>
    <row r="8006" spans="1:6">
      <c r="A8006" s="5" t="str">
        <f t="shared" si="142"/>
        <v>202332</v>
      </c>
      <c r="B8006" s="5" t="str">
        <f>"23085061829"</f>
        <v>23085061829</v>
      </c>
      <c r="C8006" s="6">
        <v>109.5</v>
      </c>
      <c r="D8006" s="6">
        <v>113.5</v>
      </c>
      <c r="E8006" s="6">
        <v>223</v>
      </c>
      <c r="F8006" s="11"/>
    </row>
    <row r="8007" spans="1:6">
      <c r="A8007" s="5" t="str">
        <f t="shared" si="142"/>
        <v>202332</v>
      </c>
      <c r="B8007" s="5" t="str">
        <f>"23085061902"</f>
        <v>23085061902</v>
      </c>
      <c r="C8007" s="6">
        <v>105</v>
      </c>
      <c r="D8007" s="6">
        <v>117.5</v>
      </c>
      <c r="E8007" s="6">
        <v>222.5</v>
      </c>
      <c r="F8007" s="11"/>
    </row>
    <row r="8008" spans="1:6">
      <c r="A8008" s="5" t="str">
        <f t="shared" si="142"/>
        <v>202332</v>
      </c>
      <c r="B8008" s="5" t="str">
        <f>"23085063505"</f>
        <v>23085063505</v>
      </c>
      <c r="C8008" s="6">
        <v>114</v>
      </c>
      <c r="D8008" s="6">
        <v>108.5</v>
      </c>
      <c r="E8008" s="6">
        <v>222.5</v>
      </c>
      <c r="F8008" s="11"/>
    </row>
    <row r="8009" spans="1:6">
      <c r="A8009" s="5" t="str">
        <f t="shared" si="142"/>
        <v>202332</v>
      </c>
      <c r="B8009" s="5" t="str">
        <f>"23085062329"</f>
        <v>23085062329</v>
      </c>
      <c r="C8009" s="6">
        <v>112.5</v>
      </c>
      <c r="D8009" s="6">
        <v>109.5</v>
      </c>
      <c r="E8009" s="6">
        <v>222</v>
      </c>
      <c r="F8009" s="11"/>
    </row>
    <row r="8010" spans="1:6">
      <c r="A8010" s="5" t="str">
        <f t="shared" si="142"/>
        <v>202332</v>
      </c>
      <c r="B8010" s="5" t="str">
        <f>"23085061309"</f>
        <v>23085061309</v>
      </c>
      <c r="C8010" s="6">
        <v>103.5</v>
      </c>
      <c r="D8010" s="6">
        <v>118.5</v>
      </c>
      <c r="E8010" s="6">
        <v>222</v>
      </c>
      <c r="F8010" s="11"/>
    </row>
    <row r="8011" spans="1:6">
      <c r="A8011" s="5" t="str">
        <f t="shared" si="142"/>
        <v>202332</v>
      </c>
      <c r="B8011" s="5" t="str">
        <f>"23085060919"</f>
        <v>23085060919</v>
      </c>
      <c r="C8011" s="6">
        <v>108</v>
      </c>
      <c r="D8011" s="6">
        <v>114</v>
      </c>
      <c r="E8011" s="6">
        <v>222</v>
      </c>
      <c r="F8011" s="11"/>
    </row>
    <row r="8012" spans="1:6">
      <c r="A8012" s="5" t="str">
        <f t="shared" si="142"/>
        <v>202332</v>
      </c>
      <c r="B8012" s="5" t="str">
        <f>"23085061625"</f>
        <v>23085061625</v>
      </c>
      <c r="C8012" s="6">
        <v>111</v>
      </c>
      <c r="D8012" s="6">
        <v>111</v>
      </c>
      <c r="E8012" s="6">
        <v>222</v>
      </c>
      <c r="F8012" s="11"/>
    </row>
    <row r="8013" spans="1:6">
      <c r="A8013" s="5" t="str">
        <f t="shared" si="142"/>
        <v>202332</v>
      </c>
      <c r="B8013" s="5" t="str">
        <f>"23085061018"</f>
        <v>23085061018</v>
      </c>
      <c r="C8013" s="6">
        <v>108</v>
      </c>
      <c r="D8013" s="6">
        <v>114</v>
      </c>
      <c r="E8013" s="6">
        <v>222</v>
      </c>
      <c r="F8013" s="11"/>
    </row>
    <row r="8014" spans="1:6">
      <c r="A8014" s="5" t="str">
        <f t="shared" si="142"/>
        <v>202332</v>
      </c>
      <c r="B8014" s="5" t="str">
        <f>"23085061609"</f>
        <v>23085061609</v>
      </c>
      <c r="C8014" s="6">
        <v>106.5</v>
      </c>
      <c r="D8014" s="6">
        <v>115.5</v>
      </c>
      <c r="E8014" s="6">
        <v>222</v>
      </c>
      <c r="F8014" s="11"/>
    </row>
    <row r="8015" spans="1:6">
      <c r="A8015" s="5" t="str">
        <f t="shared" si="142"/>
        <v>202332</v>
      </c>
      <c r="B8015" s="5" t="str">
        <f>"23085062109"</f>
        <v>23085062109</v>
      </c>
      <c r="C8015" s="6">
        <v>108</v>
      </c>
      <c r="D8015" s="6">
        <v>114</v>
      </c>
      <c r="E8015" s="6">
        <v>222</v>
      </c>
      <c r="F8015" s="11"/>
    </row>
    <row r="8016" spans="1:6">
      <c r="A8016" s="5" t="str">
        <f t="shared" si="142"/>
        <v>202332</v>
      </c>
      <c r="B8016" s="5" t="str">
        <f>"23085062023"</f>
        <v>23085062023</v>
      </c>
      <c r="C8016" s="6">
        <v>108</v>
      </c>
      <c r="D8016" s="6">
        <v>114</v>
      </c>
      <c r="E8016" s="6">
        <v>222</v>
      </c>
      <c r="F8016" s="11"/>
    </row>
    <row r="8017" spans="1:6">
      <c r="A8017" s="5" t="str">
        <f t="shared" si="142"/>
        <v>202332</v>
      </c>
      <c r="B8017" s="5" t="str">
        <f>"23085062210"</f>
        <v>23085062210</v>
      </c>
      <c r="C8017" s="6">
        <v>102</v>
      </c>
      <c r="D8017" s="6">
        <v>120</v>
      </c>
      <c r="E8017" s="6">
        <v>222</v>
      </c>
      <c r="F8017" s="11"/>
    </row>
    <row r="8018" spans="1:6">
      <c r="A8018" s="5" t="str">
        <f t="shared" si="142"/>
        <v>202332</v>
      </c>
      <c r="B8018" s="5" t="str">
        <f>"23085061811"</f>
        <v>23085061811</v>
      </c>
      <c r="C8018" s="6">
        <v>102</v>
      </c>
      <c r="D8018" s="6">
        <v>119.5</v>
      </c>
      <c r="E8018" s="6">
        <v>221.5</v>
      </c>
      <c r="F8018" s="11"/>
    </row>
    <row r="8019" spans="1:6">
      <c r="A8019" s="5" t="str">
        <f t="shared" si="142"/>
        <v>202332</v>
      </c>
      <c r="B8019" s="5" t="str">
        <f>"23085062113"</f>
        <v>23085062113</v>
      </c>
      <c r="C8019" s="6">
        <v>100.5</v>
      </c>
      <c r="D8019" s="6">
        <v>121</v>
      </c>
      <c r="E8019" s="6">
        <v>221.5</v>
      </c>
      <c r="F8019" s="11"/>
    </row>
    <row r="8020" spans="1:6">
      <c r="A8020" s="5" t="str">
        <f t="shared" si="142"/>
        <v>202332</v>
      </c>
      <c r="B8020" s="5" t="str">
        <f>"23085062913"</f>
        <v>23085062913</v>
      </c>
      <c r="C8020" s="6">
        <v>109.5</v>
      </c>
      <c r="D8020" s="6">
        <v>112</v>
      </c>
      <c r="E8020" s="6">
        <v>221.5</v>
      </c>
      <c r="F8020" s="11"/>
    </row>
    <row r="8021" spans="1:6">
      <c r="A8021" s="5" t="str">
        <f t="shared" si="142"/>
        <v>202332</v>
      </c>
      <c r="B8021" s="5" t="str">
        <f>"23085063226"</f>
        <v>23085063226</v>
      </c>
      <c r="C8021" s="6">
        <v>108</v>
      </c>
      <c r="D8021" s="6">
        <v>113.5</v>
      </c>
      <c r="E8021" s="6">
        <v>221.5</v>
      </c>
      <c r="F8021" s="11"/>
    </row>
    <row r="8022" spans="1:6">
      <c r="A8022" s="5" t="str">
        <f t="shared" si="142"/>
        <v>202332</v>
      </c>
      <c r="B8022" s="5" t="str">
        <f>"23085061706"</f>
        <v>23085061706</v>
      </c>
      <c r="C8022" s="6">
        <v>109.5</v>
      </c>
      <c r="D8022" s="6">
        <v>112</v>
      </c>
      <c r="E8022" s="6">
        <v>221.5</v>
      </c>
      <c r="F8022" s="11"/>
    </row>
    <row r="8023" spans="1:6">
      <c r="A8023" s="5" t="str">
        <f t="shared" si="142"/>
        <v>202332</v>
      </c>
      <c r="B8023" s="5" t="str">
        <f>"23085063224"</f>
        <v>23085063224</v>
      </c>
      <c r="C8023" s="6">
        <v>112.5</v>
      </c>
      <c r="D8023" s="6">
        <v>108.5</v>
      </c>
      <c r="E8023" s="6">
        <v>221</v>
      </c>
      <c r="F8023" s="11"/>
    </row>
    <row r="8024" spans="1:6">
      <c r="A8024" s="5" t="str">
        <f t="shared" si="142"/>
        <v>202332</v>
      </c>
      <c r="B8024" s="5" t="str">
        <f>"23085062921"</f>
        <v>23085062921</v>
      </c>
      <c r="C8024" s="6">
        <v>114</v>
      </c>
      <c r="D8024" s="6">
        <v>107</v>
      </c>
      <c r="E8024" s="6">
        <v>221</v>
      </c>
      <c r="F8024" s="11"/>
    </row>
    <row r="8025" spans="1:6">
      <c r="A8025" s="5" t="str">
        <f t="shared" si="142"/>
        <v>202332</v>
      </c>
      <c r="B8025" s="5" t="str">
        <f>"23085062029"</f>
        <v>23085062029</v>
      </c>
      <c r="C8025" s="6">
        <v>108</v>
      </c>
      <c r="D8025" s="6">
        <v>113</v>
      </c>
      <c r="E8025" s="6">
        <v>221</v>
      </c>
      <c r="F8025" s="11"/>
    </row>
    <row r="8026" spans="1:6">
      <c r="A8026" s="5" t="str">
        <f t="shared" si="142"/>
        <v>202332</v>
      </c>
      <c r="B8026" s="5" t="str">
        <f>"23085061509"</f>
        <v>23085061509</v>
      </c>
      <c r="C8026" s="6">
        <v>111</v>
      </c>
      <c r="D8026" s="6">
        <v>110</v>
      </c>
      <c r="E8026" s="6">
        <v>221</v>
      </c>
      <c r="F8026" s="11"/>
    </row>
    <row r="8027" spans="1:6">
      <c r="A8027" s="5" t="str">
        <f t="shared" si="142"/>
        <v>202332</v>
      </c>
      <c r="B8027" s="5" t="str">
        <f>"23085062507"</f>
        <v>23085062507</v>
      </c>
      <c r="C8027" s="6">
        <v>105</v>
      </c>
      <c r="D8027" s="6">
        <v>116</v>
      </c>
      <c r="E8027" s="6">
        <v>221</v>
      </c>
      <c r="F8027" s="11"/>
    </row>
    <row r="8028" spans="1:6">
      <c r="A8028" s="5" t="str">
        <f t="shared" si="142"/>
        <v>202332</v>
      </c>
      <c r="B8028" s="5" t="str">
        <f>"23085062327"</f>
        <v>23085062327</v>
      </c>
      <c r="C8028" s="6">
        <v>109.5</v>
      </c>
      <c r="D8028" s="6">
        <v>111.5</v>
      </c>
      <c r="E8028" s="6">
        <v>221</v>
      </c>
      <c r="F8028" s="11"/>
    </row>
    <row r="8029" spans="1:6">
      <c r="A8029" s="5" t="str">
        <f t="shared" si="142"/>
        <v>202332</v>
      </c>
      <c r="B8029" s="5" t="str">
        <f>"23085063301"</f>
        <v>23085063301</v>
      </c>
      <c r="C8029" s="6">
        <v>108</v>
      </c>
      <c r="D8029" s="6">
        <v>113</v>
      </c>
      <c r="E8029" s="6">
        <v>221</v>
      </c>
      <c r="F8029" s="11"/>
    </row>
    <row r="8030" spans="1:6">
      <c r="A8030" s="5" t="str">
        <f t="shared" si="142"/>
        <v>202332</v>
      </c>
      <c r="B8030" s="5" t="str">
        <f>"23085062123"</f>
        <v>23085062123</v>
      </c>
      <c r="C8030" s="6">
        <v>99</v>
      </c>
      <c r="D8030" s="6">
        <v>122</v>
      </c>
      <c r="E8030" s="6">
        <v>221</v>
      </c>
      <c r="F8030" s="11"/>
    </row>
    <row r="8031" spans="1:6">
      <c r="A8031" s="5" t="str">
        <f t="shared" si="142"/>
        <v>202332</v>
      </c>
      <c r="B8031" s="5" t="str">
        <f>"23085062230"</f>
        <v>23085062230</v>
      </c>
      <c r="C8031" s="6">
        <v>109.5</v>
      </c>
      <c r="D8031" s="6">
        <v>111.5</v>
      </c>
      <c r="E8031" s="6">
        <v>221</v>
      </c>
      <c r="F8031" s="11"/>
    </row>
    <row r="8032" spans="1:6">
      <c r="A8032" s="5" t="str">
        <f t="shared" si="142"/>
        <v>202332</v>
      </c>
      <c r="B8032" s="5" t="str">
        <f>"23085062612"</f>
        <v>23085062612</v>
      </c>
      <c r="C8032" s="6">
        <v>105</v>
      </c>
      <c r="D8032" s="6">
        <v>116</v>
      </c>
      <c r="E8032" s="6">
        <v>221</v>
      </c>
      <c r="F8032" s="11"/>
    </row>
    <row r="8033" spans="1:6">
      <c r="A8033" s="5" t="str">
        <f t="shared" si="142"/>
        <v>202332</v>
      </c>
      <c r="B8033" s="5" t="str">
        <f>"23085063013"</f>
        <v>23085063013</v>
      </c>
      <c r="C8033" s="6">
        <v>111</v>
      </c>
      <c r="D8033" s="6">
        <v>110</v>
      </c>
      <c r="E8033" s="6">
        <v>221</v>
      </c>
      <c r="F8033" s="11"/>
    </row>
    <row r="8034" spans="1:6">
      <c r="A8034" s="5" t="str">
        <f t="shared" si="142"/>
        <v>202332</v>
      </c>
      <c r="B8034" s="5" t="str">
        <f>"23085061310"</f>
        <v>23085061310</v>
      </c>
      <c r="C8034" s="6">
        <v>106.5</v>
      </c>
      <c r="D8034" s="6">
        <v>114</v>
      </c>
      <c r="E8034" s="6">
        <v>220.5</v>
      </c>
      <c r="F8034" s="11"/>
    </row>
    <row r="8035" spans="1:6">
      <c r="A8035" s="5" t="str">
        <f t="shared" si="142"/>
        <v>202332</v>
      </c>
      <c r="B8035" s="5" t="str">
        <f>"23085061501"</f>
        <v>23085061501</v>
      </c>
      <c r="C8035" s="6">
        <v>97.5</v>
      </c>
      <c r="D8035" s="6">
        <v>123</v>
      </c>
      <c r="E8035" s="6">
        <v>220.5</v>
      </c>
      <c r="F8035" s="11"/>
    </row>
    <row r="8036" spans="1:6">
      <c r="A8036" s="5" t="str">
        <f t="shared" si="142"/>
        <v>202332</v>
      </c>
      <c r="B8036" s="5" t="str">
        <f>"23085061702"</f>
        <v>23085061702</v>
      </c>
      <c r="C8036" s="6">
        <v>111</v>
      </c>
      <c r="D8036" s="6">
        <v>109.5</v>
      </c>
      <c r="E8036" s="6">
        <v>220.5</v>
      </c>
      <c r="F8036" s="11"/>
    </row>
    <row r="8037" spans="1:6">
      <c r="A8037" s="5" t="str">
        <f t="shared" si="142"/>
        <v>202332</v>
      </c>
      <c r="B8037" s="5" t="str">
        <f>"23085063504"</f>
        <v>23085063504</v>
      </c>
      <c r="C8037" s="6">
        <v>115.5</v>
      </c>
      <c r="D8037" s="6">
        <v>105</v>
      </c>
      <c r="E8037" s="6">
        <v>220.5</v>
      </c>
      <c r="F8037" s="11"/>
    </row>
    <row r="8038" spans="1:6">
      <c r="A8038" s="5" t="str">
        <f t="shared" si="142"/>
        <v>202332</v>
      </c>
      <c r="B8038" s="5" t="str">
        <f>"23085062403"</f>
        <v>23085062403</v>
      </c>
      <c r="C8038" s="6">
        <v>106.5</v>
      </c>
      <c r="D8038" s="6">
        <v>113.5</v>
      </c>
      <c r="E8038" s="6">
        <v>220</v>
      </c>
      <c r="F8038" s="11"/>
    </row>
    <row r="8039" spans="1:6">
      <c r="A8039" s="5" t="str">
        <f t="shared" si="142"/>
        <v>202332</v>
      </c>
      <c r="B8039" s="5" t="str">
        <f>"23085063025"</f>
        <v>23085063025</v>
      </c>
      <c r="C8039" s="6">
        <v>103.5</v>
      </c>
      <c r="D8039" s="6">
        <v>116.5</v>
      </c>
      <c r="E8039" s="6">
        <v>220</v>
      </c>
      <c r="F8039" s="11"/>
    </row>
    <row r="8040" spans="1:6">
      <c r="A8040" s="5" t="str">
        <f t="shared" si="142"/>
        <v>202332</v>
      </c>
      <c r="B8040" s="5" t="str">
        <f>"23085062028"</f>
        <v>23085062028</v>
      </c>
      <c r="C8040" s="6">
        <v>105</v>
      </c>
      <c r="D8040" s="6">
        <v>115</v>
      </c>
      <c r="E8040" s="6">
        <v>220</v>
      </c>
      <c r="F8040" s="11"/>
    </row>
    <row r="8041" spans="1:6">
      <c r="A8041" s="5" t="str">
        <f t="shared" si="142"/>
        <v>202332</v>
      </c>
      <c r="B8041" s="5" t="str">
        <f>"23085062617"</f>
        <v>23085062617</v>
      </c>
      <c r="C8041" s="6">
        <v>106.5</v>
      </c>
      <c r="D8041" s="6">
        <v>113.5</v>
      </c>
      <c r="E8041" s="6">
        <v>220</v>
      </c>
      <c r="F8041" s="11"/>
    </row>
    <row r="8042" spans="1:6">
      <c r="A8042" s="5" t="str">
        <f t="shared" si="142"/>
        <v>202332</v>
      </c>
      <c r="B8042" s="5" t="str">
        <f>"23085061111"</f>
        <v>23085061111</v>
      </c>
      <c r="C8042" s="6">
        <v>108</v>
      </c>
      <c r="D8042" s="6">
        <v>112</v>
      </c>
      <c r="E8042" s="6">
        <v>220</v>
      </c>
      <c r="F8042" s="11"/>
    </row>
    <row r="8043" spans="1:6">
      <c r="A8043" s="5" t="str">
        <f t="shared" ref="A8043:A8106" si="143">"202332"</f>
        <v>202332</v>
      </c>
      <c r="B8043" s="5" t="str">
        <f>"23085062706"</f>
        <v>23085062706</v>
      </c>
      <c r="C8043" s="6">
        <v>106.5</v>
      </c>
      <c r="D8043" s="6">
        <v>113.5</v>
      </c>
      <c r="E8043" s="6">
        <v>220</v>
      </c>
      <c r="F8043" s="11"/>
    </row>
    <row r="8044" spans="1:6">
      <c r="A8044" s="5" t="str">
        <f t="shared" si="143"/>
        <v>202332</v>
      </c>
      <c r="B8044" s="5" t="str">
        <f>"23085062414"</f>
        <v>23085062414</v>
      </c>
      <c r="C8044" s="6">
        <v>109.5</v>
      </c>
      <c r="D8044" s="6">
        <v>110.5</v>
      </c>
      <c r="E8044" s="6">
        <v>220</v>
      </c>
      <c r="F8044" s="11"/>
    </row>
    <row r="8045" spans="1:6">
      <c r="A8045" s="5" t="str">
        <f t="shared" si="143"/>
        <v>202332</v>
      </c>
      <c r="B8045" s="5" t="str">
        <f>"23085062620"</f>
        <v>23085062620</v>
      </c>
      <c r="C8045" s="6">
        <v>103.5</v>
      </c>
      <c r="D8045" s="6">
        <v>116.5</v>
      </c>
      <c r="E8045" s="6">
        <v>220</v>
      </c>
      <c r="F8045" s="11"/>
    </row>
    <row r="8046" spans="1:6">
      <c r="A8046" s="5" t="str">
        <f t="shared" si="143"/>
        <v>202332</v>
      </c>
      <c r="B8046" s="5" t="str">
        <f>"23085061408"</f>
        <v>23085061408</v>
      </c>
      <c r="C8046" s="6">
        <v>103.5</v>
      </c>
      <c r="D8046" s="6">
        <v>116.5</v>
      </c>
      <c r="E8046" s="6">
        <v>220</v>
      </c>
      <c r="F8046" s="11"/>
    </row>
    <row r="8047" spans="1:6">
      <c r="A8047" s="5" t="str">
        <f t="shared" si="143"/>
        <v>202332</v>
      </c>
      <c r="B8047" s="5" t="str">
        <f>"23085061630"</f>
        <v>23085061630</v>
      </c>
      <c r="C8047" s="6">
        <v>105</v>
      </c>
      <c r="D8047" s="6">
        <v>115</v>
      </c>
      <c r="E8047" s="6">
        <v>220</v>
      </c>
      <c r="F8047" s="11"/>
    </row>
    <row r="8048" spans="1:6">
      <c r="A8048" s="5" t="str">
        <f t="shared" si="143"/>
        <v>202332</v>
      </c>
      <c r="B8048" s="5" t="str">
        <f>"23085062721"</f>
        <v>23085062721</v>
      </c>
      <c r="C8048" s="6">
        <v>105</v>
      </c>
      <c r="D8048" s="6">
        <v>115</v>
      </c>
      <c r="E8048" s="6">
        <v>220</v>
      </c>
      <c r="F8048" s="11"/>
    </row>
    <row r="8049" spans="1:6">
      <c r="A8049" s="5" t="str">
        <f t="shared" si="143"/>
        <v>202332</v>
      </c>
      <c r="B8049" s="5" t="str">
        <f>"23085061913"</f>
        <v>23085061913</v>
      </c>
      <c r="C8049" s="6">
        <v>97.5</v>
      </c>
      <c r="D8049" s="6">
        <v>122</v>
      </c>
      <c r="E8049" s="6">
        <v>219.5</v>
      </c>
      <c r="F8049" s="11"/>
    </row>
    <row r="8050" spans="1:6">
      <c r="A8050" s="5" t="str">
        <f t="shared" si="143"/>
        <v>202332</v>
      </c>
      <c r="B8050" s="5" t="str">
        <f>"23085061328"</f>
        <v>23085061328</v>
      </c>
      <c r="C8050" s="6">
        <v>100.5</v>
      </c>
      <c r="D8050" s="6">
        <v>119</v>
      </c>
      <c r="E8050" s="6">
        <v>219.5</v>
      </c>
      <c r="F8050" s="11"/>
    </row>
    <row r="8051" spans="1:6">
      <c r="A8051" s="5" t="str">
        <f t="shared" si="143"/>
        <v>202332</v>
      </c>
      <c r="B8051" s="5" t="str">
        <f>"23085061421"</f>
        <v>23085061421</v>
      </c>
      <c r="C8051" s="6">
        <v>103.5</v>
      </c>
      <c r="D8051" s="6">
        <v>116</v>
      </c>
      <c r="E8051" s="6">
        <v>219.5</v>
      </c>
      <c r="F8051" s="11"/>
    </row>
    <row r="8052" spans="1:6">
      <c r="A8052" s="5" t="str">
        <f t="shared" si="143"/>
        <v>202332</v>
      </c>
      <c r="B8052" s="5" t="str">
        <f>"23085060928"</f>
        <v>23085060928</v>
      </c>
      <c r="C8052" s="6">
        <v>103.5</v>
      </c>
      <c r="D8052" s="6">
        <v>116</v>
      </c>
      <c r="E8052" s="6">
        <v>219.5</v>
      </c>
      <c r="F8052" s="11"/>
    </row>
    <row r="8053" spans="1:6">
      <c r="A8053" s="5" t="str">
        <f t="shared" si="143"/>
        <v>202332</v>
      </c>
      <c r="B8053" s="5" t="str">
        <f>"23085062923"</f>
        <v>23085062923</v>
      </c>
      <c r="C8053" s="6">
        <v>106.5</v>
      </c>
      <c r="D8053" s="6">
        <v>113</v>
      </c>
      <c r="E8053" s="6">
        <v>219.5</v>
      </c>
      <c r="F8053" s="11"/>
    </row>
    <row r="8054" spans="1:6">
      <c r="A8054" s="5" t="str">
        <f t="shared" si="143"/>
        <v>202332</v>
      </c>
      <c r="B8054" s="5" t="str">
        <f>"23085062215"</f>
        <v>23085062215</v>
      </c>
      <c r="C8054" s="6">
        <v>103.5</v>
      </c>
      <c r="D8054" s="6">
        <v>115.5</v>
      </c>
      <c r="E8054" s="6">
        <v>219</v>
      </c>
      <c r="F8054" s="11"/>
    </row>
    <row r="8055" spans="1:6">
      <c r="A8055" s="5" t="str">
        <f t="shared" si="143"/>
        <v>202332</v>
      </c>
      <c r="B8055" s="5" t="str">
        <f>"23085062530"</f>
        <v>23085062530</v>
      </c>
      <c r="C8055" s="6">
        <v>106.5</v>
      </c>
      <c r="D8055" s="6">
        <v>112.5</v>
      </c>
      <c r="E8055" s="6">
        <v>219</v>
      </c>
      <c r="F8055" s="11"/>
    </row>
    <row r="8056" spans="1:6">
      <c r="A8056" s="5" t="str">
        <f t="shared" si="143"/>
        <v>202332</v>
      </c>
      <c r="B8056" s="5" t="str">
        <f>"23085061711"</f>
        <v>23085061711</v>
      </c>
      <c r="C8056" s="6">
        <v>106.5</v>
      </c>
      <c r="D8056" s="6">
        <v>112.5</v>
      </c>
      <c r="E8056" s="6">
        <v>219</v>
      </c>
      <c r="F8056" s="11"/>
    </row>
    <row r="8057" spans="1:6">
      <c r="A8057" s="5" t="str">
        <f t="shared" si="143"/>
        <v>202332</v>
      </c>
      <c r="B8057" s="5" t="str">
        <f>"23085061316"</f>
        <v>23085061316</v>
      </c>
      <c r="C8057" s="6">
        <v>121.5</v>
      </c>
      <c r="D8057" s="6">
        <v>97.5</v>
      </c>
      <c r="E8057" s="6">
        <v>219</v>
      </c>
      <c r="F8057" s="11"/>
    </row>
    <row r="8058" spans="1:6">
      <c r="A8058" s="5" t="str">
        <f t="shared" si="143"/>
        <v>202332</v>
      </c>
      <c r="B8058" s="5" t="str">
        <f>"23085063309"</f>
        <v>23085063309</v>
      </c>
      <c r="C8058" s="6">
        <v>108</v>
      </c>
      <c r="D8058" s="6">
        <v>111</v>
      </c>
      <c r="E8058" s="6">
        <v>219</v>
      </c>
      <c r="F8058" s="11"/>
    </row>
    <row r="8059" spans="1:6">
      <c r="A8059" s="5" t="str">
        <f t="shared" si="143"/>
        <v>202332</v>
      </c>
      <c r="B8059" s="5" t="str">
        <f>"23085061003"</f>
        <v>23085061003</v>
      </c>
      <c r="C8059" s="6">
        <v>103.5</v>
      </c>
      <c r="D8059" s="6">
        <v>115.5</v>
      </c>
      <c r="E8059" s="6">
        <v>219</v>
      </c>
      <c r="F8059" s="11"/>
    </row>
    <row r="8060" spans="1:6">
      <c r="A8060" s="5" t="str">
        <f t="shared" si="143"/>
        <v>202332</v>
      </c>
      <c r="B8060" s="5" t="str">
        <f>"23085061023"</f>
        <v>23085061023</v>
      </c>
      <c r="C8060" s="6">
        <v>106.5</v>
      </c>
      <c r="D8060" s="6">
        <v>112.5</v>
      </c>
      <c r="E8060" s="6">
        <v>219</v>
      </c>
      <c r="F8060" s="11"/>
    </row>
    <row r="8061" spans="1:6">
      <c r="A8061" s="5" t="str">
        <f t="shared" si="143"/>
        <v>202332</v>
      </c>
      <c r="B8061" s="5" t="str">
        <f>"23085063008"</f>
        <v>23085063008</v>
      </c>
      <c r="C8061" s="6">
        <v>102</v>
      </c>
      <c r="D8061" s="6">
        <v>117</v>
      </c>
      <c r="E8061" s="6">
        <v>219</v>
      </c>
      <c r="F8061" s="11"/>
    </row>
    <row r="8062" spans="1:6">
      <c r="A8062" s="5" t="str">
        <f t="shared" si="143"/>
        <v>202332</v>
      </c>
      <c r="B8062" s="5" t="str">
        <f>"23085062807"</f>
        <v>23085062807</v>
      </c>
      <c r="C8062" s="6">
        <v>103.5</v>
      </c>
      <c r="D8062" s="6">
        <v>115.5</v>
      </c>
      <c r="E8062" s="6">
        <v>219</v>
      </c>
      <c r="F8062" s="11"/>
    </row>
    <row r="8063" spans="1:6">
      <c r="A8063" s="5" t="str">
        <f t="shared" si="143"/>
        <v>202332</v>
      </c>
      <c r="B8063" s="5" t="str">
        <f>"23085062211"</f>
        <v>23085062211</v>
      </c>
      <c r="C8063" s="6">
        <v>109.5</v>
      </c>
      <c r="D8063" s="6">
        <v>109.5</v>
      </c>
      <c r="E8063" s="6">
        <v>219</v>
      </c>
      <c r="F8063" s="11"/>
    </row>
    <row r="8064" spans="1:6">
      <c r="A8064" s="5" t="str">
        <f t="shared" si="143"/>
        <v>202332</v>
      </c>
      <c r="B8064" s="5" t="str">
        <f>"23085061518"</f>
        <v>23085061518</v>
      </c>
      <c r="C8064" s="6">
        <v>100.5</v>
      </c>
      <c r="D8064" s="6">
        <v>118.5</v>
      </c>
      <c r="E8064" s="6">
        <v>219</v>
      </c>
      <c r="F8064" s="11"/>
    </row>
    <row r="8065" spans="1:6">
      <c r="A8065" s="5" t="str">
        <f t="shared" si="143"/>
        <v>202332</v>
      </c>
      <c r="B8065" s="5" t="str">
        <f>"23085061613"</f>
        <v>23085061613</v>
      </c>
      <c r="C8065" s="6">
        <v>111</v>
      </c>
      <c r="D8065" s="6">
        <v>108</v>
      </c>
      <c r="E8065" s="6">
        <v>219</v>
      </c>
      <c r="F8065" s="11"/>
    </row>
    <row r="8066" spans="1:6">
      <c r="A8066" s="5" t="str">
        <f t="shared" si="143"/>
        <v>202332</v>
      </c>
      <c r="B8066" s="5" t="str">
        <f>"23085062814"</f>
        <v>23085062814</v>
      </c>
      <c r="C8066" s="6">
        <v>111</v>
      </c>
      <c r="D8066" s="6">
        <v>108</v>
      </c>
      <c r="E8066" s="6">
        <v>219</v>
      </c>
      <c r="F8066" s="11"/>
    </row>
    <row r="8067" spans="1:6">
      <c r="A8067" s="5" t="str">
        <f t="shared" si="143"/>
        <v>202332</v>
      </c>
      <c r="B8067" s="5" t="str">
        <f>"23085063503"</f>
        <v>23085063503</v>
      </c>
      <c r="C8067" s="6">
        <v>105</v>
      </c>
      <c r="D8067" s="6">
        <v>114</v>
      </c>
      <c r="E8067" s="6">
        <v>219</v>
      </c>
      <c r="F8067" s="11"/>
    </row>
    <row r="8068" spans="1:6">
      <c r="A8068" s="5" t="str">
        <f t="shared" si="143"/>
        <v>202332</v>
      </c>
      <c r="B8068" s="5" t="str">
        <f>"23085061426"</f>
        <v>23085061426</v>
      </c>
      <c r="C8068" s="6">
        <v>111</v>
      </c>
      <c r="D8068" s="6">
        <v>108</v>
      </c>
      <c r="E8068" s="6">
        <v>219</v>
      </c>
      <c r="F8068" s="11"/>
    </row>
    <row r="8069" spans="1:6">
      <c r="A8069" s="5" t="str">
        <f t="shared" si="143"/>
        <v>202332</v>
      </c>
      <c r="B8069" s="5" t="str">
        <f>"23085061122"</f>
        <v>23085061122</v>
      </c>
      <c r="C8069" s="6">
        <v>106.5</v>
      </c>
      <c r="D8069" s="6">
        <v>112</v>
      </c>
      <c r="E8069" s="6">
        <v>218.5</v>
      </c>
      <c r="F8069" s="11"/>
    </row>
    <row r="8070" spans="1:6">
      <c r="A8070" s="5" t="str">
        <f t="shared" si="143"/>
        <v>202332</v>
      </c>
      <c r="B8070" s="5" t="str">
        <f>"23085063009"</f>
        <v>23085063009</v>
      </c>
      <c r="C8070" s="6">
        <v>105</v>
      </c>
      <c r="D8070" s="6">
        <v>113.5</v>
      </c>
      <c r="E8070" s="6">
        <v>218.5</v>
      </c>
      <c r="F8070" s="11"/>
    </row>
    <row r="8071" spans="1:6">
      <c r="A8071" s="5" t="str">
        <f t="shared" si="143"/>
        <v>202332</v>
      </c>
      <c r="B8071" s="5" t="str">
        <f>"23085062615"</f>
        <v>23085062615</v>
      </c>
      <c r="C8071" s="6">
        <v>106.5</v>
      </c>
      <c r="D8071" s="6">
        <v>112</v>
      </c>
      <c r="E8071" s="6">
        <v>218.5</v>
      </c>
      <c r="F8071" s="11"/>
    </row>
    <row r="8072" spans="1:6">
      <c r="A8072" s="5" t="str">
        <f t="shared" si="143"/>
        <v>202332</v>
      </c>
      <c r="B8072" s="5" t="str">
        <f>"23085061120"</f>
        <v>23085061120</v>
      </c>
      <c r="C8072" s="6">
        <v>105</v>
      </c>
      <c r="D8072" s="6">
        <v>113.5</v>
      </c>
      <c r="E8072" s="6">
        <v>218.5</v>
      </c>
      <c r="F8072" s="11"/>
    </row>
    <row r="8073" spans="1:6">
      <c r="A8073" s="5" t="str">
        <f t="shared" si="143"/>
        <v>202332</v>
      </c>
      <c r="B8073" s="5" t="str">
        <f>"23085062218"</f>
        <v>23085062218</v>
      </c>
      <c r="C8073" s="6">
        <v>109.5</v>
      </c>
      <c r="D8073" s="6">
        <v>109</v>
      </c>
      <c r="E8073" s="6">
        <v>218.5</v>
      </c>
      <c r="F8073" s="11"/>
    </row>
    <row r="8074" spans="1:6">
      <c r="A8074" s="5" t="str">
        <f t="shared" si="143"/>
        <v>202332</v>
      </c>
      <c r="B8074" s="5" t="str">
        <f>"23085061521"</f>
        <v>23085061521</v>
      </c>
      <c r="C8074" s="6">
        <v>105</v>
      </c>
      <c r="D8074" s="6">
        <v>113.5</v>
      </c>
      <c r="E8074" s="6">
        <v>218.5</v>
      </c>
      <c r="F8074" s="11"/>
    </row>
    <row r="8075" spans="1:6">
      <c r="A8075" s="5" t="str">
        <f t="shared" si="143"/>
        <v>202332</v>
      </c>
      <c r="B8075" s="5" t="str">
        <f>"23085062224"</f>
        <v>23085062224</v>
      </c>
      <c r="C8075" s="6">
        <v>105</v>
      </c>
      <c r="D8075" s="6">
        <v>113.5</v>
      </c>
      <c r="E8075" s="6">
        <v>218.5</v>
      </c>
      <c r="F8075" s="11"/>
    </row>
    <row r="8076" spans="1:6">
      <c r="A8076" s="5" t="str">
        <f t="shared" si="143"/>
        <v>202332</v>
      </c>
      <c r="B8076" s="5" t="str">
        <f>"23085062906"</f>
        <v>23085062906</v>
      </c>
      <c r="C8076" s="6">
        <v>103.5</v>
      </c>
      <c r="D8076" s="6">
        <v>115</v>
      </c>
      <c r="E8076" s="6">
        <v>218.5</v>
      </c>
      <c r="F8076" s="11"/>
    </row>
    <row r="8077" spans="1:6">
      <c r="A8077" s="5" t="str">
        <f t="shared" si="143"/>
        <v>202332</v>
      </c>
      <c r="B8077" s="5" t="str">
        <f>"23085063011"</f>
        <v>23085063011</v>
      </c>
      <c r="C8077" s="6">
        <v>100.5</v>
      </c>
      <c r="D8077" s="6">
        <v>118</v>
      </c>
      <c r="E8077" s="6">
        <v>218.5</v>
      </c>
      <c r="F8077" s="11"/>
    </row>
    <row r="8078" spans="1:6">
      <c r="A8078" s="5" t="str">
        <f t="shared" si="143"/>
        <v>202332</v>
      </c>
      <c r="B8078" s="5" t="str">
        <f>"23085062520"</f>
        <v>23085062520</v>
      </c>
      <c r="C8078" s="6">
        <v>96</v>
      </c>
      <c r="D8078" s="6">
        <v>122</v>
      </c>
      <c r="E8078" s="6">
        <v>218</v>
      </c>
      <c r="F8078" s="11"/>
    </row>
    <row r="8079" spans="1:6">
      <c r="A8079" s="5" t="str">
        <f t="shared" si="143"/>
        <v>202332</v>
      </c>
      <c r="B8079" s="5" t="str">
        <f>"23085061523"</f>
        <v>23085061523</v>
      </c>
      <c r="C8079" s="6">
        <v>105</v>
      </c>
      <c r="D8079" s="6">
        <v>113</v>
      </c>
      <c r="E8079" s="6">
        <v>218</v>
      </c>
      <c r="F8079" s="11"/>
    </row>
    <row r="8080" spans="1:6">
      <c r="A8080" s="5" t="str">
        <f t="shared" si="143"/>
        <v>202332</v>
      </c>
      <c r="B8080" s="5" t="str">
        <f>"23085063523"</f>
        <v>23085063523</v>
      </c>
      <c r="C8080" s="6">
        <v>105</v>
      </c>
      <c r="D8080" s="6">
        <v>113</v>
      </c>
      <c r="E8080" s="6">
        <v>218</v>
      </c>
      <c r="F8080" s="11"/>
    </row>
    <row r="8081" spans="1:6">
      <c r="A8081" s="5" t="str">
        <f t="shared" si="143"/>
        <v>202332</v>
      </c>
      <c r="B8081" s="5" t="str">
        <f>"23085062715"</f>
        <v>23085062715</v>
      </c>
      <c r="C8081" s="6">
        <v>109.5</v>
      </c>
      <c r="D8081" s="6">
        <v>108.5</v>
      </c>
      <c r="E8081" s="6">
        <v>218</v>
      </c>
      <c r="F8081" s="11"/>
    </row>
    <row r="8082" spans="1:6">
      <c r="A8082" s="5" t="str">
        <f t="shared" si="143"/>
        <v>202332</v>
      </c>
      <c r="B8082" s="5" t="str">
        <f>"23085063105"</f>
        <v>23085063105</v>
      </c>
      <c r="C8082" s="6">
        <v>100.5</v>
      </c>
      <c r="D8082" s="6">
        <v>117.5</v>
      </c>
      <c r="E8082" s="6">
        <v>218</v>
      </c>
      <c r="F8082" s="11"/>
    </row>
    <row r="8083" spans="1:6">
      <c r="A8083" s="5" t="str">
        <f t="shared" si="143"/>
        <v>202332</v>
      </c>
      <c r="B8083" s="5" t="str">
        <f>"23085063302"</f>
        <v>23085063302</v>
      </c>
      <c r="C8083" s="6">
        <v>106.5</v>
      </c>
      <c r="D8083" s="6">
        <v>111.5</v>
      </c>
      <c r="E8083" s="6">
        <v>218</v>
      </c>
      <c r="F8083" s="11"/>
    </row>
    <row r="8084" spans="1:6">
      <c r="A8084" s="5" t="str">
        <f t="shared" si="143"/>
        <v>202332</v>
      </c>
      <c r="B8084" s="5" t="str">
        <f>"23085062910"</f>
        <v>23085062910</v>
      </c>
      <c r="C8084" s="6">
        <v>102</v>
      </c>
      <c r="D8084" s="6">
        <v>115.5</v>
      </c>
      <c r="E8084" s="6">
        <v>217.5</v>
      </c>
      <c r="F8084" s="11"/>
    </row>
    <row r="8085" spans="1:6">
      <c r="A8085" s="5" t="str">
        <f t="shared" si="143"/>
        <v>202332</v>
      </c>
      <c r="B8085" s="5" t="str">
        <f>"23085063508"</f>
        <v>23085063508</v>
      </c>
      <c r="C8085" s="6">
        <v>105</v>
      </c>
      <c r="D8085" s="6">
        <v>112.5</v>
      </c>
      <c r="E8085" s="6">
        <v>217.5</v>
      </c>
      <c r="F8085" s="11"/>
    </row>
    <row r="8086" spans="1:6">
      <c r="A8086" s="5" t="str">
        <f t="shared" si="143"/>
        <v>202332</v>
      </c>
      <c r="B8086" s="5" t="str">
        <f>"23085062711"</f>
        <v>23085062711</v>
      </c>
      <c r="C8086" s="6">
        <v>106.5</v>
      </c>
      <c r="D8086" s="6">
        <v>111</v>
      </c>
      <c r="E8086" s="6">
        <v>217.5</v>
      </c>
      <c r="F8086" s="11"/>
    </row>
    <row r="8087" spans="1:6">
      <c r="A8087" s="5" t="str">
        <f t="shared" si="143"/>
        <v>202332</v>
      </c>
      <c r="B8087" s="5" t="str">
        <f>"23085061926"</f>
        <v>23085061926</v>
      </c>
      <c r="C8087" s="6">
        <v>100.5</v>
      </c>
      <c r="D8087" s="6">
        <v>117</v>
      </c>
      <c r="E8087" s="6">
        <v>217.5</v>
      </c>
      <c r="F8087" s="11"/>
    </row>
    <row r="8088" spans="1:6">
      <c r="A8088" s="5" t="str">
        <f t="shared" si="143"/>
        <v>202332</v>
      </c>
      <c r="B8088" s="5" t="str">
        <f>"23085063103"</f>
        <v>23085063103</v>
      </c>
      <c r="C8088" s="6">
        <v>100.5</v>
      </c>
      <c r="D8088" s="6">
        <v>117</v>
      </c>
      <c r="E8088" s="6">
        <v>217.5</v>
      </c>
      <c r="F8088" s="11"/>
    </row>
    <row r="8089" spans="1:6">
      <c r="A8089" s="5" t="str">
        <f t="shared" si="143"/>
        <v>202332</v>
      </c>
      <c r="B8089" s="5" t="str">
        <f>"23085063313"</f>
        <v>23085063313</v>
      </c>
      <c r="C8089" s="6">
        <v>100.5</v>
      </c>
      <c r="D8089" s="6">
        <v>117</v>
      </c>
      <c r="E8089" s="6">
        <v>217.5</v>
      </c>
      <c r="F8089" s="11"/>
    </row>
    <row r="8090" spans="1:6">
      <c r="A8090" s="5" t="str">
        <f t="shared" si="143"/>
        <v>202332</v>
      </c>
      <c r="B8090" s="5" t="str">
        <f>"23085061627"</f>
        <v>23085061627</v>
      </c>
      <c r="C8090" s="6">
        <v>99</v>
      </c>
      <c r="D8090" s="6">
        <v>118.5</v>
      </c>
      <c r="E8090" s="6">
        <v>217.5</v>
      </c>
      <c r="F8090" s="11"/>
    </row>
    <row r="8091" spans="1:6">
      <c r="A8091" s="5" t="str">
        <f t="shared" si="143"/>
        <v>202332</v>
      </c>
      <c r="B8091" s="5" t="str">
        <f>"23085061330"</f>
        <v>23085061330</v>
      </c>
      <c r="C8091" s="6">
        <v>100.5</v>
      </c>
      <c r="D8091" s="6">
        <v>117</v>
      </c>
      <c r="E8091" s="6">
        <v>217.5</v>
      </c>
      <c r="F8091" s="11"/>
    </row>
    <row r="8092" spans="1:6">
      <c r="A8092" s="5" t="str">
        <f t="shared" si="143"/>
        <v>202332</v>
      </c>
      <c r="B8092" s="5" t="str">
        <f>"23085061011"</f>
        <v>23085061011</v>
      </c>
      <c r="C8092" s="6">
        <v>97.5</v>
      </c>
      <c r="D8092" s="6">
        <v>119.5</v>
      </c>
      <c r="E8092" s="6">
        <v>217</v>
      </c>
      <c r="F8092" s="11"/>
    </row>
    <row r="8093" spans="1:6">
      <c r="A8093" s="5" t="str">
        <f t="shared" si="143"/>
        <v>202332</v>
      </c>
      <c r="B8093" s="5" t="str">
        <f>"23085062401"</f>
        <v>23085062401</v>
      </c>
      <c r="C8093" s="6">
        <v>99</v>
      </c>
      <c r="D8093" s="6">
        <v>118</v>
      </c>
      <c r="E8093" s="6">
        <v>217</v>
      </c>
      <c r="F8093" s="11"/>
    </row>
    <row r="8094" spans="1:6">
      <c r="A8094" s="5" t="str">
        <f t="shared" si="143"/>
        <v>202332</v>
      </c>
      <c r="B8094" s="5" t="str">
        <f>"23085063109"</f>
        <v>23085063109</v>
      </c>
      <c r="C8094" s="6">
        <v>106.5</v>
      </c>
      <c r="D8094" s="6">
        <v>110.5</v>
      </c>
      <c r="E8094" s="6">
        <v>217</v>
      </c>
      <c r="F8094" s="11"/>
    </row>
    <row r="8095" spans="1:6">
      <c r="A8095" s="5" t="str">
        <f t="shared" si="143"/>
        <v>202332</v>
      </c>
      <c r="B8095" s="5" t="str">
        <f>"23085063423"</f>
        <v>23085063423</v>
      </c>
      <c r="C8095" s="6">
        <v>111</v>
      </c>
      <c r="D8095" s="6">
        <v>106</v>
      </c>
      <c r="E8095" s="6">
        <v>217</v>
      </c>
      <c r="F8095" s="11"/>
    </row>
    <row r="8096" spans="1:6">
      <c r="A8096" s="5" t="str">
        <f t="shared" si="143"/>
        <v>202332</v>
      </c>
      <c r="B8096" s="5" t="str">
        <f>"23085062116"</f>
        <v>23085062116</v>
      </c>
      <c r="C8096" s="6">
        <v>102</v>
      </c>
      <c r="D8096" s="6">
        <v>114.5</v>
      </c>
      <c r="E8096" s="6">
        <v>216.5</v>
      </c>
      <c r="F8096" s="11"/>
    </row>
    <row r="8097" spans="1:6">
      <c r="A8097" s="5" t="str">
        <f t="shared" si="143"/>
        <v>202332</v>
      </c>
      <c r="B8097" s="5" t="str">
        <f>"23085061114"</f>
        <v>23085061114</v>
      </c>
      <c r="C8097" s="6">
        <v>100.5</v>
      </c>
      <c r="D8097" s="6">
        <v>116</v>
      </c>
      <c r="E8097" s="6">
        <v>216.5</v>
      </c>
      <c r="F8097" s="11"/>
    </row>
    <row r="8098" spans="1:6">
      <c r="A8098" s="5" t="str">
        <f t="shared" si="143"/>
        <v>202332</v>
      </c>
      <c r="B8098" s="5" t="str">
        <f>"23085061610"</f>
        <v>23085061610</v>
      </c>
      <c r="C8098" s="6">
        <v>105</v>
      </c>
      <c r="D8098" s="6">
        <v>111.5</v>
      </c>
      <c r="E8098" s="6">
        <v>216.5</v>
      </c>
      <c r="F8098" s="11"/>
    </row>
    <row r="8099" spans="1:6">
      <c r="A8099" s="5" t="str">
        <f t="shared" si="143"/>
        <v>202332</v>
      </c>
      <c r="B8099" s="5" t="str">
        <f>"23085062519"</f>
        <v>23085062519</v>
      </c>
      <c r="C8099" s="6">
        <v>102</v>
      </c>
      <c r="D8099" s="6">
        <v>114.5</v>
      </c>
      <c r="E8099" s="6">
        <v>216.5</v>
      </c>
      <c r="F8099" s="11"/>
    </row>
    <row r="8100" spans="1:6">
      <c r="A8100" s="5" t="str">
        <f t="shared" si="143"/>
        <v>202332</v>
      </c>
      <c r="B8100" s="5" t="str">
        <f>"23085061226"</f>
        <v>23085061226</v>
      </c>
      <c r="C8100" s="6">
        <v>103.5</v>
      </c>
      <c r="D8100" s="6">
        <v>113</v>
      </c>
      <c r="E8100" s="6">
        <v>216.5</v>
      </c>
      <c r="F8100" s="11"/>
    </row>
    <row r="8101" spans="1:6">
      <c r="A8101" s="5" t="str">
        <f t="shared" si="143"/>
        <v>202332</v>
      </c>
      <c r="B8101" s="5" t="str">
        <f>"23085063106"</f>
        <v>23085063106</v>
      </c>
      <c r="C8101" s="6">
        <v>100.5</v>
      </c>
      <c r="D8101" s="6">
        <v>116</v>
      </c>
      <c r="E8101" s="6">
        <v>216.5</v>
      </c>
      <c r="F8101" s="11"/>
    </row>
    <row r="8102" spans="1:6">
      <c r="A8102" s="5" t="str">
        <f t="shared" si="143"/>
        <v>202332</v>
      </c>
      <c r="B8102" s="5" t="str">
        <f>"23085062816"</f>
        <v>23085062816</v>
      </c>
      <c r="C8102" s="6">
        <v>103.5</v>
      </c>
      <c r="D8102" s="6">
        <v>113</v>
      </c>
      <c r="E8102" s="6">
        <v>216.5</v>
      </c>
      <c r="F8102" s="11"/>
    </row>
    <row r="8103" spans="1:6">
      <c r="A8103" s="5" t="str">
        <f t="shared" si="143"/>
        <v>202332</v>
      </c>
      <c r="B8103" s="5" t="str">
        <f>"23085062310"</f>
        <v>23085062310</v>
      </c>
      <c r="C8103" s="6">
        <v>105</v>
      </c>
      <c r="D8103" s="6">
        <v>111.5</v>
      </c>
      <c r="E8103" s="6">
        <v>216.5</v>
      </c>
      <c r="F8103" s="11"/>
    </row>
    <row r="8104" spans="1:6">
      <c r="A8104" s="5" t="str">
        <f t="shared" si="143"/>
        <v>202332</v>
      </c>
      <c r="B8104" s="5" t="str">
        <f>"23085061904"</f>
        <v>23085061904</v>
      </c>
      <c r="C8104" s="6">
        <v>114</v>
      </c>
      <c r="D8104" s="6">
        <v>102.5</v>
      </c>
      <c r="E8104" s="6">
        <v>216.5</v>
      </c>
      <c r="F8104" s="11"/>
    </row>
    <row r="8105" spans="1:6">
      <c r="A8105" s="5" t="str">
        <f t="shared" si="143"/>
        <v>202332</v>
      </c>
      <c r="B8105" s="5" t="str">
        <f>"23085063112"</f>
        <v>23085063112</v>
      </c>
      <c r="C8105" s="6">
        <v>96</v>
      </c>
      <c r="D8105" s="6">
        <v>120</v>
      </c>
      <c r="E8105" s="6">
        <v>216</v>
      </c>
      <c r="F8105" s="11"/>
    </row>
    <row r="8106" spans="1:6">
      <c r="A8106" s="5" t="str">
        <f t="shared" si="143"/>
        <v>202332</v>
      </c>
      <c r="B8106" s="5" t="str">
        <f>"23085062908"</f>
        <v>23085062908</v>
      </c>
      <c r="C8106" s="6">
        <v>97.5</v>
      </c>
      <c r="D8106" s="6">
        <v>118.5</v>
      </c>
      <c r="E8106" s="6">
        <v>216</v>
      </c>
      <c r="F8106" s="11"/>
    </row>
    <row r="8107" spans="1:6">
      <c r="A8107" s="5" t="str">
        <f t="shared" ref="A8107:A8170" si="144">"202332"</f>
        <v>202332</v>
      </c>
      <c r="B8107" s="5" t="str">
        <f>"23085062830"</f>
        <v>23085062830</v>
      </c>
      <c r="C8107" s="6">
        <v>103.5</v>
      </c>
      <c r="D8107" s="6">
        <v>112.5</v>
      </c>
      <c r="E8107" s="6">
        <v>216</v>
      </c>
      <c r="F8107" s="11"/>
    </row>
    <row r="8108" spans="1:6">
      <c r="A8108" s="5" t="str">
        <f t="shared" si="144"/>
        <v>202332</v>
      </c>
      <c r="B8108" s="5" t="str">
        <f>"23085061318"</f>
        <v>23085061318</v>
      </c>
      <c r="C8108" s="6">
        <v>100.5</v>
      </c>
      <c r="D8108" s="6">
        <v>115.5</v>
      </c>
      <c r="E8108" s="6">
        <v>216</v>
      </c>
      <c r="F8108" s="11"/>
    </row>
    <row r="8109" spans="1:6">
      <c r="A8109" s="5" t="str">
        <f t="shared" si="144"/>
        <v>202332</v>
      </c>
      <c r="B8109" s="5" t="str">
        <f>"23085061722"</f>
        <v>23085061722</v>
      </c>
      <c r="C8109" s="6">
        <v>105</v>
      </c>
      <c r="D8109" s="6">
        <v>111</v>
      </c>
      <c r="E8109" s="6">
        <v>216</v>
      </c>
      <c r="F8109" s="11"/>
    </row>
    <row r="8110" spans="1:6">
      <c r="A8110" s="5" t="str">
        <f t="shared" si="144"/>
        <v>202332</v>
      </c>
      <c r="B8110" s="5" t="str">
        <f>"23085063310"</f>
        <v>23085063310</v>
      </c>
      <c r="C8110" s="6">
        <v>109.5</v>
      </c>
      <c r="D8110" s="6">
        <v>106.5</v>
      </c>
      <c r="E8110" s="6">
        <v>216</v>
      </c>
      <c r="F8110" s="11"/>
    </row>
    <row r="8111" spans="1:6">
      <c r="A8111" s="5" t="str">
        <f t="shared" si="144"/>
        <v>202332</v>
      </c>
      <c r="B8111" s="5" t="str">
        <f>"23085063202"</f>
        <v>23085063202</v>
      </c>
      <c r="C8111" s="6">
        <v>96</v>
      </c>
      <c r="D8111" s="6">
        <v>120</v>
      </c>
      <c r="E8111" s="6">
        <v>216</v>
      </c>
      <c r="F8111" s="11"/>
    </row>
    <row r="8112" spans="1:6">
      <c r="A8112" s="5" t="str">
        <f t="shared" si="144"/>
        <v>202332</v>
      </c>
      <c r="B8112" s="5" t="str">
        <f>"23085061629"</f>
        <v>23085061629</v>
      </c>
      <c r="C8112" s="6">
        <v>103.5</v>
      </c>
      <c r="D8112" s="6">
        <v>112.5</v>
      </c>
      <c r="E8112" s="6">
        <v>216</v>
      </c>
      <c r="F8112" s="11"/>
    </row>
    <row r="8113" spans="1:6">
      <c r="A8113" s="5" t="str">
        <f t="shared" si="144"/>
        <v>202332</v>
      </c>
      <c r="B8113" s="5" t="str">
        <f>"23085062206"</f>
        <v>23085062206</v>
      </c>
      <c r="C8113" s="6">
        <v>108</v>
      </c>
      <c r="D8113" s="6">
        <v>107.5</v>
      </c>
      <c r="E8113" s="6">
        <v>215.5</v>
      </c>
      <c r="F8113" s="11"/>
    </row>
    <row r="8114" spans="1:6">
      <c r="A8114" s="5" t="str">
        <f t="shared" si="144"/>
        <v>202332</v>
      </c>
      <c r="B8114" s="5" t="str">
        <f>"23085062709"</f>
        <v>23085062709</v>
      </c>
      <c r="C8114" s="6">
        <v>108</v>
      </c>
      <c r="D8114" s="6">
        <v>107.5</v>
      </c>
      <c r="E8114" s="6">
        <v>215.5</v>
      </c>
      <c r="F8114" s="11"/>
    </row>
    <row r="8115" spans="1:6">
      <c r="A8115" s="5" t="str">
        <f t="shared" si="144"/>
        <v>202332</v>
      </c>
      <c r="B8115" s="5" t="str">
        <f>"23085062805"</f>
        <v>23085062805</v>
      </c>
      <c r="C8115" s="6">
        <v>105</v>
      </c>
      <c r="D8115" s="6">
        <v>110.5</v>
      </c>
      <c r="E8115" s="6">
        <v>215.5</v>
      </c>
      <c r="F8115" s="11"/>
    </row>
    <row r="8116" spans="1:6">
      <c r="A8116" s="5" t="str">
        <f t="shared" si="144"/>
        <v>202332</v>
      </c>
      <c r="B8116" s="5" t="str">
        <f>"23085062209"</f>
        <v>23085062209</v>
      </c>
      <c r="C8116" s="6">
        <v>112.5</v>
      </c>
      <c r="D8116" s="6">
        <v>103</v>
      </c>
      <c r="E8116" s="6">
        <v>215.5</v>
      </c>
      <c r="F8116" s="11"/>
    </row>
    <row r="8117" spans="1:6">
      <c r="A8117" s="5" t="str">
        <f t="shared" si="144"/>
        <v>202332</v>
      </c>
      <c r="B8117" s="5" t="str">
        <f>"23085062015"</f>
        <v>23085062015</v>
      </c>
      <c r="C8117" s="6">
        <v>106.5</v>
      </c>
      <c r="D8117" s="6">
        <v>109</v>
      </c>
      <c r="E8117" s="6">
        <v>215.5</v>
      </c>
      <c r="F8117" s="11"/>
    </row>
    <row r="8118" spans="1:6">
      <c r="A8118" s="5" t="str">
        <f t="shared" si="144"/>
        <v>202332</v>
      </c>
      <c r="B8118" s="5" t="str">
        <f>"23085061514"</f>
        <v>23085061514</v>
      </c>
      <c r="C8118" s="6">
        <v>99</v>
      </c>
      <c r="D8118" s="6">
        <v>116</v>
      </c>
      <c r="E8118" s="6">
        <v>215</v>
      </c>
      <c r="F8118" s="11"/>
    </row>
    <row r="8119" spans="1:6">
      <c r="A8119" s="5" t="str">
        <f t="shared" si="144"/>
        <v>202332</v>
      </c>
      <c r="B8119" s="5" t="str">
        <f>"23085062727"</f>
        <v>23085062727</v>
      </c>
      <c r="C8119" s="6">
        <v>100.5</v>
      </c>
      <c r="D8119" s="6">
        <v>114.5</v>
      </c>
      <c r="E8119" s="6">
        <v>215</v>
      </c>
      <c r="F8119" s="11"/>
    </row>
    <row r="8120" spans="1:6">
      <c r="A8120" s="5" t="str">
        <f t="shared" si="144"/>
        <v>202332</v>
      </c>
      <c r="B8120" s="5" t="str">
        <f>"23085062406"</f>
        <v>23085062406</v>
      </c>
      <c r="C8120" s="6">
        <v>96</v>
      </c>
      <c r="D8120" s="6">
        <v>119</v>
      </c>
      <c r="E8120" s="6">
        <v>215</v>
      </c>
      <c r="F8120" s="11"/>
    </row>
    <row r="8121" spans="1:6">
      <c r="A8121" s="5" t="str">
        <f t="shared" si="144"/>
        <v>202332</v>
      </c>
      <c r="B8121" s="5" t="str">
        <f>"23085062419"</f>
        <v>23085062419</v>
      </c>
      <c r="C8121" s="6">
        <v>105</v>
      </c>
      <c r="D8121" s="6">
        <v>109.5</v>
      </c>
      <c r="E8121" s="6">
        <v>214.5</v>
      </c>
      <c r="F8121" s="11"/>
    </row>
    <row r="8122" spans="1:6">
      <c r="A8122" s="5" t="str">
        <f t="shared" si="144"/>
        <v>202332</v>
      </c>
      <c r="B8122" s="5" t="str">
        <f>"23085061403"</f>
        <v>23085061403</v>
      </c>
      <c r="C8122" s="6">
        <v>96</v>
      </c>
      <c r="D8122" s="6">
        <v>118.5</v>
      </c>
      <c r="E8122" s="6">
        <v>214.5</v>
      </c>
      <c r="F8122" s="11"/>
    </row>
    <row r="8123" spans="1:6">
      <c r="A8123" s="5" t="str">
        <f t="shared" si="144"/>
        <v>202332</v>
      </c>
      <c r="B8123" s="5" t="str">
        <f>"23085061626"</f>
        <v>23085061626</v>
      </c>
      <c r="C8123" s="6">
        <v>102</v>
      </c>
      <c r="D8123" s="6">
        <v>112.5</v>
      </c>
      <c r="E8123" s="6">
        <v>214.5</v>
      </c>
      <c r="F8123" s="11"/>
    </row>
    <row r="8124" spans="1:6">
      <c r="A8124" s="5" t="str">
        <f t="shared" si="144"/>
        <v>202332</v>
      </c>
      <c r="B8124" s="5" t="str">
        <f>"23085062102"</f>
        <v>23085062102</v>
      </c>
      <c r="C8124" s="6">
        <v>93</v>
      </c>
      <c r="D8124" s="6">
        <v>121.5</v>
      </c>
      <c r="E8124" s="6">
        <v>214.5</v>
      </c>
      <c r="F8124" s="11"/>
    </row>
    <row r="8125" spans="1:6">
      <c r="A8125" s="5" t="str">
        <f t="shared" si="144"/>
        <v>202332</v>
      </c>
      <c r="B8125" s="5" t="str">
        <f>"23085061025"</f>
        <v>23085061025</v>
      </c>
      <c r="C8125" s="6">
        <v>102</v>
      </c>
      <c r="D8125" s="6">
        <v>112</v>
      </c>
      <c r="E8125" s="6">
        <v>214</v>
      </c>
      <c r="F8125" s="11"/>
    </row>
    <row r="8126" spans="1:6">
      <c r="A8126" s="5" t="str">
        <f t="shared" si="144"/>
        <v>202332</v>
      </c>
      <c r="B8126" s="5" t="str">
        <f>"23085061220"</f>
        <v>23085061220</v>
      </c>
      <c r="C8126" s="6">
        <v>106.5</v>
      </c>
      <c r="D8126" s="6">
        <v>107.5</v>
      </c>
      <c r="E8126" s="6">
        <v>214</v>
      </c>
      <c r="F8126" s="11"/>
    </row>
    <row r="8127" spans="1:6">
      <c r="A8127" s="5" t="str">
        <f t="shared" si="144"/>
        <v>202332</v>
      </c>
      <c r="B8127" s="5" t="str">
        <f>"23085062722"</f>
        <v>23085062722</v>
      </c>
      <c r="C8127" s="6">
        <v>103.5</v>
      </c>
      <c r="D8127" s="6">
        <v>110.5</v>
      </c>
      <c r="E8127" s="6">
        <v>214</v>
      </c>
      <c r="F8127" s="11"/>
    </row>
    <row r="8128" spans="1:6">
      <c r="A8128" s="5" t="str">
        <f t="shared" si="144"/>
        <v>202332</v>
      </c>
      <c r="B8128" s="5" t="str">
        <f>"23085061714"</f>
        <v>23085061714</v>
      </c>
      <c r="C8128" s="6">
        <v>96</v>
      </c>
      <c r="D8128" s="6">
        <v>118</v>
      </c>
      <c r="E8128" s="6">
        <v>214</v>
      </c>
      <c r="F8128" s="11"/>
    </row>
    <row r="8129" spans="1:6">
      <c r="A8129" s="5" t="str">
        <f t="shared" si="144"/>
        <v>202332</v>
      </c>
      <c r="B8129" s="5" t="str">
        <f>"23085063312"</f>
        <v>23085063312</v>
      </c>
      <c r="C8129" s="6">
        <v>102</v>
      </c>
      <c r="D8129" s="6">
        <v>112</v>
      </c>
      <c r="E8129" s="6">
        <v>214</v>
      </c>
      <c r="F8129" s="11"/>
    </row>
    <row r="8130" spans="1:6">
      <c r="A8130" s="5" t="str">
        <f t="shared" si="144"/>
        <v>202332</v>
      </c>
      <c r="B8130" s="5" t="str">
        <f>"23085063010"</f>
        <v>23085063010</v>
      </c>
      <c r="C8130" s="6">
        <v>105</v>
      </c>
      <c r="D8130" s="6">
        <v>109</v>
      </c>
      <c r="E8130" s="6">
        <v>214</v>
      </c>
      <c r="F8130" s="11"/>
    </row>
    <row r="8131" spans="1:6">
      <c r="A8131" s="5" t="str">
        <f t="shared" si="144"/>
        <v>202332</v>
      </c>
      <c r="B8131" s="5" t="str">
        <f>"23085061927"</f>
        <v>23085061927</v>
      </c>
      <c r="C8131" s="6">
        <v>100.5</v>
      </c>
      <c r="D8131" s="6">
        <v>113.5</v>
      </c>
      <c r="E8131" s="6">
        <v>214</v>
      </c>
      <c r="F8131" s="11"/>
    </row>
    <row r="8132" spans="1:6">
      <c r="A8132" s="5" t="str">
        <f t="shared" si="144"/>
        <v>202332</v>
      </c>
      <c r="B8132" s="5" t="str">
        <f>"23085062030"</f>
        <v>23085062030</v>
      </c>
      <c r="C8132" s="6">
        <v>96</v>
      </c>
      <c r="D8132" s="6">
        <v>117.5</v>
      </c>
      <c r="E8132" s="6">
        <v>213.5</v>
      </c>
      <c r="F8132" s="11"/>
    </row>
    <row r="8133" spans="1:6">
      <c r="A8133" s="5" t="str">
        <f t="shared" si="144"/>
        <v>202332</v>
      </c>
      <c r="B8133" s="5" t="str">
        <f>"23085061603"</f>
        <v>23085061603</v>
      </c>
      <c r="C8133" s="6">
        <v>97.5</v>
      </c>
      <c r="D8133" s="6">
        <v>116</v>
      </c>
      <c r="E8133" s="6">
        <v>213.5</v>
      </c>
      <c r="F8133" s="11"/>
    </row>
    <row r="8134" spans="1:6">
      <c r="A8134" s="5" t="str">
        <f t="shared" si="144"/>
        <v>202332</v>
      </c>
      <c r="B8134" s="5" t="str">
        <f>"23085061323"</f>
        <v>23085061323</v>
      </c>
      <c r="C8134" s="6">
        <v>94.5</v>
      </c>
      <c r="D8134" s="6">
        <v>119</v>
      </c>
      <c r="E8134" s="6">
        <v>213.5</v>
      </c>
      <c r="F8134" s="11"/>
    </row>
    <row r="8135" spans="1:6">
      <c r="A8135" s="5" t="str">
        <f t="shared" si="144"/>
        <v>202332</v>
      </c>
      <c r="B8135" s="5" t="str">
        <f>"23085063308"</f>
        <v>23085063308</v>
      </c>
      <c r="C8135" s="6">
        <v>96</v>
      </c>
      <c r="D8135" s="6">
        <v>117.5</v>
      </c>
      <c r="E8135" s="6">
        <v>213.5</v>
      </c>
      <c r="F8135" s="11"/>
    </row>
    <row r="8136" spans="1:6">
      <c r="A8136" s="5" t="str">
        <f t="shared" si="144"/>
        <v>202332</v>
      </c>
      <c r="B8136" s="5" t="str">
        <f>"23085061327"</f>
        <v>23085061327</v>
      </c>
      <c r="C8136" s="6">
        <v>102</v>
      </c>
      <c r="D8136" s="6">
        <v>111.5</v>
      </c>
      <c r="E8136" s="6">
        <v>213.5</v>
      </c>
      <c r="F8136" s="11"/>
    </row>
    <row r="8137" spans="1:6">
      <c r="A8137" s="5" t="str">
        <f t="shared" si="144"/>
        <v>202332</v>
      </c>
      <c r="B8137" s="5" t="str">
        <f>"23085061825"</f>
        <v>23085061825</v>
      </c>
      <c r="C8137" s="6">
        <v>99</v>
      </c>
      <c r="D8137" s="6">
        <v>114.5</v>
      </c>
      <c r="E8137" s="6">
        <v>213.5</v>
      </c>
      <c r="F8137" s="11"/>
    </row>
    <row r="8138" spans="1:6">
      <c r="A8138" s="5" t="str">
        <f t="shared" si="144"/>
        <v>202332</v>
      </c>
      <c r="B8138" s="5" t="str">
        <f>"23085063222"</f>
        <v>23085063222</v>
      </c>
      <c r="C8138" s="6">
        <v>97.5</v>
      </c>
      <c r="D8138" s="6">
        <v>116</v>
      </c>
      <c r="E8138" s="6">
        <v>213.5</v>
      </c>
      <c r="F8138" s="11"/>
    </row>
    <row r="8139" spans="1:6">
      <c r="A8139" s="5" t="str">
        <f t="shared" si="144"/>
        <v>202332</v>
      </c>
      <c r="B8139" s="5" t="str">
        <f>"23085061925"</f>
        <v>23085061925</v>
      </c>
      <c r="C8139" s="6">
        <v>114</v>
      </c>
      <c r="D8139" s="6">
        <v>99</v>
      </c>
      <c r="E8139" s="6">
        <v>213</v>
      </c>
      <c r="F8139" s="11"/>
    </row>
    <row r="8140" spans="1:6">
      <c r="A8140" s="5" t="str">
        <f t="shared" si="144"/>
        <v>202332</v>
      </c>
      <c r="B8140" s="5" t="str">
        <f>"23085061830"</f>
        <v>23085061830</v>
      </c>
      <c r="C8140" s="6">
        <v>103.5</v>
      </c>
      <c r="D8140" s="6">
        <v>109.5</v>
      </c>
      <c r="E8140" s="6">
        <v>213</v>
      </c>
      <c r="F8140" s="11"/>
    </row>
    <row r="8141" spans="1:6">
      <c r="A8141" s="5" t="str">
        <f t="shared" si="144"/>
        <v>202332</v>
      </c>
      <c r="B8141" s="5" t="str">
        <f>"23085061919"</f>
        <v>23085061919</v>
      </c>
      <c r="C8141" s="6">
        <v>97.5</v>
      </c>
      <c r="D8141" s="6">
        <v>115.5</v>
      </c>
      <c r="E8141" s="6">
        <v>213</v>
      </c>
      <c r="F8141" s="11"/>
    </row>
    <row r="8142" spans="1:6">
      <c r="A8142" s="5" t="str">
        <f t="shared" si="144"/>
        <v>202332</v>
      </c>
      <c r="B8142" s="5" t="str">
        <f>"23085062322"</f>
        <v>23085062322</v>
      </c>
      <c r="C8142" s="6">
        <v>103.5</v>
      </c>
      <c r="D8142" s="6">
        <v>109.5</v>
      </c>
      <c r="E8142" s="6">
        <v>213</v>
      </c>
      <c r="F8142" s="11"/>
    </row>
    <row r="8143" spans="1:6">
      <c r="A8143" s="5" t="str">
        <f t="shared" si="144"/>
        <v>202332</v>
      </c>
      <c r="B8143" s="5" t="str">
        <f>"23085063509"</f>
        <v>23085063509</v>
      </c>
      <c r="C8143" s="6">
        <v>100.5</v>
      </c>
      <c r="D8143" s="6">
        <v>112.5</v>
      </c>
      <c r="E8143" s="6">
        <v>213</v>
      </c>
      <c r="F8143" s="11"/>
    </row>
    <row r="8144" spans="1:6">
      <c r="A8144" s="5" t="str">
        <f t="shared" si="144"/>
        <v>202332</v>
      </c>
      <c r="B8144" s="5" t="str">
        <f>"23085062408"</f>
        <v>23085062408</v>
      </c>
      <c r="C8144" s="6">
        <v>105</v>
      </c>
      <c r="D8144" s="6">
        <v>108</v>
      </c>
      <c r="E8144" s="6">
        <v>213</v>
      </c>
      <c r="F8144" s="11"/>
    </row>
    <row r="8145" spans="1:6">
      <c r="A8145" s="5" t="str">
        <f t="shared" si="144"/>
        <v>202332</v>
      </c>
      <c r="B8145" s="5" t="str">
        <f>"23085061507"</f>
        <v>23085061507</v>
      </c>
      <c r="C8145" s="6">
        <v>108</v>
      </c>
      <c r="D8145" s="6">
        <v>105</v>
      </c>
      <c r="E8145" s="6">
        <v>213</v>
      </c>
      <c r="F8145" s="11"/>
    </row>
    <row r="8146" spans="1:6">
      <c r="A8146" s="5" t="str">
        <f t="shared" si="144"/>
        <v>202332</v>
      </c>
      <c r="B8146" s="5" t="str">
        <f>"23085062201"</f>
        <v>23085062201</v>
      </c>
      <c r="C8146" s="6">
        <v>99</v>
      </c>
      <c r="D8146" s="6">
        <v>114</v>
      </c>
      <c r="E8146" s="6">
        <v>213</v>
      </c>
      <c r="F8146" s="11"/>
    </row>
    <row r="8147" spans="1:6">
      <c r="A8147" s="5" t="str">
        <f t="shared" si="144"/>
        <v>202332</v>
      </c>
      <c r="B8147" s="5" t="str">
        <f>"23085062416"</f>
        <v>23085062416</v>
      </c>
      <c r="C8147" s="6">
        <v>96</v>
      </c>
      <c r="D8147" s="6">
        <v>117</v>
      </c>
      <c r="E8147" s="6">
        <v>213</v>
      </c>
      <c r="F8147" s="11"/>
    </row>
    <row r="8148" spans="1:6">
      <c r="A8148" s="5" t="str">
        <f t="shared" si="144"/>
        <v>202332</v>
      </c>
      <c r="B8148" s="5" t="str">
        <f>"23085061413"</f>
        <v>23085061413</v>
      </c>
      <c r="C8148" s="6">
        <v>99</v>
      </c>
      <c r="D8148" s="6">
        <v>114</v>
      </c>
      <c r="E8148" s="6">
        <v>213</v>
      </c>
      <c r="F8148" s="11"/>
    </row>
    <row r="8149" spans="1:6">
      <c r="A8149" s="5" t="str">
        <f t="shared" si="144"/>
        <v>202332</v>
      </c>
      <c r="B8149" s="5" t="str">
        <f>"23085062111"</f>
        <v>23085062111</v>
      </c>
      <c r="C8149" s="6">
        <v>94.5</v>
      </c>
      <c r="D8149" s="6">
        <v>118.5</v>
      </c>
      <c r="E8149" s="6">
        <v>213</v>
      </c>
      <c r="F8149" s="11"/>
    </row>
    <row r="8150" spans="1:6">
      <c r="A8150" s="5" t="str">
        <f t="shared" si="144"/>
        <v>202332</v>
      </c>
      <c r="B8150" s="5" t="str">
        <f>"23085061527"</f>
        <v>23085061527</v>
      </c>
      <c r="C8150" s="6">
        <v>108</v>
      </c>
      <c r="D8150" s="6">
        <v>104.5</v>
      </c>
      <c r="E8150" s="6">
        <v>212.5</v>
      </c>
      <c r="F8150" s="11"/>
    </row>
    <row r="8151" spans="1:6">
      <c r="A8151" s="5" t="str">
        <f t="shared" si="144"/>
        <v>202332</v>
      </c>
      <c r="B8151" s="5" t="str">
        <f>"23085063411"</f>
        <v>23085063411</v>
      </c>
      <c r="C8151" s="6">
        <v>97.5</v>
      </c>
      <c r="D8151" s="6">
        <v>115</v>
      </c>
      <c r="E8151" s="6">
        <v>212.5</v>
      </c>
      <c r="F8151" s="11"/>
    </row>
    <row r="8152" spans="1:6">
      <c r="A8152" s="5" t="str">
        <f t="shared" si="144"/>
        <v>202332</v>
      </c>
      <c r="B8152" s="5" t="str">
        <f>"23085063220"</f>
        <v>23085063220</v>
      </c>
      <c r="C8152" s="6">
        <v>106.5</v>
      </c>
      <c r="D8152" s="6">
        <v>106</v>
      </c>
      <c r="E8152" s="6">
        <v>212.5</v>
      </c>
      <c r="F8152" s="11"/>
    </row>
    <row r="8153" spans="1:6">
      <c r="A8153" s="5" t="str">
        <f t="shared" si="144"/>
        <v>202332</v>
      </c>
      <c r="B8153" s="5" t="str">
        <f>"23085063517"</f>
        <v>23085063517</v>
      </c>
      <c r="C8153" s="6">
        <v>100.5</v>
      </c>
      <c r="D8153" s="6">
        <v>112</v>
      </c>
      <c r="E8153" s="6">
        <v>212.5</v>
      </c>
      <c r="F8153" s="11"/>
    </row>
    <row r="8154" spans="1:6">
      <c r="A8154" s="5" t="str">
        <f t="shared" si="144"/>
        <v>202332</v>
      </c>
      <c r="B8154" s="5" t="str">
        <f>"23085062319"</f>
        <v>23085062319</v>
      </c>
      <c r="C8154" s="6">
        <v>91.5</v>
      </c>
      <c r="D8154" s="6">
        <v>121</v>
      </c>
      <c r="E8154" s="6">
        <v>212.5</v>
      </c>
      <c r="F8154" s="11"/>
    </row>
    <row r="8155" spans="1:6">
      <c r="A8155" s="5" t="str">
        <f t="shared" si="144"/>
        <v>202332</v>
      </c>
      <c r="B8155" s="5" t="str">
        <f>"23085063108"</f>
        <v>23085063108</v>
      </c>
      <c r="C8155" s="6">
        <v>106.5</v>
      </c>
      <c r="D8155" s="6">
        <v>106</v>
      </c>
      <c r="E8155" s="6">
        <v>212.5</v>
      </c>
      <c r="F8155" s="11"/>
    </row>
    <row r="8156" spans="1:6">
      <c r="A8156" s="5" t="str">
        <f t="shared" si="144"/>
        <v>202332</v>
      </c>
      <c r="B8156" s="5" t="str">
        <f>"23085063410"</f>
        <v>23085063410</v>
      </c>
      <c r="C8156" s="6">
        <v>94.5</v>
      </c>
      <c r="D8156" s="6">
        <v>118</v>
      </c>
      <c r="E8156" s="6">
        <v>212.5</v>
      </c>
      <c r="F8156" s="11"/>
    </row>
    <row r="8157" spans="1:6">
      <c r="A8157" s="5" t="str">
        <f t="shared" si="144"/>
        <v>202332</v>
      </c>
      <c r="B8157" s="5" t="str">
        <f>"23085062512"</f>
        <v>23085062512</v>
      </c>
      <c r="C8157" s="6">
        <v>97.5</v>
      </c>
      <c r="D8157" s="6">
        <v>115</v>
      </c>
      <c r="E8157" s="6">
        <v>212.5</v>
      </c>
      <c r="F8157" s="11"/>
    </row>
    <row r="8158" spans="1:6">
      <c r="A8158" s="5" t="str">
        <f t="shared" si="144"/>
        <v>202332</v>
      </c>
      <c r="B8158" s="5" t="str">
        <f>"23085063120"</f>
        <v>23085063120</v>
      </c>
      <c r="C8158" s="6">
        <v>99</v>
      </c>
      <c r="D8158" s="6">
        <v>113.5</v>
      </c>
      <c r="E8158" s="6">
        <v>212.5</v>
      </c>
      <c r="F8158" s="11"/>
    </row>
    <row r="8159" spans="1:6">
      <c r="A8159" s="5" t="str">
        <f t="shared" si="144"/>
        <v>202332</v>
      </c>
      <c r="B8159" s="5" t="str">
        <f>"23085063205"</f>
        <v>23085063205</v>
      </c>
      <c r="C8159" s="6">
        <v>109.5</v>
      </c>
      <c r="D8159" s="6">
        <v>102.5</v>
      </c>
      <c r="E8159" s="6">
        <v>212</v>
      </c>
      <c r="F8159" s="11"/>
    </row>
    <row r="8160" spans="1:6">
      <c r="A8160" s="5" t="str">
        <f t="shared" si="144"/>
        <v>202332</v>
      </c>
      <c r="B8160" s="5" t="str">
        <f>"23085061322"</f>
        <v>23085061322</v>
      </c>
      <c r="C8160" s="6">
        <v>97.5</v>
      </c>
      <c r="D8160" s="6">
        <v>114.5</v>
      </c>
      <c r="E8160" s="6">
        <v>212</v>
      </c>
      <c r="F8160" s="11"/>
    </row>
    <row r="8161" spans="1:6">
      <c r="A8161" s="5" t="str">
        <f t="shared" si="144"/>
        <v>202332</v>
      </c>
      <c r="B8161" s="5" t="str">
        <f>"23085062203"</f>
        <v>23085062203</v>
      </c>
      <c r="C8161" s="6">
        <v>100.5</v>
      </c>
      <c r="D8161" s="6">
        <v>111.5</v>
      </c>
      <c r="E8161" s="6">
        <v>212</v>
      </c>
      <c r="F8161" s="11"/>
    </row>
    <row r="8162" spans="1:6">
      <c r="A8162" s="5" t="str">
        <f t="shared" si="144"/>
        <v>202332</v>
      </c>
      <c r="B8162" s="5" t="str">
        <f>"23085061611"</f>
        <v>23085061611</v>
      </c>
      <c r="C8162" s="6">
        <v>97.5</v>
      </c>
      <c r="D8162" s="6">
        <v>114.5</v>
      </c>
      <c r="E8162" s="6">
        <v>212</v>
      </c>
      <c r="F8162" s="11"/>
    </row>
    <row r="8163" spans="1:6">
      <c r="A8163" s="5" t="str">
        <f t="shared" si="144"/>
        <v>202332</v>
      </c>
      <c r="B8163" s="5" t="str">
        <f>"23085063402"</f>
        <v>23085063402</v>
      </c>
      <c r="C8163" s="6">
        <v>102</v>
      </c>
      <c r="D8163" s="6">
        <v>110</v>
      </c>
      <c r="E8163" s="6">
        <v>212</v>
      </c>
      <c r="F8163" s="11"/>
    </row>
    <row r="8164" spans="1:6">
      <c r="A8164" s="5" t="str">
        <f t="shared" si="144"/>
        <v>202332</v>
      </c>
      <c r="B8164" s="5" t="str">
        <f>"23085062022"</f>
        <v>23085062022</v>
      </c>
      <c r="C8164" s="6">
        <v>99</v>
      </c>
      <c r="D8164" s="6">
        <v>113</v>
      </c>
      <c r="E8164" s="6">
        <v>212</v>
      </c>
      <c r="F8164" s="11"/>
    </row>
    <row r="8165" spans="1:6">
      <c r="A8165" s="5" t="str">
        <f t="shared" si="144"/>
        <v>202332</v>
      </c>
      <c r="B8165" s="5" t="str">
        <f>"23085062130"</f>
        <v>23085062130</v>
      </c>
      <c r="C8165" s="6">
        <v>102</v>
      </c>
      <c r="D8165" s="6">
        <v>110</v>
      </c>
      <c r="E8165" s="6">
        <v>212</v>
      </c>
      <c r="F8165" s="11"/>
    </row>
    <row r="8166" spans="1:6">
      <c r="A8166" s="5" t="str">
        <f t="shared" si="144"/>
        <v>202332</v>
      </c>
      <c r="B8166" s="5" t="str">
        <f>"23085061905"</f>
        <v>23085061905</v>
      </c>
      <c r="C8166" s="6">
        <v>109.5</v>
      </c>
      <c r="D8166" s="6">
        <v>102.5</v>
      </c>
      <c r="E8166" s="6">
        <v>212</v>
      </c>
      <c r="F8166" s="11"/>
    </row>
    <row r="8167" spans="1:6">
      <c r="A8167" s="5" t="str">
        <f t="shared" si="144"/>
        <v>202332</v>
      </c>
      <c r="B8167" s="5" t="str">
        <f>"23085061213"</f>
        <v>23085061213</v>
      </c>
      <c r="C8167" s="6">
        <v>100.5</v>
      </c>
      <c r="D8167" s="6">
        <v>111</v>
      </c>
      <c r="E8167" s="6">
        <v>211.5</v>
      </c>
      <c r="F8167" s="11"/>
    </row>
    <row r="8168" spans="1:6">
      <c r="A8168" s="5" t="str">
        <f t="shared" si="144"/>
        <v>202332</v>
      </c>
      <c r="B8168" s="5" t="str">
        <f>"23085062118"</f>
        <v>23085062118</v>
      </c>
      <c r="C8168" s="6">
        <v>96</v>
      </c>
      <c r="D8168" s="6">
        <v>115.5</v>
      </c>
      <c r="E8168" s="6">
        <v>211.5</v>
      </c>
      <c r="F8168" s="11"/>
    </row>
    <row r="8169" spans="1:6">
      <c r="A8169" s="5" t="str">
        <f t="shared" si="144"/>
        <v>202332</v>
      </c>
      <c r="B8169" s="5" t="str">
        <f>"23085063325"</f>
        <v>23085063325</v>
      </c>
      <c r="C8169" s="6">
        <v>100.5</v>
      </c>
      <c r="D8169" s="6">
        <v>111</v>
      </c>
      <c r="E8169" s="6">
        <v>211.5</v>
      </c>
      <c r="F8169" s="11"/>
    </row>
    <row r="8170" spans="1:6">
      <c r="A8170" s="5" t="str">
        <f t="shared" si="144"/>
        <v>202332</v>
      </c>
      <c r="B8170" s="5" t="str">
        <f>"23085061227"</f>
        <v>23085061227</v>
      </c>
      <c r="C8170" s="6">
        <v>99</v>
      </c>
      <c r="D8170" s="6">
        <v>112.5</v>
      </c>
      <c r="E8170" s="6">
        <v>211.5</v>
      </c>
      <c r="F8170" s="11"/>
    </row>
    <row r="8171" spans="1:6">
      <c r="A8171" s="5" t="str">
        <f t="shared" ref="A8171:A8234" si="145">"202332"</f>
        <v>202332</v>
      </c>
      <c r="B8171" s="5" t="str">
        <f>"23085062608"</f>
        <v>23085062608</v>
      </c>
      <c r="C8171" s="6">
        <v>106.5</v>
      </c>
      <c r="D8171" s="6">
        <v>105</v>
      </c>
      <c r="E8171" s="6">
        <v>211.5</v>
      </c>
      <c r="F8171" s="11"/>
    </row>
    <row r="8172" spans="1:6">
      <c r="A8172" s="5" t="str">
        <f t="shared" si="145"/>
        <v>202332</v>
      </c>
      <c r="B8172" s="5" t="str">
        <f>"23085063015"</f>
        <v>23085063015</v>
      </c>
      <c r="C8172" s="6">
        <v>100.5</v>
      </c>
      <c r="D8172" s="6">
        <v>111</v>
      </c>
      <c r="E8172" s="6">
        <v>211.5</v>
      </c>
      <c r="F8172" s="11"/>
    </row>
    <row r="8173" spans="1:6">
      <c r="A8173" s="5" t="str">
        <f t="shared" si="145"/>
        <v>202332</v>
      </c>
      <c r="B8173" s="5" t="str">
        <f>"23085061321"</f>
        <v>23085061321</v>
      </c>
      <c r="C8173" s="6">
        <v>94.5</v>
      </c>
      <c r="D8173" s="6">
        <v>117</v>
      </c>
      <c r="E8173" s="6">
        <v>211.5</v>
      </c>
      <c r="F8173" s="11"/>
    </row>
    <row r="8174" spans="1:6">
      <c r="A8174" s="5" t="str">
        <f t="shared" si="145"/>
        <v>202332</v>
      </c>
      <c r="B8174" s="5" t="str">
        <f>"23085061707"</f>
        <v>23085061707</v>
      </c>
      <c r="C8174" s="6">
        <v>96</v>
      </c>
      <c r="D8174" s="6">
        <v>115</v>
      </c>
      <c r="E8174" s="6">
        <v>211</v>
      </c>
      <c r="F8174" s="11"/>
    </row>
    <row r="8175" spans="1:6">
      <c r="A8175" s="5" t="str">
        <f t="shared" si="145"/>
        <v>202332</v>
      </c>
      <c r="B8175" s="5" t="str">
        <f>"23085061928"</f>
        <v>23085061928</v>
      </c>
      <c r="C8175" s="6">
        <v>100.5</v>
      </c>
      <c r="D8175" s="6">
        <v>110.5</v>
      </c>
      <c r="E8175" s="6">
        <v>211</v>
      </c>
      <c r="F8175" s="11"/>
    </row>
    <row r="8176" spans="1:6">
      <c r="A8176" s="5" t="str">
        <f t="shared" si="145"/>
        <v>202332</v>
      </c>
      <c r="B8176" s="5" t="str">
        <f>"23085062107"</f>
        <v>23085062107</v>
      </c>
      <c r="C8176" s="6">
        <v>106.5</v>
      </c>
      <c r="D8176" s="6">
        <v>104.5</v>
      </c>
      <c r="E8176" s="6">
        <v>211</v>
      </c>
      <c r="F8176" s="11"/>
    </row>
    <row r="8177" spans="1:6">
      <c r="A8177" s="5" t="str">
        <f t="shared" si="145"/>
        <v>202332</v>
      </c>
      <c r="B8177" s="5" t="str">
        <f>"23085062128"</f>
        <v>23085062128</v>
      </c>
      <c r="C8177" s="6">
        <v>100.5</v>
      </c>
      <c r="D8177" s="6">
        <v>110.5</v>
      </c>
      <c r="E8177" s="6">
        <v>211</v>
      </c>
      <c r="F8177" s="11"/>
    </row>
    <row r="8178" spans="1:6">
      <c r="A8178" s="5" t="str">
        <f t="shared" si="145"/>
        <v>202332</v>
      </c>
      <c r="B8178" s="5" t="str">
        <f>"23085062704"</f>
        <v>23085062704</v>
      </c>
      <c r="C8178" s="6">
        <v>93</v>
      </c>
      <c r="D8178" s="6">
        <v>117.5</v>
      </c>
      <c r="E8178" s="6">
        <v>210.5</v>
      </c>
      <c r="F8178" s="11"/>
    </row>
    <row r="8179" spans="1:6">
      <c r="A8179" s="5" t="str">
        <f t="shared" si="145"/>
        <v>202332</v>
      </c>
      <c r="B8179" s="5" t="str">
        <f>"23085063328"</f>
        <v>23085063328</v>
      </c>
      <c r="C8179" s="6">
        <v>102</v>
      </c>
      <c r="D8179" s="6">
        <v>108.5</v>
      </c>
      <c r="E8179" s="6">
        <v>210.5</v>
      </c>
      <c r="F8179" s="11"/>
    </row>
    <row r="8180" spans="1:6">
      <c r="A8180" s="5" t="str">
        <f t="shared" si="145"/>
        <v>202332</v>
      </c>
      <c r="B8180" s="5" t="str">
        <f>"23085061510"</f>
        <v>23085061510</v>
      </c>
      <c r="C8180" s="6">
        <v>96</v>
      </c>
      <c r="D8180" s="6">
        <v>114.5</v>
      </c>
      <c r="E8180" s="6">
        <v>210.5</v>
      </c>
      <c r="F8180" s="11"/>
    </row>
    <row r="8181" spans="1:6">
      <c r="A8181" s="5" t="str">
        <f t="shared" si="145"/>
        <v>202332</v>
      </c>
      <c r="B8181" s="5" t="str">
        <f>"23085062719"</f>
        <v>23085062719</v>
      </c>
      <c r="C8181" s="6">
        <v>96</v>
      </c>
      <c r="D8181" s="6">
        <v>114.5</v>
      </c>
      <c r="E8181" s="6">
        <v>210.5</v>
      </c>
      <c r="F8181" s="11"/>
    </row>
    <row r="8182" spans="1:6">
      <c r="A8182" s="5" t="str">
        <f t="shared" si="145"/>
        <v>202332</v>
      </c>
      <c r="B8182" s="5" t="str">
        <f>"23085061212"</f>
        <v>23085061212</v>
      </c>
      <c r="C8182" s="6">
        <v>103.5</v>
      </c>
      <c r="D8182" s="6">
        <v>107</v>
      </c>
      <c r="E8182" s="6">
        <v>210.5</v>
      </c>
      <c r="F8182" s="11"/>
    </row>
    <row r="8183" spans="1:6">
      <c r="A8183" s="5" t="str">
        <f t="shared" si="145"/>
        <v>202332</v>
      </c>
      <c r="B8183" s="5" t="str">
        <f>"23085062308"</f>
        <v>23085062308</v>
      </c>
      <c r="C8183" s="6">
        <v>102</v>
      </c>
      <c r="D8183" s="6">
        <v>108.5</v>
      </c>
      <c r="E8183" s="6">
        <v>210.5</v>
      </c>
      <c r="F8183" s="11"/>
    </row>
    <row r="8184" spans="1:6">
      <c r="A8184" s="5" t="str">
        <f t="shared" si="145"/>
        <v>202332</v>
      </c>
      <c r="B8184" s="5" t="str">
        <f>"23085062824"</f>
        <v>23085062824</v>
      </c>
      <c r="C8184" s="6">
        <v>90</v>
      </c>
      <c r="D8184" s="6">
        <v>120.5</v>
      </c>
      <c r="E8184" s="6">
        <v>210.5</v>
      </c>
      <c r="F8184" s="11"/>
    </row>
    <row r="8185" spans="1:6">
      <c r="A8185" s="5" t="str">
        <f t="shared" si="145"/>
        <v>202332</v>
      </c>
      <c r="B8185" s="5" t="str">
        <f>"23085061225"</f>
        <v>23085061225</v>
      </c>
      <c r="C8185" s="6">
        <v>100.5</v>
      </c>
      <c r="D8185" s="6">
        <v>109.5</v>
      </c>
      <c r="E8185" s="6">
        <v>210</v>
      </c>
      <c r="F8185" s="11"/>
    </row>
    <row r="8186" spans="1:6">
      <c r="A8186" s="5" t="str">
        <f t="shared" si="145"/>
        <v>202332</v>
      </c>
      <c r="B8186" s="5" t="str">
        <f>"23085063223"</f>
        <v>23085063223</v>
      </c>
      <c r="C8186" s="6">
        <v>100.5</v>
      </c>
      <c r="D8186" s="6">
        <v>109.5</v>
      </c>
      <c r="E8186" s="6">
        <v>210</v>
      </c>
      <c r="F8186" s="11"/>
    </row>
    <row r="8187" spans="1:6">
      <c r="A8187" s="5" t="str">
        <f t="shared" si="145"/>
        <v>202332</v>
      </c>
      <c r="B8187" s="5" t="str">
        <f>"23085061924"</f>
        <v>23085061924</v>
      </c>
      <c r="C8187" s="6">
        <v>93</v>
      </c>
      <c r="D8187" s="6">
        <v>117</v>
      </c>
      <c r="E8187" s="6">
        <v>210</v>
      </c>
      <c r="F8187" s="11"/>
    </row>
    <row r="8188" spans="1:6">
      <c r="A8188" s="5" t="str">
        <f t="shared" si="145"/>
        <v>202332</v>
      </c>
      <c r="B8188" s="5" t="str">
        <f>"23085062013"</f>
        <v>23085062013</v>
      </c>
      <c r="C8188" s="6">
        <v>88.5</v>
      </c>
      <c r="D8188" s="6">
        <v>121.5</v>
      </c>
      <c r="E8188" s="6">
        <v>210</v>
      </c>
      <c r="F8188" s="11"/>
    </row>
    <row r="8189" spans="1:6">
      <c r="A8189" s="5" t="str">
        <f t="shared" si="145"/>
        <v>202332</v>
      </c>
      <c r="B8189" s="5" t="str">
        <f>"23085063027"</f>
        <v>23085063027</v>
      </c>
      <c r="C8189" s="6">
        <v>96</v>
      </c>
      <c r="D8189" s="6">
        <v>114</v>
      </c>
      <c r="E8189" s="6">
        <v>210</v>
      </c>
      <c r="F8189" s="11"/>
    </row>
    <row r="8190" spans="1:6">
      <c r="A8190" s="5" t="str">
        <f t="shared" si="145"/>
        <v>202332</v>
      </c>
      <c r="B8190" s="5" t="str">
        <f>"23085061324"</f>
        <v>23085061324</v>
      </c>
      <c r="C8190" s="6">
        <v>97.5</v>
      </c>
      <c r="D8190" s="6">
        <v>112.5</v>
      </c>
      <c r="E8190" s="6">
        <v>210</v>
      </c>
      <c r="F8190" s="11"/>
    </row>
    <row r="8191" spans="1:6">
      <c r="A8191" s="5" t="str">
        <f t="shared" si="145"/>
        <v>202332</v>
      </c>
      <c r="B8191" s="5" t="str">
        <f>"23085063416"</f>
        <v>23085063416</v>
      </c>
      <c r="C8191" s="6">
        <v>99</v>
      </c>
      <c r="D8191" s="6">
        <v>111</v>
      </c>
      <c r="E8191" s="6">
        <v>210</v>
      </c>
      <c r="F8191" s="11"/>
    </row>
    <row r="8192" spans="1:6">
      <c r="A8192" s="5" t="str">
        <f t="shared" si="145"/>
        <v>202332</v>
      </c>
      <c r="B8192" s="5" t="str">
        <f>"23085062502"</f>
        <v>23085062502</v>
      </c>
      <c r="C8192" s="6">
        <v>93</v>
      </c>
      <c r="D8192" s="6">
        <v>117</v>
      </c>
      <c r="E8192" s="6">
        <v>210</v>
      </c>
      <c r="F8192" s="11"/>
    </row>
    <row r="8193" spans="1:6">
      <c r="A8193" s="5" t="str">
        <f t="shared" si="145"/>
        <v>202332</v>
      </c>
      <c r="B8193" s="5" t="str">
        <f>"23085062802"</f>
        <v>23085062802</v>
      </c>
      <c r="C8193" s="6">
        <v>99</v>
      </c>
      <c r="D8193" s="6">
        <v>111</v>
      </c>
      <c r="E8193" s="6">
        <v>210</v>
      </c>
      <c r="F8193" s="11"/>
    </row>
    <row r="8194" spans="1:6">
      <c r="A8194" s="5" t="str">
        <f t="shared" si="145"/>
        <v>202332</v>
      </c>
      <c r="B8194" s="5" t="str">
        <f>"23085063117"</f>
        <v>23085063117</v>
      </c>
      <c r="C8194" s="6">
        <v>99</v>
      </c>
      <c r="D8194" s="6">
        <v>111</v>
      </c>
      <c r="E8194" s="6">
        <v>210</v>
      </c>
      <c r="F8194" s="11"/>
    </row>
    <row r="8195" spans="1:6">
      <c r="A8195" s="5" t="str">
        <f t="shared" si="145"/>
        <v>202332</v>
      </c>
      <c r="B8195" s="5" t="str">
        <f>"23085063319"</f>
        <v>23085063319</v>
      </c>
      <c r="C8195" s="6">
        <v>87</v>
      </c>
      <c r="D8195" s="6">
        <v>122.5</v>
      </c>
      <c r="E8195" s="6">
        <v>209.5</v>
      </c>
      <c r="F8195" s="11"/>
    </row>
    <row r="8196" spans="1:6">
      <c r="A8196" s="5" t="str">
        <f t="shared" si="145"/>
        <v>202332</v>
      </c>
      <c r="B8196" s="5" t="str">
        <f>"23085062901"</f>
        <v>23085062901</v>
      </c>
      <c r="C8196" s="6">
        <v>85.5</v>
      </c>
      <c r="D8196" s="6">
        <v>124</v>
      </c>
      <c r="E8196" s="6">
        <v>209.5</v>
      </c>
      <c r="F8196" s="11"/>
    </row>
    <row r="8197" spans="1:6">
      <c r="A8197" s="5" t="str">
        <f t="shared" si="145"/>
        <v>202332</v>
      </c>
      <c r="B8197" s="5" t="str">
        <f>"23085062225"</f>
        <v>23085062225</v>
      </c>
      <c r="C8197" s="6">
        <v>93</v>
      </c>
      <c r="D8197" s="6">
        <v>116.5</v>
      </c>
      <c r="E8197" s="6">
        <v>209.5</v>
      </c>
      <c r="F8197" s="11"/>
    </row>
    <row r="8198" spans="1:6">
      <c r="A8198" s="5" t="str">
        <f t="shared" si="145"/>
        <v>202332</v>
      </c>
      <c r="B8198" s="5" t="str">
        <f>"23085061608"</f>
        <v>23085061608</v>
      </c>
      <c r="C8198" s="6">
        <v>94.5</v>
      </c>
      <c r="D8198" s="6">
        <v>115</v>
      </c>
      <c r="E8198" s="6">
        <v>209.5</v>
      </c>
      <c r="F8198" s="11"/>
    </row>
    <row r="8199" spans="1:6">
      <c r="A8199" s="5" t="str">
        <f t="shared" si="145"/>
        <v>202332</v>
      </c>
      <c r="B8199" s="5" t="str">
        <f>"23085061430"</f>
        <v>23085061430</v>
      </c>
      <c r="C8199" s="6">
        <v>99</v>
      </c>
      <c r="D8199" s="6">
        <v>110.5</v>
      </c>
      <c r="E8199" s="6">
        <v>209.5</v>
      </c>
      <c r="F8199" s="11"/>
    </row>
    <row r="8200" spans="1:6">
      <c r="A8200" s="5" t="str">
        <f t="shared" si="145"/>
        <v>202332</v>
      </c>
      <c r="B8200" s="5" t="str">
        <f>"23085061302"</f>
        <v>23085061302</v>
      </c>
      <c r="C8200" s="6">
        <v>96</v>
      </c>
      <c r="D8200" s="6">
        <v>113.5</v>
      </c>
      <c r="E8200" s="6">
        <v>209.5</v>
      </c>
      <c r="F8200" s="11"/>
    </row>
    <row r="8201" spans="1:6">
      <c r="A8201" s="5" t="str">
        <f t="shared" si="145"/>
        <v>202332</v>
      </c>
      <c r="B8201" s="5" t="str">
        <f>"23085063305"</f>
        <v>23085063305</v>
      </c>
      <c r="C8201" s="6">
        <v>100.5</v>
      </c>
      <c r="D8201" s="6">
        <v>109</v>
      </c>
      <c r="E8201" s="6">
        <v>209.5</v>
      </c>
      <c r="F8201" s="11"/>
    </row>
    <row r="8202" spans="1:6">
      <c r="A8202" s="5" t="str">
        <f t="shared" si="145"/>
        <v>202332</v>
      </c>
      <c r="B8202" s="5" t="str">
        <f>"23085062812"</f>
        <v>23085062812</v>
      </c>
      <c r="C8202" s="6">
        <v>94.5</v>
      </c>
      <c r="D8202" s="6">
        <v>115</v>
      </c>
      <c r="E8202" s="6">
        <v>209.5</v>
      </c>
      <c r="F8202" s="11"/>
    </row>
    <row r="8203" spans="1:6">
      <c r="A8203" s="5" t="str">
        <f t="shared" si="145"/>
        <v>202332</v>
      </c>
      <c r="B8203" s="5" t="str">
        <f>"23085061312"</f>
        <v>23085061312</v>
      </c>
      <c r="C8203" s="6">
        <v>112.5</v>
      </c>
      <c r="D8203" s="6">
        <v>96.5</v>
      </c>
      <c r="E8203" s="6">
        <v>209</v>
      </c>
      <c r="F8203" s="11"/>
    </row>
    <row r="8204" spans="1:6">
      <c r="A8204" s="5" t="str">
        <f t="shared" si="145"/>
        <v>202332</v>
      </c>
      <c r="B8204" s="5" t="str">
        <f>"23085063405"</f>
        <v>23085063405</v>
      </c>
      <c r="C8204" s="6">
        <v>118.5</v>
      </c>
      <c r="D8204" s="6">
        <v>90.5</v>
      </c>
      <c r="E8204" s="6">
        <v>209</v>
      </c>
      <c r="F8204" s="11"/>
    </row>
    <row r="8205" spans="1:6">
      <c r="A8205" s="5" t="str">
        <f t="shared" si="145"/>
        <v>202332</v>
      </c>
      <c r="B8205" s="5" t="str">
        <f>"23085061113"</f>
        <v>23085061113</v>
      </c>
      <c r="C8205" s="6">
        <v>91.5</v>
      </c>
      <c r="D8205" s="6">
        <v>117</v>
      </c>
      <c r="E8205" s="6">
        <v>208.5</v>
      </c>
      <c r="F8205" s="11"/>
    </row>
    <row r="8206" spans="1:6">
      <c r="A8206" s="5" t="str">
        <f t="shared" si="145"/>
        <v>202332</v>
      </c>
      <c r="B8206" s="5" t="str">
        <f>"23085062928"</f>
        <v>23085062928</v>
      </c>
      <c r="C8206" s="6">
        <v>96</v>
      </c>
      <c r="D8206" s="6">
        <v>112.5</v>
      </c>
      <c r="E8206" s="6">
        <v>208.5</v>
      </c>
      <c r="F8206" s="11"/>
    </row>
    <row r="8207" spans="1:6">
      <c r="A8207" s="5" t="str">
        <f t="shared" si="145"/>
        <v>202332</v>
      </c>
      <c r="B8207" s="5" t="str">
        <f>"23085062007"</f>
        <v>23085062007</v>
      </c>
      <c r="C8207" s="6">
        <v>97.5</v>
      </c>
      <c r="D8207" s="6">
        <v>111</v>
      </c>
      <c r="E8207" s="6">
        <v>208.5</v>
      </c>
      <c r="F8207" s="11"/>
    </row>
    <row r="8208" spans="1:6">
      <c r="A8208" s="5" t="str">
        <f t="shared" si="145"/>
        <v>202332</v>
      </c>
      <c r="B8208" s="5" t="str">
        <f>"23085062119"</f>
        <v>23085062119</v>
      </c>
      <c r="C8208" s="6">
        <v>96</v>
      </c>
      <c r="D8208" s="6">
        <v>112.5</v>
      </c>
      <c r="E8208" s="6">
        <v>208.5</v>
      </c>
      <c r="F8208" s="11"/>
    </row>
    <row r="8209" spans="1:6">
      <c r="A8209" s="5" t="str">
        <f t="shared" si="145"/>
        <v>202332</v>
      </c>
      <c r="B8209" s="5" t="str">
        <f>"23085062008"</f>
        <v>23085062008</v>
      </c>
      <c r="C8209" s="6">
        <v>97.5</v>
      </c>
      <c r="D8209" s="6">
        <v>110.5</v>
      </c>
      <c r="E8209" s="6">
        <v>208</v>
      </c>
      <c r="F8209" s="11"/>
    </row>
    <row r="8210" spans="1:6">
      <c r="A8210" s="5" t="str">
        <f t="shared" si="145"/>
        <v>202332</v>
      </c>
      <c r="B8210" s="5" t="str">
        <f>"23085061828"</f>
        <v>23085061828</v>
      </c>
      <c r="C8210" s="6">
        <v>96</v>
      </c>
      <c r="D8210" s="6">
        <v>112</v>
      </c>
      <c r="E8210" s="6">
        <v>208</v>
      </c>
      <c r="F8210" s="11"/>
    </row>
    <row r="8211" spans="1:6">
      <c r="A8211" s="5" t="str">
        <f t="shared" si="145"/>
        <v>202332</v>
      </c>
      <c r="B8211" s="5" t="str">
        <f>"23085063427"</f>
        <v>23085063427</v>
      </c>
      <c r="C8211" s="6">
        <v>109.5</v>
      </c>
      <c r="D8211" s="6">
        <v>98.5</v>
      </c>
      <c r="E8211" s="6">
        <v>208</v>
      </c>
      <c r="F8211" s="11"/>
    </row>
    <row r="8212" spans="1:6">
      <c r="A8212" s="5" t="str">
        <f t="shared" si="145"/>
        <v>202332</v>
      </c>
      <c r="B8212" s="5" t="str">
        <f>"23085061719"</f>
        <v>23085061719</v>
      </c>
      <c r="C8212" s="6">
        <v>99</v>
      </c>
      <c r="D8212" s="6">
        <v>109</v>
      </c>
      <c r="E8212" s="6">
        <v>208</v>
      </c>
      <c r="F8212" s="11"/>
    </row>
    <row r="8213" spans="1:6">
      <c r="A8213" s="5" t="str">
        <f t="shared" si="145"/>
        <v>202332</v>
      </c>
      <c r="B8213" s="5" t="str">
        <f>"23085061128"</f>
        <v>23085061128</v>
      </c>
      <c r="C8213" s="6">
        <v>96</v>
      </c>
      <c r="D8213" s="6">
        <v>112</v>
      </c>
      <c r="E8213" s="6">
        <v>208</v>
      </c>
      <c r="F8213" s="11"/>
    </row>
    <row r="8214" spans="1:6">
      <c r="A8214" s="5" t="str">
        <f t="shared" si="145"/>
        <v>202332</v>
      </c>
      <c r="B8214" s="5" t="str">
        <f>"23085062627"</f>
        <v>23085062627</v>
      </c>
      <c r="C8214" s="6">
        <v>100.5</v>
      </c>
      <c r="D8214" s="6">
        <v>107.5</v>
      </c>
      <c r="E8214" s="6">
        <v>208</v>
      </c>
      <c r="F8214" s="11"/>
    </row>
    <row r="8215" spans="1:6">
      <c r="A8215" s="5" t="str">
        <f t="shared" si="145"/>
        <v>202332</v>
      </c>
      <c r="B8215" s="5" t="str">
        <f>"23085061223"</f>
        <v>23085061223</v>
      </c>
      <c r="C8215" s="6">
        <v>99</v>
      </c>
      <c r="D8215" s="6">
        <v>109</v>
      </c>
      <c r="E8215" s="6">
        <v>208</v>
      </c>
      <c r="F8215" s="11"/>
    </row>
    <row r="8216" spans="1:6">
      <c r="A8216" s="5" t="str">
        <f t="shared" si="145"/>
        <v>202332</v>
      </c>
      <c r="B8216" s="5" t="str">
        <f>"23085062129"</f>
        <v>23085062129</v>
      </c>
      <c r="C8216" s="6">
        <v>96</v>
      </c>
      <c r="D8216" s="6">
        <v>112</v>
      </c>
      <c r="E8216" s="6">
        <v>208</v>
      </c>
      <c r="F8216" s="11"/>
    </row>
    <row r="8217" spans="1:6">
      <c r="A8217" s="5" t="str">
        <f t="shared" si="145"/>
        <v>202332</v>
      </c>
      <c r="B8217" s="5" t="str">
        <f>"23085062618"</f>
        <v>23085062618</v>
      </c>
      <c r="C8217" s="6">
        <v>94.5</v>
      </c>
      <c r="D8217" s="6">
        <v>113</v>
      </c>
      <c r="E8217" s="6">
        <v>207.5</v>
      </c>
      <c r="F8217" s="11"/>
    </row>
    <row r="8218" spans="1:6">
      <c r="A8218" s="5" t="str">
        <f t="shared" si="145"/>
        <v>202332</v>
      </c>
      <c r="B8218" s="5" t="str">
        <f>"23085063330"</f>
        <v>23085063330</v>
      </c>
      <c r="C8218" s="6">
        <v>96</v>
      </c>
      <c r="D8218" s="6">
        <v>111.5</v>
      </c>
      <c r="E8218" s="6">
        <v>207.5</v>
      </c>
      <c r="F8218" s="11"/>
    </row>
    <row r="8219" spans="1:6">
      <c r="A8219" s="5" t="str">
        <f t="shared" si="145"/>
        <v>202332</v>
      </c>
      <c r="B8219" s="5" t="str">
        <f>"23085061203"</f>
        <v>23085061203</v>
      </c>
      <c r="C8219" s="6">
        <v>90</v>
      </c>
      <c r="D8219" s="6">
        <v>117.5</v>
      </c>
      <c r="E8219" s="6">
        <v>207.5</v>
      </c>
      <c r="F8219" s="11"/>
    </row>
    <row r="8220" spans="1:6">
      <c r="A8220" s="5" t="str">
        <f t="shared" si="145"/>
        <v>202332</v>
      </c>
      <c r="B8220" s="5" t="str">
        <f>"23085061229"</f>
        <v>23085061229</v>
      </c>
      <c r="C8220" s="6">
        <v>94.5</v>
      </c>
      <c r="D8220" s="6">
        <v>113</v>
      </c>
      <c r="E8220" s="6">
        <v>207.5</v>
      </c>
      <c r="F8220" s="11"/>
    </row>
    <row r="8221" spans="1:6">
      <c r="A8221" s="5" t="str">
        <f t="shared" si="145"/>
        <v>202332</v>
      </c>
      <c r="B8221" s="5" t="str">
        <f>"23085062911"</f>
        <v>23085062911</v>
      </c>
      <c r="C8221" s="6">
        <v>90</v>
      </c>
      <c r="D8221" s="6">
        <v>117</v>
      </c>
      <c r="E8221" s="6">
        <v>207</v>
      </c>
      <c r="F8221" s="11"/>
    </row>
    <row r="8222" spans="1:6">
      <c r="A8222" s="5" t="str">
        <f t="shared" si="145"/>
        <v>202332</v>
      </c>
      <c r="B8222" s="5" t="str">
        <f>"23085062808"</f>
        <v>23085062808</v>
      </c>
      <c r="C8222" s="6">
        <v>97.5</v>
      </c>
      <c r="D8222" s="6">
        <v>109.5</v>
      </c>
      <c r="E8222" s="6">
        <v>207</v>
      </c>
      <c r="F8222" s="11"/>
    </row>
    <row r="8223" spans="1:6">
      <c r="A8223" s="5" t="str">
        <f t="shared" si="145"/>
        <v>202332</v>
      </c>
      <c r="B8223" s="5" t="str">
        <f>"23085063107"</f>
        <v>23085063107</v>
      </c>
      <c r="C8223" s="6">
        <v>99</v>
      </c>
      <c r="D8223" s="6">
        <v>108</v>
      </c>
      <c r="E8223" s="6">
        <v>207</v>
      </c>
      <c r="F8223" s="11"/>
    </row>
    <row r="8224" spans="1:6">
      <c r="A8224" s="5" t="str">
        <f t="shared" si="145"/>
        <v>202332</v>
      </c>
      <c r="B8224" s="5" t="str">
        <f>"23085062321"</f>
        <v>23085062321</v>
      </c>
      <c r="C8224" s="6">
        <v>87</v>
      </c>
      <c r="D8224" s="6">
        <v>120</v>
      </c>
      <c r="E8224" s="6">
        <v>207</v>
      </c>
      <c r="F8224" s="11"/>
    </row>
    <row r="8225" spans="1:6">
      <c r="A8225" s="5" t="str">
        <f t="shared" si="145"/>
        <v>202332</v>
      </c>
      <c r="B8225" s="5" t="str">
        <f>"23085062912"</f>
        <v>23085062912</v>
      </c>
      <c r="C8225" s="6">
        <v>91.5</v>
      </c>
      <c r="D8225" s="6">
        <v>115.5</v>
      </c>
      <c r="E8225" s="6">
        <v>207</v>
      </c>
      <c r="F8225" s="11"/>
    </row>
    <row r="8226" spans="1:6">
      <c r="A8226" s="5" t="str">
        <f t="shared" si="145"/>
        <v>202332</v>
      </c>
      <c r="B8226" s="5" t="str">
        <f>"23085061329"</f>
        <v>23085061329</v>
      </c>
      <c r="C8226" s="6">
        <v>94.5</v>
      </c>
      <c r="D8226" s="6">
        <v>112.5</v>
      </c>
      <c r="E8226" s="6">
        <v>207</v>
      </c>
      <c r="F8226" s="11"/>
    </row>
    <row r="8227" spans="1:6">
      <c r="A8227" s="5" t="str">
        <f t="shared" si="145"/>
        <v>202332</v>
      </c>
      <c r="B8227" s="5" t="str">
        <f>"23085061410"</f>
        <v>23085061410</v>
      </c>
      <c r="C8227" s="6">
        <v>93</v>
      </c>
      <c r="D8227" s="6">
        <v>113.5</v>
      </c>
      <c r="E8227" s="6">
        <v>206.5</v>
      </c>
      <c r="F8227" s="11"/>
    </row>
    <row r="8228" spans="1:6">
      <c r="A8228" s="5" t="str">
        <f t="shared" si="145"/>
        <v>202332</v>
      </c>
      <c r="B8228" s="5" t="str">
        <f>"23085061012"</f>
        <v>23085061012</v>
      </c>
      <c r="C8228" s="6">
        <v>99</v>
      </c>
      <c r="D8228" s="6">
        <v>107.5</v>
      </c>
      <c r="E8228" s="6">
        <v>206.5</v>
      </c>
      <c r="F8228" s="11"/>
    </row>
    <row r="8229" spans="1:6">
      <c r="A8229" s="5" t="str">
        <f t="shared" si="145"/>
        <v>202332</v>
      </c>
      <c r="B8229" s="5" t="str">
        <f>"23085061921"</f>
        <v>23085061921</v>
      </c>
      <c r="C8229" s="6">
        <v>106.5</v>
      </c>
      <c r="D8229" s="6">
        <v>100</v>
      </c>
      <c r="E8229" s="6">
        <v>206.5</v>
      </c>
      <c r="F8229" s="11"/>
    </row>
    <row r="8230" spans="1:6">
      <c r="A8230" s="5" t="str">
        <f t="shared" si="145"/>
        <v>202332</v>
      </c>
      <c r="B8230" s="5" t="str">
        <f>"23085062826"</f>
        <v>23085062826</v>
      </c>
      <c r="C8230" s="6">
        <v>91.5</v>
      </c>
      <c r="D8230" s="6">
        <v>115</v>
      </c>
      <c r="E8230" s="6">
        <v>206.5</v>
      </c>
      <c r="F8230" s="11"/>
    </row>
    <row r="8231" spans="1:6">
      <c r="A8231" s="5" t="str">
        <f t="shared" si="145"/>
        <v>202332</v>
      </c>
      <c r="B8231" s="5" t="str">
        <f>"23085062526"</f>
        <v>23085062526</v>
      </c>
      <c r="C8231" s="6">
        <v>102</v>
      </c>
      <c r="D8231" s="6">
        <v>104.5</v>
      </c>
      <c r="E8231" s="6">
        <v>206.5</v>
      </c>
      <c r="F8231" s="11"/>
    </row>
    <row r="8232" spans="1:6">
      <c r="A8232" s="5" t="str">
        <f t="shared" si="145"/>
        <v>202332</v>
      </c>
      <c r="B8232" s="5" t="str">
        <f>"23085062730"</f>
        <v>23085062730</v>
      </c>
      <c r="C8232" s="6">
        <v>103.5</v>
      </c>
      <c r="D8232" s="6">
        <v>103</v>
      </c>
      <c r="E8232" s="6">
        <v>206.5</v>
      </c>
      <c r="F8232" s="11"/>
    </row>
    <row r="8233" spans="1:6">
      <c r="A8233" s="5" t="str">
        <f t="shared" si="145"/>
        <v>202332</v>
      </c>
      <c r="B8233" s="5" t="str">
        <f>"23085061314"</f>
        <v>23085061314</v>
      </c>
      <c r="C8233" s="6">
        <v>93</v>
      </c>
      <c r="D8233" s="6">
        <v>113.5</v>
      </c>
      <c r="E8233" s="6">
        <v>206.5</v>
      </c>
      <c r="F8233" s="11"/>
    </row>
    <row r="8234" spans="1:6">
      <c r="A8234" s="5" t="str">
        <f t="shared" si="145"/>
        <v>202332</v>
      </c>
      <c r="B8234" s="5" t="str">
        <f>"23085062104"</f>
        <v>23085062104</v>
      </c>
      <c r="C8234" s="6">
        <v>96</v>
      </c>
      <c r="D8234" s="6">
        <v>110.5</v>
      </c>
      <c r="E8234" s="6">
        <v>206.5</v>
      </c>
      <c r="F8234" s="11"/>
    </row>
    <row r="8235" spans="1:6">
      <c r="A8235" s="5" t="str">
        <f t="shared" ref="A8235:A8298" si="146">"202332"</f>
        <v>202332</v>
      </c>
      <c r="B8235" s="5" t="str">
        <f>"23085063014"</f>
        <v>23085063014</v>
      </c>
      <c r="C8235" s="6">
        <v>93</v>
      </c>
      <c r="D8235" s="6">
        <v>113</v>
      </c>
      <c r="E8235" s="6">
        <v>206</v>
      </c>
      <c r="F8235" s="11"/>
    </row>
    <row r="8236" spans="1:6">
      <c r="A8236" s="5" t="str">
        <f t="shared" si="146"/>
        <v>202332</v>
      </c>
      <c r="B8236" s="5" t="str">
        <f>"23085063214"</f>
        <v>23085063214</v>
      </c>
      <c r="C8236" s="6">
        <v>91.5</v>
      </c>
      <c r="D8236" s="6">
        <v>114.5</v>
      </c>
      <c r="E8236" s="6">
        <v>206</v>
      </c>
      <c r="F8236" s="11"/>
    </row>
    <row r="8237" spans="1:6">
      <c r="A8237" s="5" t="str">
        <f t="shared" si="146"/>
        <v>202332</v>
      </c>
      <c r="B8237" s="5" t="str">
        <f>"23085061505"</f>
        <v>23085061505</v>
      </c>
      <c r="C8237" s="6">
        <v>91.5</v>
      </c>
      <c r="D8237" s="6">
        <v>114</v>
      </c>
      <c r="E8237" s="6">
        <v>205.5</v>
      </c>
      <c r="F8237" s="11"/>
    </row>
    <row r="8238" spans="1:6">
      <c r="A8238" s="5" t="str">
        <f t="shared" si="146"/>
        <v>202332</v>
      </c>
      <c r="B8238" s="5" t="str">
        <f>"23085062017"</f>
        <v>23085062017</v>
      </c>
      <c r="C8238" s="6">
        <v>93</v>
      </c>
      <c r="D8238" s="6">
        <v>112.5</v>
      </c>
      <c r="E8238" s="6">
        <v>205.5</v>
      </c>
      <c r="F8238" s="11"/>
    </row>
    <row r="8239" spans="1:6">
      <c r="A8239" s="5" t="str">
        <f t="shared" si="146"/>
        <v>202332</v>
      </c>
      <c r="B8239" s="5" t="str">
        <f>"23085063412"</f>
        <v>23085063412</v>
      </c>
      <c r="C8239" s="6">
        <v>94.5</v>
      </c>
      <c r="D8239" s="6">
        <v>111</v>
      </c>
      <c r="E8239" s="6">
        <v>205.5</v>
      </c>
      <c r="F8239" s="11"/>
    </row>
    <row r="8240" spans="1:6">
      <c r="A8240" s="5" t="str">
        <f t="shared" si="146"/>
        <v>202332</v>
      </c>
      <c r="B8240" s="5" t="str">
        <f>"23085063417"</f>
        <v>23085063417</v>
      </c>
      <c r="C8240" s="6">
        <v>102</v>
      </c>
      <c r="D8240" s="6">
        <v>103.5</v>
      </c>
      <c r="E8240" s="6">
        <v>205.5</v>
      </c>
      <c r="F8240" s="11"/>
    </row>
    <row r="8241" spans="1:6">
      <c r="A8241" s="5" t="str">
        <f t="shared" si="146"/>
        <v>202332</v>
      </c>
      <c r="B8241" s="5" t="str">
        <f>"23085061616"</f>
        <v>23085061616</v>
      </c>
      <c r="C8241" s="6">
        <v>111</v>
      </c>
      <c r="D8241" s="6">
        <v>94.5</v>
      </c>
      <c r="E8241" s="6">
        <v>205.5</v>
      </c>
      <c r="F8241" s="11"/>
    </row>
    <row r="8242" spans="1:6">
      <c r="A8242" s="5" t="str">
        <f t="shared" si="146"/>
        <v>202332</v>
      </c>
      <c r="B8242" s="5" t="str">
        <f>"23085062503"</f>
        <v>23085062503</v>
      </c>
      <c r="C8242" s="6">
        <v>108</v>
      </c>
      <c r="D8242" s="6">
        <v>97</v>
      </c>
      <c r="E8242" s="6">
        <v>205</v>
      </c>
      <c r="F8242" s="11"/>
    </row>
    <row r="8243" spans="1:6">
      <c r="A8243" s="5" t="str">
        <f t="shared" si="146"/>
        <v>202332</v>
      </c>
      <c r="B8243" s="5" t="str">
        <f>"23085063506"</f>
        <v>23085063506</v>
      </c>
      <c r="C8243" s="6">
        <v>93</v>
      </c>
      <c r="D8243" s="6">
        <v>112</v>
      </c>
      <c r="E8243" s="6">
        <v>205</v>
      </c>
      <c r="F8243" s="11"/>
    </row>
    <row r="8244" spans="1:6">
      <c r="A8244" s="5" t="str">
        <f t="shared" si="146"/>
        <v>202332</v>
      </c>
      <c r="B8244" s="5" t="str">
        <f>"23085063114"</f>
        <v>23085063114</v>
      </c>
      <c r="C8244" s="6">
        <v>88.5</v>
      </c>
      <c r="D8244" s="6">
        <v>116.5</v>
      </c>
      <c r="E8244" s="6">
        <v>205</v>
      </c>
      <c r="F8244" s="11"/>
    </row>
    <row r="8245" spans="1:6">
      <c r="A8245" s="5" t="str">
        <f t="shared" si="146"/>
        <v>202332</v>
      </c>
      <c r="B8245" s="5" t="str">
        <f>"23085062229"</f>
        <v>23085062229</v>
      </c>
      <c r="C8245" s="6">
        <v>102</v>
      </c>
      <c r="D8245" s="6">
        <v>103</v>
      </c>
      <c r="E8245" s="6">
        <v>205</v>
      </c>
      <c r="F8245" s="11"/>
    </row>
    <row r="8246" spans="1:6">
      <c r="A8246" s="5" t="str">
        <f t="shared" si="146"/>
        <v>202332</v>
      </c>
      <c r="B8246" s="5" t="str">
        <f>"23085062316"</f>
        <v>23085062316</v>
      </c>
      <c r="C8246" s="6">
        <v>100.5</v>
      </c>
      <c r="D8246" s="6">
        <v>104.5</v>
      </c>
      <c r="E8246" s="6">
        <v>205</v>
      </c>
      <c r="F8246" s="11"/>
    </row>
    <row r="8247" spans="1:6">
      <c r="A8247" s="5" t="str">
        <f t="shared" si="146"/>
        <v>202332</v>
      </c>
      <c r="B8247" s="5" t="str">
        <f>"23085062227"</f>
        <v>23085062227</v>
      </c>
      <c r="C8247" s="6">
        <v>91.5</v>
      </c>
      <c r="D8247" s="6">
        <v>113.5</v>
      </c>
      <c r="E8247" s="6">
        <v>205</v>
      </c>
      <c r="F8247" s="11"/>
    </row>
    <row r="8248" spans="1:6">
      <c r="A8248" s="5" t="str">
        <f t="shared" si="146"/>
        <v>202332</v>
      </c>
      <c r="B8248" s="5" t="str">
        <f>"23085062505"</f>
        <v>23085062505</v>
      </c>
      <c r="C8248" s="6">
        <v>90</v>
      </c>
      <c r="D8248" s="6">
        <v>114.5</v>
      </c>
      <c r="E8248" s="6">
        <v>204.5</v>
      </c>
      <c r="F8248" s="11"/>
    </row>
    <row r="8249" spans="1:6">
      <c r="A8249" s="5" t="str">
        <f t="shared" si="146"/>
        <v>202332</v>
      </c>
      <c r="B8249" s="5" t="str">
        <f>"23085062725"</f>
        <v>23085062725</v>
      </c>
      <c r="C8249" s="6">
        <v>91.5</v>
      </c>
      <c r="D8249" s="6">
        <v>113</v>
      </c>
      <c r="E8249" s="6">
        <v>204.5</v>
      </c>
      <c r="F8249" s="11"/>
    </row>
    <row r="8250" spans="1:6">
      <c r="A8250" s="5" t="str">
        <f t="shared" si="146"/>
        <v>202332</v>
      </c>
      <c r="B8250" s="5" t="str">
        <f>"23085062202"</f>
        <v>23085062202</v>
      </c>
      <c r="C8250" s="6">
        <v>85.5</v>
      </c>
      <c r="D8250" s="6">
        <v>119</v>
      </c>
      <c r="E8250" s="6">
        <v>204.5</v>
      </c>
      <c r="F8250" s="11"/>
    </row>
    <row r="8251" spans="1:6">
      <c r="A8251" s="5" t="str">
        <f t="shared" si="146"/>
        <v>202332</v>
      </c>
      <c r="B8251" s="5" t="str">
        <f>"23085061116"</f>
        <v>23085061116</v>
      </c>
      <c r="C8251" s="6">
        <v>91.5</v>
      </c>
      <c r="D8251" s="6">
        <v>113</v>
      </c>
      <c r="E8251" s="6">
        <v>204.5</v>
      </c>
      <c r="F8251" s="11"/>
    </row>
    <row r="8252" spans="1:6">
      <c r="A8252" s="5" t="str">
        <f t="shared" si="146"/>
        <v>202332</v>
      </c>
      <c r="B8252" s="5" t="str">
        <f>"23085062415"</f>
        <v>23085062415</v>
      </c>
      <c r="C8252" s="6">
        <v>91.5</v>
      </c>
      <c r="D8252" s="6">
        <v>113</v>
      </c>
      <c r="E8252" s="6">
        <v>204.5</v>
      </c>
      <c r="F8252" s="11"/>
    </row>
    <row r="8253" spans="1:6">
      <c r="A8253" s="5" t="str">
        <f t="shared" si="146"/>
        <v>202332</v>
      </c>
      <c r="B8253" s="5" t="str">
        <f>"23085063219"</f>
        <v>23085063219</v>
      </c>
      <c r="C8253" s="6">
        <v>94.5</v>
      </c>
      <c r="D8253" s="6">
        <v>110</v>
      </c>
      <c r="E8253" s="6">
        <v>204.5</v>
      </c>
      <c r="F8253" s="11"/>
    </row>
    <row r="8254" spans="1:6">
      <c r="A8254" s="5" t="str">
        <f t="shared" si="146"/>
        <v>202332</v>
      </c>
      <c r="B8254" s="5" t="str">
        <f>"23085062122"</f>
        <v>23085062122</v>
      </c>
      <c r="C8254" s="6">
        <v>91.5</v>
      </c>
      <c r="D8254" s="6">
        <v>113</v>
      </c>
      <c r="E8254" s="6">
        <v>204.5</v>
      </c>
      <c r="F8254" s="11"/>
    </row>
    <row r="8255" spans="1:6">
      <c r="A8255" s="5" t="str">
        <f t="shared" si="146"/>
        <v>202332</v>
      </c>
      <c r="B8255" s="5" t="str">
        <f>"23085062827"</f>
        <v>23085062827</v>
      </c>
      <c r="C8255" s="6">
        <v>88.5</v>
      </c>
      <c r="D8255" s="6">
        <v>115.5</v>
      </c>
      <c r="E8255" s="6">
        <v>204</v>
      </c>
      <c r="F8255" s="11"/>
    </row>
    <row r="8256" spans="1:6">
      <c r="A8256" s="5" t="str">
        <f t="shared" si="146"/>
        <v>202332</v>
      </c>
      <c r="B8256" s="5" t="str">
        <f>"23085061607"</f>
        <v>23085061607</v>
      </c>
      <c r="C8256" s="6">
        <v>103.5</v>
      </c>
      <c r="D8256" s="6">
        <v>100.5</v>
      </c>
      <c r="E8256" s="6">
        <v>204</v>
      </c>
      <c r="F8256" s="11"/>
    </row>
    <row r="8257" spans="1:6">
      <c r="A8257" s="5" t="str">
        <f t="shared" si="146"/>
        <v>202332</v>
      </c>
      <c r="B8257" s="5" t="str">
        <f>"23085063512"</f>
        <v>23085063512</v>
      </c>
      <c r="C8257" s="6">
        <v>93</v>
      </c>
      <c r="D8257" s="6">
        <v>110.5</v>
      </c>
      <c r="E8257" s="6">
        <v>203.5</v>
      </c>
      <c r="F8257" s="11"/>
    </row>
    <row r="8258" spans="1:6">
      <c r="A8258" s="5" t="str">
        <f t="shared" si="146"/>
        <v>202332</v>
      </c>
      <c r="B8258" s="5" t="str">
        <f>"23085063119"</f>
        <v>23085063119</v>
      </c>
      <c r="C8258" s="6">
        <v>93</v>
      </c>
      <c r="D8258" s="6">
        <v>110.5</v>
      </c>
      <c r="E8258" s="6">
        <v>203.5</v>
      </c>
      <c r="F8258" s="11"/>
    </row>
    <row r="8259" spans="1:6">
      <c r="A8259" s="5" t="str">
        <f t="shared" si="146"/>
        <v>202332</v>
      </c>
      <c r="B8259" s="5" t="str">
        <f>"23085062315"</f>
        <v>23085062315</v>
      </c>
      <c r="C8259" s="6">
        <v>99</v>
      </c>
      <c r="D8259" s="6">
        <v>104.5</v>
      </c>
      <c r="E8259" s="6">
        <v>203.5</v>
      </c>
      <c r="F8259" s="11"/>
    </row>
    <row r="8260" spans="1:6">
      <c r="A8260" s="5" t="str">
        <f t="shared" si="146"/>
        <v>202332</v>
      </c>
      <c r="B8260" s="5" t="str">
        <f>"23085063129"</f>
        <v>23085063129</v>
      </c>
      <c r="C8260" s="6">
        <v>88.5</v>
      </c>
      <c r="D8260" s="6">
        <v>115</v>
      </c>
      <c r="E8260" s="6">
        <v>203.5</v>
      </c>
      <c r="F8260" s="11"/>
    </row>
    <row r="8261" spans="1:6">
      <c r="A8261" s="5" t="str">
        <f t="shared" si="146"/>
        <v>202332</v>
      </c>
      <c r="B8261" s="5" t="str">
        <f>"23085062226"</f>
        <v>23085062226</v>
      </c>
      <c r="C8261" s="6">
        <v>100.5</v>
      </c>
      <c r="D8261" s="6">
        <v>103</v>
      </c>
      <c r="E8261" s="6">
        <v>203.5</v>
      </c>
      <c r="F8261" s="11"/>
    </row>
    <row r="8262" spans="1:6">
      <c r="A8262" s="5" t="str">
        <f t="shared" si="146"/>
        <v>202332</v>
      </c>
      <c r="B8262" s="5" t="str">
        <f>"23085061313"</f>
        <v>23085061313</v>
      </c>
      <c r="C8262" s="6">
        <v>90</v>
      </c>
      <c r="D8262" s="6">
        <v>113.5</v>
      </c>
      <c r="E8262" s="6">
        <v>203.5</v>
      </c>
      <c r="F8262" s="11"/>
    </row>
    <row r="8263" spans="1:6">
      <c r="A8263" s="5" t="str">
        <f t="shared" si="146"/>
        <v>202332</v>
      </c>
      <c r="B8263" s="5" t="str">
        <f>"23085061922"</f>
        <v>23085061922</v>
      </c>
      <c r="C8263" s="6">
        <v>99</v>
      </c>
      <c r="D8263" s="6">
        <v>104.5</v>
      </c>
      <c r="E8263" s="6">
        <v>203.5</v>
      </c>
      <c r="F8263" s="11"/>
    </row>
    <row r="8264" spans="1:6">
      <c r="A8264" s="5" t="str">
        <f t="shared" si="146"/>
        <v>202332</v>
      </c>
      <c r="B8264" s="5" t="str">
        <f>"23085062005"</f>
        <v>23085062005</v>
      </c>
      <c r="C8264" s="6">
        <v>90</v>
      </c>
      <c r="D8264" s="6">
        <v>113</v>
      </c>
      <c r="E8264" s="6">
        <v>203</v>
      </c>
      <c r="F8264" s="11"/>
    </row>
    <row r="8265" spans="1:6">
      <c r="A8265" s="5" t="str">
        <f t="shared" si="146"/>
        <v>202332</v>
      </c>
      <c r="B8265" s="5" t="str">
        <f>"23085062622"</f>
        <v>23085062622</v>
      </c>
      <c r="C8265" s="6">
        <v>94.5</v>
      </c>
      <c r="D8265" s="6">
        <v>108.5</v>
      </c>
      <c r="E8265" s="6">
        <v>203</v>
      </c>
      <c r="F8265" s="11"/>
    </row>
    <row r="8266" spans="1:6">
      <c r="A8266" s="5" t="str">
        <f t="shared" si="146"/>
        <v>202332</v>
      </c>
      <c r="B8266" s="5" t="str">
        <f>"23085061130"</f>
        <v>23085061130</v>
      </c>
      <c r="C8266" s="6">
        <v>91.5</v>
      </c>
      <c r="D8266" s="6">
        <v>111</v>
      </c>
      <c r="E8266" s="6">
        <v>202.5</v>
      </c>
      <c r="F8266" s="11"/>
    </row>
    <row r="8267" spans="1:6">
      <c r="A8267" s="5" t="str">
        <f t="shared" si="146"/>
        <v>202332</v>
      </c>
      <c r="B8267" s="5" t="str">
        <f>"23085061617"</f>
        <v>23085061617</v>
      </c>
      <c r="C8267" s="6">
        <v>91.5</v>
      </c>
      <c r="D8267" s="6">
        <v>110.5</v>
      </c>
      <c r="E8267" s="6">
        <v>202</v>
      </c>
      <c r="F8267" s="11"/>
    </row>
    <row r="8268" spans="1:6">
      <c r="A8268" s="5" t="str">
        <f t="shared" si="146"/>
        <v>202332</v>
      </c>
      <c r="B8268" s="5" t="str">
        <f>"23085062303"</f>
        <v>23085062303</v>
      </c>
      <c r="C8268" s="6">
        <v>91.5</v>
      </c>
      <c r="D8268" s="6">
        <v>110.5</v>
      </c>
      <c r="E8268" s="6">
        <v>202</v>
      </c>
      <c r="F8268" s="11"/>
    </row>
    <row r="8269" spans="1:6">
      <c r="A8269" s="5" t="str">
        <f t="shared" si="146"/>
        <v>202332</v>
      </c>
      <c r="B8269" s="5" t="str">
        <f>"23085062417"</f>
        <v>23085062417</v>
      </c>
      <c r="C8269" s="6">
        <v>97.5</v>
      </c>
      <c r="D8269" s="6">
        <v>104.5</v>
      </c>
      <c r="E8269" s="6">
        <v>202</v>
      </c>
      <c r="F8269" s="11"/>
    </row>
    <row r="8270" spans="1:6">
      <c r="A8270" s="5" t="str">
        <f t="shared" si="146"/>
        <v>202332</v>
      </c>
      <c r="B8270" s="5" t="str">
        <f>"23085063211"</f>
        <v>23085063211</v>
      </c>
      <c r="C8270" s="6">
        <v>87</v>
      </c>
      <c r="D8270" s="6">
        <v>115</v>
      </c>
      <c r="E8270" s="6">
        <v>202</v>
      </c>
      <c r="F8270" s="11"/>
    </row>
    <row r="8271" spans="1:6">
      <c r="A8271" s="5" t="str">
        <f t="shared" si="146"/>
        <v>202332</v>
      </c>
      <c r="B8271" s="5" t="str">
        <f>"23085061009"</f>
        <v>23085061009</v>
      </c>
      <c r="C8271" s="6">
        <v>93</v>
      </c>
      <c r="D8271" s="6">
        <v>108.5</v>
      </c>
      <c r="E8271" s="6">
        <v>201.5</v>
      </c>
      <c r="F8271" s="11"/>
    </row>
    <row r="8272" spans="1:6">
      <c r="A8272" s="5" t="str">
        <f t="shared" si="146"/>
        <v>202332</v>
      </c>
      <c r="B8272" s="5" t="str">
        <f>"23085063520"</f>
        <v>23085063520</v>
      </c>
      <c r="C8272" s="6">
        <v>94.5</v>
      </c>
      <c r="D8272" s="6">
        <v>107</v>
      </c>
      <c r="E8272" s="6">
        <v>201.5</v>
      </c>
      <c r="F8272" s="11"/>
    </row>
    <row r="8273" spans="1:6">
      <c r="A8273" s="5" t="str">
        <f t="shared" si="146"/>
        <v>202332</v>
      </c>
      <c r="B8273" s="5" t="str">
        <f>"23085063115"</f>
        <v>23085063115</v>
      </c>
      <c r="C8273" s="6">
        <v>84</v>
      </c>
      <c r="D8273" s="6">
        <v>117.5</v>
      </c>
      <c r="E8273" s="6">
        <v>201.5</v>
      </c>
      <c r="F8273" s="11"/>
    </row>
    <row r="8274" spans="1:6">
      <c r="A8274" s="5" t="str">
        <f t="shared" si="146"/>
        <v>202332</v>
      </c>
      <c r="B8274" s="5" t="str">
        <f>"23085062429"</f>
        <v>23085062429</v>
      </c>
      <c r="C8274" s="6">
        <v>87</v>
      </c>
      <c r="D8274" s="6">
        <v>114.5</v>
      </c>
      <c r="E8274" s="6">
        <v>201.5</v>
      </c>
      <c r="F8274" s="11"/>
    </row>
    <row r="8275" spans="1:6">
      <c r="A8275" s="5" t="str">
        <f t="shared" si="146"/>
        <v>202332</v>
      </c>
      <c r="B8275" s="5" t="str">
        <f>"23085062307"</f>
        <v>23085062307</v>
      </c>
      <c r="C8275" s="6">
        <v>84</v>
      </c>
      <c r="D8275" s="6">
        <v>117.5</v>
      </c>
      <c r="E8275" s="6">
        <v>201.5</v>
      </c>
      <c r="F8275" s="11"/>
    </row>
    <row r="8276" spans="1:6">
      <c r="A8276" s="5" t="str">
        <f t="shared" si="146"/>
        <v>202332</v>
      </c>
      <c r="B8276" s="5" t="str">
        <f>"23085061008"</f>
        <v>23085061008</v>
      </c>
      <c r="C8276" s="6">
        <v>94.5</v>
      </c>
      <c r="D8276" s="6">
        <v>107</v>
      </c>
      <c r="E8276" s="6">
        <v>201.5</v>
      </c>
      <c r="F8276" s="11"/>
    </row>
    <row r="8277" spans="1:6">
      <c r="A8277" s="5" t="str">
        <f t="shared" si="146"/>
        <v>202332</v>
      </c>
      <c r="B8277" s="5" t="str">
        <f>"23085061214"</f>
        <v>23085061214</v>
      </c>
      <c r="C8277" s="6">
        <v>96</v>
      </c>
      <c r="D8277" s="6">
        <v>105.5</v>
      </c>
      <c r="E8277" s="6">
        <v>201.5</v>
      </c>
      <c r="F8277" s="11"/>
    </row>
    <row r="8278" spans="1:6">
      <c r="A8278" s="5" t="str">
        <f t="shared" si="146"/>
        <v>202332</v>
      </c>
      <c r="B8278" s="5" t="str">
        <f>"23085062801"</f>
        <v>23085062801</v>
      </c>
      <c r="C8278" s="6">
        <v>93</v>
      </c>
      <c r="D8278" s="6">
        <v>108</v>
      </c>
      <c r="E8278" s="6">
        <v>201</v>
      </c>
      <c r="F8278" s="11"/>
    </row>
    <row r="8279" spans="1:6">
      <c r="A8279" s="5" t="str">
        <f t="shared" si="146"/>
        <v>202332</v>
      </c>
      <c r="B8279" s="5" t="str">
        <f>"23085062506"</f>
        <v>23085062506</v>
      </c>
      <c r="C8279" s="6">
        <v>102</v>
      </c>
      <c r="D8279" s="6">
        <v>99</v>
      </c>
      <c r="E8279" s="6">
        <v>201</v>
      </c>
      <c r="F8279" s="11"/>
    </row>
    <row r="8280" spans="1:6">
      <c r="A8280" s="5" t="str">
        <f t="shared" si="146"/>
        <v>202332</v>
      </c>
      <c r="B8280" s="5" t="str">
        <f>"23085062217"</f>
        <v>23085062217</v>
      </c>
      <c r="C8280" s="6">
        <v>85.5</v>
      </c>
      <c r="D8280" s="6">
        <v>115.5</v>
      </c>
      <c r="E8280" s="6">
        <v>201</v>
      </c>
      <c r="F8280" s="11"/>
    </row>
    <row r="8281" spans="1:6">
      <c r="A8281" s="5" t="str">
        <f t="shared" si="146"/>
        <v>202332</v>
      </c>
      <c r="B8281" s="5" t="str">
        <f>"23085061906"</f>
        <v>23085061906</v>
      </c>
      <c r="C8281" s="6">
        <v>96</v>
      </c>
      <c r="D8281" s="6">
        <v>105</v>
      </c>
      <c r="E8281" s="6">
        <v>201</v>
      </c>
      <c r="F8281" s="11"/>
    </row>
    <row r="8282" spans="1:6">
      <c r="A8282" s="5" t="str">
        <f t="shared" si="146"/>
        <v>202332</v>
      </c>
      <c r="B8282" s="5" t="str">
        <f>"23085063012"</f>
        <v>23085063012</v>
      </c>
      <c r="C8282" s="6">
        <v>90</v>
      </c>
      <c r="D8282" s="6">
        <v>111</v>
      </c>
      <c r="E8282" s="6">
        <v>201</v>
      </c>
      <c r="F8282" s="11"/>
    </row>
    <row r="8283" spans="1:6">
      <c r="A8283" s="5" t="str">
        <f t="shared" si="146"/>
        <v>202332</v>
      </c>
      <c r="B8283" s="5" t="str">
        <f>"23085062320"</f>
        <v>23085062320</v>
      </c>
      <c r="C8283" s="6">
        <v>96</v>
      </c>
      <c r="D8283" s="6">
        <v>105</v>
      </c>
      <c r="E8283" s="6">
        <v>201</v>
      </c>
      <c r="F8283" s="11"/>
    </row>
    <row r="8284" spans="1:6">
      <c r="A8284" s="5" t="str">
        <f t="shared" si="146"/>
        <v>202332</v>
      </c>
      <c r="B8284" s="5" t="str">
        <f>"23085061326"</f>
        <v>23085061326</v>
      </c>
      <c r="C8284" s="6">
        <v>85.5</v>
      </c>
      <c r="D8284" s="6">
        <v>115</v>
      </c>
      <c r="E8284" s="6">
        <v>200.5</v>
      </c>
      <c r="F8284" s="11"/>
    </row>
    <row r="8285" spans="1:6">
      <c r="A8285" s="5" t="str">
        <f t="shared" si="146"/>
        <v>202332</v>
      </c>
      <c r="B8285" s="5" t="str">
        <f>"23085062012"</f>
        <v>23085062012</v>
      </c>
      <c r="C8285" s="6">
        <v>97.5</v>
      </c>
      <c r="D8285" s="6">
        <v>103</v>
      </c>
      <c r="E8285" s="6">
        <v>200.5</v>
      </c>
      <c r="F8285" s="11"/>
    </row>
    <row r="8286" spans="1:6">
      <c r="A8286" s="5" t="str">
        <f t="shared" si="146"/>
        <v>202332</v>
      </c>
      <c r="B8286" s="5" t="str">
        <f>"23085062330"</f>
        <v>23085062330</v>
      </c>
      <c r="C8286" s="6">
        <v>93</v>
      </c>
      <c r="D8286" s="6">
        <v>107.5</v>
      </c>
      <c r="E8286" s="6">
        <v>200.5</v>
      </c>
      <c r="F8286" s="11"/>
    </row>
    <row r="8287" spans="1:6">
      <c r="A8287" s="5" t="str">
        <f t="shared" si="146"/>
        <v>202332</v>
      </c>
      <c r="B8287" s="5" t="str">
        <f>"23085063315"</f>
        <v>23085063315</v>
      </c>
      <c r="C8287" s="6">
        <v>91.5</v>
      </c>
      <c r="D8287" s="6">
        <v>109</v>
      </c>
      <c r="E8287" s="6">
        <v>200.5</v>
      </c>
      <c r="F8287" s="11"/>
    </row>
    <row r="8288" spans="1:6">
      <c r="A8288" s="5" t="str">
        <f t="shared" si="146"/>
        <v>202332</v>
      </c>
      <c r="B8288" s="5" t="str">
        <f>"23085062027"</f>
        <v>23085062027</v>
      </c>
      <c r="C8288" s="6">
        <v>88.5</v>
      </c>
      <c r="D8288" s="6">
        <v>112</v>
      </c>
      <c r="E8288" s="6">
        <v>200.5</v>
      </c>
      <c r="F8288" s="11"/>
    </row>
    <row r="8289" spans="1:6">
      <c r="A8289" s="5" t="str">
        <f t="shared" si="146"/>
        <v>202332</v>
      </c>
      <c r="B8289" s="5" t="str">
        <f>"23085061201"</f>
        <v>23085061201</v>
      </c>
      <c r="C8289" s="6">
        <v>96</v>
      </c>
      <c r="D8289" s="6">
        <v>104.5</v>
      </c>
      <c r="E8289" s="6">
        <v>200.5</v>
      </c>
      <c r="F8289" s="11"/>
    </row>
    <row r="8290" spans="1:6">
      <c r="A8290" s="5" t="str">
        <f t="shared" si="146"/>
        <v>202332</v>
      </c>
      <c r="B8290" s="5" t="str">
        <f>"23085061930"</f>
        <v>23085061930</v>
      </c>
      <c r="C8290" s="6">
        <v>88.5</v>
      </c>
      <c r="D8290" s="6">
        <v>112</v>
      </c>
      <c r="E8290" s="6">
        <v>200.5</v>
      </c>
      <c r="F8290" s="11"/>
    </row>
    <row r="8291" spans="1:6">
      <c r="A8291" s="5" t="str">
        <f t="shared" si="146"/>
        <v>202332</v>
      </c>
      <c r="B8291" s="5" t="str">
        <f>"23085063215"</f>
        <v>23085063215</v>
      </c>
      <c r="C8291" s="6">
        <v>106.5</v>
      </c>
      <c r="D8291" s="6">
        <v>94</v>
      </c>
      <c r="E8291" s="6">
        <v>200.5</v>
      </c>
      <c r="F8291" s="11"/>
    </row>
    <row r="8292" spans="1:6">
      <c r="A8292" s="5" t="str">
        <f t="shared" si="146"/>
        <v>202332</v>
      </c>
      <c r="B8292" s="5" t="str">
        <f>"23085062223"</f>
        <v>23085062223</v>
      </c>
      <c r="C8292" s="6">
        <v>93</v>
      </c>
      <c r="D8292" s="6">
        <v>107</v>
      </c>
      <c r="E8292" s="6">
        <v>200</v>
      </c>
      <c r="F8292" s="11"/>
    </row>
    <row r="8293" spans="1:6">
      <c r="A8293" s="5" t="str">
        <f t="shared" si="146"/>
        <v>202332</v>
      </c>
      <c r="B8293" s="5" t="str">
        <f>"23085062424"</f>
        <v>23085062424</v>
      </c>
      <c r="C8293" s="6">
        <v>94.5</v>
      </c>
      <c r="D8293" s="6">
        <v>105.5</v>
      </c>
      <c r="E8293" s="6">
        <v>200</v>
      </c>
      <c r="F8293" s="11"/>
    </row>
    <row r="8294" spans="1:6">
      <c r="A8294" s="5" t="str">
        <f t="shared" si="146"/>
        <v>202332</v>
      </c>
      <c r="B8294" s="5" t="str">
        <f>"23085062228"</f>
        <v>23085062228</v>
      </c>
      <c r="C8294" s="6">
        <v>90</v>
      </c>
      <c r="D8294" s="6">
        <v>110</v>
      </c>
      <c r="E8294" s="6">
        <v>200</v>
      </c>
      <c r="F8294" s="11"/>
    </row>
    <row r="8295" spans="1:6">
      <c r="A8295" s="5" t="str">
        <f t="shared" si="146"/>
        <v>202332</v>
      </c>
      <c r="B8295" s="5" t="str">
        <f>"23085061810"</f>
        <v>23085061810</v>
      </c>
      <c r="C8295" s="6">
        <v>91.5</v>
      </c>
      <c r="D8295" s="6">
        <v>108.5</v>
      </c>
      <c r="E8295" s="6">
        <v>200</v>
      </c>
      <c r="F8295" s="11"/>
    </row>
    <row r="8296" spans="1:6">
      <c r="A8296" s="5" t="str">
        <f t="shared" si="146"/>
        <v>202332</v>
      </c>
      <c r="B8296" s="5" t="str">
        <f>"23085062216"</f>
        <v>23085062216</v>
      </c>
      <c r="C8296" s="6">
        <v>88.5</v>
      </c>
      <c r="D8296" s="6">
        <v>111.5</v>
      </c>
      <c r="E8296" s="6">
        <v>200</v>
      </c>
      <c r="F8296" s="11"/>
    </row>
    <row r="8297" spans="1:6">
      <c r="A8297" s="5" t="str">
        <f t="shared" si="146"/>
        <v>202332</v>
      </c>
      <c r="B8297" s="5" t="str">
        <f>"23085063024"</f>
        <v>23085063024</v>
      </c>
      <c r="C8297" s="6">
        <v>85.5</v>
      </c>
      <c r="D8297" s="6">
        <v>114</v>
      </c>
      <c r="E8297" s="6">
        <v>199.5</v>
      </c>
      <c r="F8297" s="11"/>
    </row>
    <row r="8298" spans="1:6">
      <c r="A8298" s="5" t="str">
        <f t="shared" si="146"/>
        <v>202332</v>
      </c>
      <c r="B8298" s="5" t="str">
        <f>"23085062922"</f>
        <v>23085062922</v>
      </c>
      <c r="C8298" s="6">
        <v>91.5</v>
      </c>
      <c r="D8298" s="6">
        <v>107.5</v>
      </c>
      <c r="E8298" s="6">
        <v>199</v>
      </c>
      <c r="F8298" s="11"/>
    </row>
    <row r="8299" spans="1:6">
      <c r="A8299" s="5" t="str">
        <f t="shared" ref="A8299:A8362" si="147">"202332"</f>
        <v>202332</v>
      </c>
      <c r="B8299" s="5" t="str">
        <f>"23085061125"</f>
        <v>23085061125</v>
      </c>
      <c r="C8299" s="6">
        <v>90</v>
      </c>
      <c r="D8299" s="6">
        <v>109</v>
      </c>
      <c r="E8299" s="6">
        <v>199</v>
      </c>
      <c r="F8299" s="11"/>
    </row>
    <row r="8300" spans="1:6">
      <c r="A8300" s="5" t="str">
        <f t="shared" si="147"/>
        <v>202332</v>
      </c>
      <c r="B8300" s="5" t="str">
        <f>"23085063404"</f>
        <v>23085063404</v>
      </c>
      <c r="C8300" s="6">
        <v>99</v>
      </c>
      <c r="D8300" s="6">
        <v>100</v>
      </c>
      <c r="E8300" s="6">
        <v>199</v>
      </c>
      <c r="F8300" s="11"/>
    </row>
    <row r="8301" spans="1:6">
      <c r="A8301" s="5" t="str">
        <f t="shared" si="147"/>
        <v>202332</v>
      </c>
      <c r="B8301" s="5" t="str">
        <f>"23085063322"</f>
        <v>23085063322</v>
      </c>
      <c r="C8301" s="6">
        <v>87</v>
      </c>
      <c r="D8301" s="6">
        <v>112</v>
      </c>
      <c r="E8301" s="6">
        <v>199</v>
      </c>
      <c r="F8301" s="11"/>
    </row>
    <row r="8302" spans="1:6">
      <c r="A8302" s="5" t="str">
        <f t="shared" si="147"/>
        <v>202332</v>
      </c>
      <c r="B8302" s="5" t="str">
        <f>"23085061422"</f>
        <v>23085061422</v>
      </c>
      <c r="C8302" s="6">
        <v>91.5</v>
      </c>
      <c r="D8302" s="6">
        <v>107.5</v>
      </c>
      <c r="E8302" s="6">
        <v>199</v>
      </c>
      <c r="F8302" s="11"/>
    </row>
    <row r="8303" spans="1:6">
      <c r="A8303" s="5" t="str">
        <f t="shared" si="147"/>
        <v>202332</v>
      </c>
      <c r="B8303" s="5" t="str">
        <f>"23085063406"</f>
        <v>23085063406</v>
      </c>
      <c r="C8303" s="6">
        <v>84</v>
      </c>
      <c r="D8303" s="6">
        <v>115</v>
      </c>
      <c r="E8303" s="6">
        <v>199</v>
      </c>
      <c r="F8303" s="11"/>
    </row>
    <row r="8304" spans="1:6">
      <c r="A8304" s="5" t="str">
        <f t="shared" si="147"/>
        <v>202332</v>
      </c>
      <c r="B8304" s="5" t="str">
        <f>"23085062501"</f>
        <v>23085062501</v>
      </c>
      <c r="C8304" s="6">
        <v>87</v>
      </c>
      <c r="D8304" s="6">
        <v>112</v>
      </c>
      <c r="E8304" s="6">
        <v>199</v>
      </c>
      <c r="F8304" s="11"/>
    </row>
    <row r="8305" spans="1:6">
      <c r="A8305" s="5" t="str">
        <f t="shared" si="147"/>
        <v>202332</v>
      </c>
      <c r="B8305" s="5" t="str">
        <f>"23085062205"</f>
        <v>23085062205</v>
      </c>
      <c r="C8305" s="6">
        <v>99</v>
      </c>
      <c r="D8305" s="6">
        <v>100</v>
      </c>
      <c r="E8305" s="6">
        <v>199</v>
      </c>
      <c r="F8305" s="11"/>
    </row>
    <row r="8306" spans="1:6">
      <c r="A8306" s="5" t="str">
        <f t="shared" si="147"/>
        <v>202332</v>
      </c>
      <c r="B8306" s="5" t="str">
        <f>"23085061414"</f>
        <v>23085061414</v>
      </c>
      <c r="C8306" s="6">
        <v>91.5</v>
      </c>
      <c r="D8306" s="6">
        <v>107.5</v>
      </c>
      <c r="E8306" s="6">
        <v>199</v>
      </c>
      <c r="F8306" s="11"/>
    </row>
    <row r="8307" spans="1:6">
      <c r="A8307" s="5" t="str">
        <f t="shared" si="147"/>
        <v>202332</v>
      </c>
      <c r="B8307" s="5" t="str">
        <f>"23085061411"</f>
        <v>23085061411</v>
      </c>
      <c r="C8307" s="6">
        <v>91.5</v>
      </c>
      <c r="D8307" s="6">
        <v>107.5</v>
      </c>
      <c r="E8307" s="6">
        <v>199</v>
      </c>
      <c r="F8307" s="11"/>
    </row>
    <row r="8308" spans="1:6">
      <c r="A8308" s="5" t="str">
        <f t="shared" si="147"/>
        <v>202332</v>
      </c>
      <c r="B8308" s="5" t="str">
        <f>"23085062614"</f>
        <v>23085062614</v>
      </c>
      <c r="C8308" s="6">
        <v>94.5</v>
      </c>
      <c r="D8308" s="6">
        <v>104.5</v>
      </c>
      <c r="E8308" s="6">
        <v>199</v>
      </c>
      <c r="F8308" s="11"/>
    </row>
    <row r="8309" spans="1:6">
      <c r="A8309" s="5" t="str">
        <f t="shared" si="147"/>
        <v>202332</v>
      </c>
      <c r="B8309" s="5" t="str">
        <f>"23085061511"</f>
        <v>23085061511</v>
      </c>
      <c r="C8309" s="6">
        <v>91.5</v>
      </c>
      <c r="D8309" s="6">
        <v>107.5</v>
      </c>
      <c r="E8309" s="6">
        <v>199</v>
      </c>
      <c r="F8309" s="11"/>
    </row>
    <row r="8310" spans="1:6">
      <c r="A8310" s="5" t="str">
        <f t="shared" si="147"/>
        <v>202332</v>
      </c>
      <c r="B8310" s="5" t="str">
        <f>"23085061216"</f>
        <v>23085061216</v>
      </c>
      <c r="C8310" s="6">
        <v>87</v>
      </c>
      <c r="D8310" s="6">
        <v>111.5</v>
      </c>
      <c r="E8310" s="6">
        <v>198.5</v>
      </c>
      <c r="F8310" s="11"/>
    </row>
    <row r="8311" spans="1:6">
      <c r="A8311" s="5" t="str">
        <f t="shared" si="147"/>
        <v>202332</v>
      </c>
      <c r="B8311" s="5" t="str">
        <f>"23085061307"</f>
        <v>23085061307</v>
      </c>
      <c r="C8311" s="6">
        <v>85.5</v>
      </c>
      <c r="D8311" s="6">
        <v>113</v>
      </c>
      <c r="E8311" s="6">
        <v>198.5</v>
      </c>
      <c r="F8311" s="11"/>
    </row>
    <row r="8312" spans="1:6">
      <c r="A8312" s="5" t="str">
        <f t="shared" si="147"/>
        <v>202332</v>
      </c>
      <c r="B8312" s="5" t="str">
        <f>"23085063026"</f>
        <v>23085063026</v>
      </c>
      <c r="C8312" s="6">
        <v>91.5</v>
      </c>
      <c r="D8312" s="6">
        <v>107</v>
      </c>
      <c r="E8312" s="6">
        <v>198.5</v>
      </c>
      <c r="F8312" s="11"/>
    </row>
    <row r="8313" spans="1:6">
      <c r="A8313" s="5" t="str">
        <f t="shared" si="147"/>
        <v>202332</v>
      </c>
      <c r="B8313" s="5" t="str">
        <f>"23085060930"</f>
        <v>23085060930</v>
      </c>
      <c r="C8313" s="6">
        <v>96</v>
      </c>
      <c r="D8313" s="6">
        <v>102.5</v>
      </c>
      <c r="E8313" s="6">
        <v>198.5</v>
      </c>
      <c r="F8313" s="11"/>
    </row>
    <row r="8314" spans="1:6">
      <c r="A8314" s="5" t="str">
        <f t="shared" si="147"/>
        <v>202332</v>
      </c>
      <c r="B8314" s="5" t="str">
        <f>"23085061208"</f>
        <v>23085061208</v>
      </c>
      <c r="C8314" s="6">
        <v>88.5</v>
      </c>
      <c r="D8314" s="6">
        <v>109.5</v>
      </c>
      <c r="E8314" s="6">
        <v>198</v>
      </c>
      <c r="F8314" s="11"/>
    </row>
    <row r="8315" spans="1:6">
      <c r="A8315" s="5" t="str">
        <f t="shared" si="147"/>
        <v>202332</v>
      </c>
      <c r="B8315" s="5" t="str">
        <f>"23085063429"</f>
        <v>23085063429</v>
      </c>
      <c r="C8315" s="6">
        <v>87</v>
      </c>
      <c r="D8315" s="6">
        <v>111</v>
      </c>
      <c r="E8315" s="6">
        <v>198</v>
      </c>
      <c r="F8315" s="11"/>
    </row>
    <row r="8316" spans="1:6">
      <c r="A8316" s="5" t="str">
        <f t="shared" si="147"/>
        <v>202332</v>
      </c>
      <c r="B8316" s="5" t="str">
        <f>"23085061021"</f>
        <v>23085061021</v>
      </c>
      <c r="C8316" s="6">
        <v>90</v>
      </c>
      <c r="D8316" s="6">
        <v>108</v>
      </c>
      <c r="E8316" s="6">
        <v>198</v>
      </c>
      <c r="F8316" s="11"/>
    </row>
    <row r="8317" spans="1:6">
      <c r="A8317" s="5" t="str">
        <f t="shared" si="147"/>
        <v>202332</v>
      </c>
      <c r="B8317" s="5" t="str">
        <f>"23085061308"</f>
        <v>23085061308</v>
      </c>
      <c r="C8317" s="6">
        <v>81</v>
      </c>
      <c r="D8317" s="6">
        <v>117</v>
      </c>
      <c r="E8317" s="6">
        <v>198</v>
      </c>
      <c r="F8317" s="11"/>
    </row>
    <row r="8318" spans="1:6">
      <c r="A8318" s="5" t="str">
        <f t="shared" si="147"/>
        <v>202332</v>
      </c>
      <c r="B8318" s="5" t="str">
        <f>"23085062717"</f>
        <v>23085062717</v>
      </c>
      <c r="C8318" s="6">
        <v>91.5</v>
      </c>
      <c r="D8318" s="6">
        <v>106</v>
      </c>
      <c r="E8318" s="6">
        <v>197.5</v>
      </c>
      <c r="F8318" s="11"/>
    </row>
    <row r="8319" spans="1:6">
      <c r="A8319" s="5" t="str">
        <f t="shared" si="147"/>
        <v>202332</v>
      </c>
      <c r="B8319" s="5" t="str">
        <f>"23085061820"</f>
        <v>23085061820</v>
      </c>
      <c r="C8319" s="6">
        <v>88.5</v>
      </c>
      <c r="D8319" s="6">
        <v>109</v>
      </c>
      <c r="E8319" s="6">
        <v>197.5</v>
      </c>
      <c r="F8319" s="11"/>
    </row>
    <row r="8320" spans="1:6">
      <c r="A8320" s="5" t="str">
        <f t="shared" si="147"/>
        <v>202332</v>
      </c>
      <c r="B8320" s="5" t="str">
        <f>"23085061217"</f>
        <v>23085061217</v>
      </c>
      <c r="C8320" s="6">
        <v>93</v>
      </c>
      <c r="D8320" s="6">
        <v>104.5</v>
      </c>
      <c r="E8320" s="6">
        <v>197.5</v>
      </c>
      <c r="F8320" s="11"/>
    </row>
    <row r="8321" spans="1:6">
      <c r="A8321" s="5" t="str">
        <f t="shared" si="147"/>
        <v>202332</v>
      </c>
      <c r="B8321" s="5" t="str">
        <f>"23085062009"</f>
        <v>23085062009</v>
      </c>
      <c r="C8321" s="6">
        <v>79.5</v>
      </c>
      <c r="D8321" s="6">
        <v>118</v>
      </c>
      <c r="E8321" s="6">
        <v>197.5</v>
      </c>
      <c r="F8321" s="11"/>
    </row>
    <row r="8322" spans="1:6">
      <c r="A8322" s="5" t="str">
        <f t="shared" si="147"/>
        <v>202332</v>
      </c>
      <c r="B8322" s="5" t="str">
        <f>"23085061014"</f>
        <v>23085061014</v>
      </c>
      <c r="C8322" s="6">
        <v>90</v>
      </c>
      <c r="D8322" s="6">
        <v>107.5</v>
      </c>
      <c r="E8322" s="6">
        <v>197.5</v>
      </c>
      <c r="F8322" s="11"/>
    </row>
    <row r="8323" spans="1:6">
      <c r="A8323" s="5" t="str">
        <f t="shared" si="147"/>
        <v>202332</v>
      </c>
      <c r="B8323" s="5" t="str">
        <f>"23085061502"</f>
        <v>23085061502</v>
      </c>
      <c r="C8323" s="6">
        <v>87</v>
      </c>
      <c r="D8323" s="6">
        <v>110.5</v>
      </c>
      <c r="E8323" s="6">
        <v>197.5</v>
      </c>
      <c r="F8323" s="11"/>
    </row>
    <row r="8324" spans="1:6">
      <c r="A8324" s="5" t="str">
        <f t="shared" si="147"/>
        <v>202332</v>
      </c>
      <c r="B8324" s="5" t="str">
        <f>"23085061418"</f>
        <v>23085061418</v>
      </c>
      <c r="C8324" s="6">
        <v>90</v>
      </c>
      <c r="D8324" s="6">
        <v>107</v>
      </c>
      <c r="E8324" s="6">
        <v>197</v>
      </c>
      <c r="F8324" s="11"/>
    </row>
    <row r="8325" spans="1:6">
      <c r="A8325" s="5" t="str">
        <f t="shared" si="147"/>
        <v>202332</v>
      </c>
      <c r="B8325" s="5" t="str">
        <f>"23085063318"</f>
        <v>23085063318</v>
      </c>
      <c r="C8325" s="6">
        <v>82.5</v>
      </c>
      <c r="D8325" s="6">
        <v>114.5</v>
      </c>
      <c r="E8325" s="6">
        <v>197</v>
      </c>
      <c r="F8325" s="11"/>
    </row>
    <row r="8326" spans="1:6">
      <c r="A8326" s="5" t="str">
        <f t="shared" si="147"/>
        <v>202332</v>
      </c>
      <c r="B8326" s="5" t="str">
        <f>"23085061624"</f>
        <v>23085061624</v>
      </c>
      <c r="C8326" s="6">
        <v>87</v>
      </c>
      <c r="D8326" s="6">
        <v>110</v>
      </c>
      <c r="E8326" s="6">
        <v>197</v>
      </c>
      <c r="F8326" s="11"/>
    </row>
    <row r="8327" spans="1:6">
      <c r="A8327" s="5" t="str">
        <f t="shared" si="147"/>
        <v>202332</v>
      </c>
      <c r="B8327" s="5" t="str">
        <f>"23085061319"</f>
        <v>23085061319</v>
      </c>
      <c r="C8327" s="6">
        <v>85.5</v>
      </c>
      <c r="D8327" s="6">
        <v>111.5</v>
      </c>
      <c r="E8327" s="6">
        <v>197</v>
      </c>
      <c r="F8327" s="11"/>
    </row>
    <row r="8328" spans="1:6">
      <c r="A8328" s="5" t="str">
        <f t="shared" si="147"/>
        <v>202332</v>
      </c>
      <c r="B8328" s="5" t="str">
        <f>"23085061516"</f>
        <v>23085061516</v>
      </c>
      <c r="C8328" s="6">
        <v>85.5</v>
      </c>
      <c r="D8328" s="6">
        <v>111</v>
      </c>
      <c r="E8328" s="6">
        <v>196.5</v>
      </c>
      <c r="F8328" s="11"/>
    </row>
    <row r="8329" spans="1:6">
      <c r="A8329" s="5" t="str">
        <f t="shared" si="147"/>
        <v>202332</v>
      </c>
      <c r="B8329" s="5" t="str">
        <f>"23085063430"</f>
        <v>23085063430</v>
      </c>
      <c r="C8329" s="6">
        <v>88.5</v>
      </c>
      <c r="D8329" s="6">
        <v>108</v>
      </c>
      <c r="E8329" s="6">
        <v>196.5</v>
      </c>
      <c r="F8329" s="11"/>
    </row>
    <row r="8330" spans="1:6">
      <c r="A8330" s="5" t="str">
        <f t="shared" si="147"/>
        <v>202332</v>
      </c>
      <c r="B8330" s="5" t="str">
        <f>"23085061715"</f>
        <v>23085061715</v>
      </c>
      <c r="C8330" s="6">
        <v>84</v>
      </c>
      <c r="D8330" s="6">
        <v>112.5</v>
      </c>
      <c r="E8330" s="6">
        <v>196.5</v>
      </c>
      <c r="F8330" s="11"/>
    </row>
    <row r="8331" spans="1:6">
      <c r="A8331" s="5" t="str">
        <f t="shared" si="147"/>
        <v>202332</v>
      </c>
      <c r="B8331" s="5" t="str">
        <f>"23085063005"</f>
        <v>23085063005</v>
      </c>
      <c r="C8331" s="6">
        <v>79.5</v>
      </c>
      <c r="D8331" s="6">
        <v>116.5</v>
      </c>
      <c r="E8331" s="6">
        <v>196</v>
      </c>
      <c r="F8331" s="11"/>
    </row>
    <row r="8332" spans="1:6">
      <c r="A8332" s="5" t="str">
        <f t="shared" si="147"/>
        <v>202332</v>
      </c>
      <c r="B8332" s="5" t="str">
        <f>"23085061325"</f>
        <v>23085061325</v>
      </c>
      <c r="C8332" s="6">
        <v>82.5</v>
      </c>
      <c r="D8332" s="6">
        <v>113.5</v>
      </c>
      <c r="E8332" s="6">
        <v>196</v>
      </c>
      <c r="F8332" s="11"/>
    </row>
    <row r="8333" spans="1:6">
      <c r="A8333" s="5" t="str">
        <f t="shared" si="147"/>
        <v>202332</v>
      </c>
      <c r="B8333" s="5" t="str">
        <f>"23085062821"</f>
        <v>23085062821</v>
      </c>
      <c r="C8333" s="6">
        <v>93</v>
      </c>
      <c r="D8333" s="6">
        <v>103</v>
      </c>
      <c r="E8333" s="6">
        <v>196</v>
      </c>
      <c r="F8333" s="11"/>
    </row>
    <row r="8334" spans="1:6">
      <c r="A8334" s="5" t="str">
        <f t="shared" si="147"/>
        <v>202332</v>
      </c>
      <c r="B8334" s="5" t="str">
        <f>"23085061808"</f>
        <v>23085061808</v>
      </c>
      <c r="C8334" s="6">
        <v>87</v>
      </c>
      <c r="D8334" s="6">
        <v>108.5</v>
      </c>
      <c r="E8334" s="6">
        <v>195.5</v>
      </c>
      <c r="F8334" s="11"/>
    </row>
    <row r="8335" spans="1:6">
      <c r="A8335" s="5" t="str">
        <f t="shared" si="147"/>
        <v>202332</v>
      </c>
      <c r="B8335" s="5" t="str">
        <f>"23085061228"</f>
        <v>23085061228</v>
      </c>
      <c r="C8335" s="6">
        <v>88.5</v>
      </c>
      <c r="D8335" s="6">
        <v>107</v>
      </c>
      <c r="E8335" s="6">
        <v>195.5</v>
      </c>
      <c r="F8335" s="11"/>
    </row>
    <row r="8336" spans="1:6">
      <c r="A8336" s="5" t="str">
        <f t="shared" si="147"/>
        <v>202332</v>
      </c>
      <c r="B8336" s="5" t="str">
        <f>"23085061522"</f>
        <v>23085061522</v>
      </c>
      <c r="C8336" s="6">
        <v>84</v>
      </c>
      <c r="D8336" s="6">
        <v>111.5</v>
      </c>
      <c r="E8336" s="6">
        <v>195.5</v>
      </c>
      <c r="F8336" s="11"/>
    </row>
    <row r="8337" spans="1:6">
      <c r="A8337" s="5" t="str">
        <f t="shared" si="147"/>
        <v>202332</v>
      </c>
      <c r="B8337" s="5" t="str">
        <f>"23085062607"</f>
        <v>23085062607</v>
      </c>
      <c r="C8337" s="6">
        <v>87</v>
      </c>
      <c r="D8337" s="6">
        <v>108.5</v>
      </c>
      <c r="E8337" s="6">
        <v>195.5</v>
      </c>
      <c r="F8337" s="11"/>
    </row>
    <row r="8338" spans="1:6">
      <c r="A8338" s="5" t="str">
        <f t="shared" si="147"/>
        <v>202332</v>
      </c>
      <c r="B8338" s="5" t="str">
        <f>"23085062613"</f>
        <v>23085062613</v>
      </c>
      <c r="C8338" s="6">
        <v>82.5</v>
      </c>
      <c r="D8338" s="6">
        <v>112.5</v>
      </c>
      <c r="E8338" s="6">
        <v>195</v>
      </c>
      <c r="F8338" s="11"/>
    </row>
    <row r="8339" spans="1:6">
      <c r="A8339" s="5" t="str">
        <f t="shared" si="147"/>
        <v>202332</v>
      </c>
      <c r="B8339" s="5" t="str">
        <f>"23085061907"</f>
        <v>23085061907</v>
      </c>
      <c r="C8339" s="6">
        <v>90</v>
      </c>
      <c r="D8339" s="6">
        <v>105</v>
      </c>
      <c r="E8339" s="6">
        <v>195</v>
      </c>
      <c r="F8339" s="11"/>
    </row>
    <row r="8340" spans="1:6">
      <c r="A8340" s="5" t="str">
        <f t="shared" si="147"/>
        <v>202332</v>
      </c>
      <c r="B8340" s="5" t="str">
        <f>"23085063126"</f>
        <v>23085063126</v>
      </c>
      <c r="C8340" s="6">
        <v>79.5</v>
      </c>
      <c r="D8340" s="6">
        <v>115</v>
      </c>
      <c r="E8340" s="6">
        <v>194.5</v>
      </c>
      <c r="F8340" s="11"/>
    </row>
    <row r="8341" spans="1:6">
      <c r="A8341" s="5" t="str">
        <f t="shared" si="147"/>
        <v>202332</v>
      </c>
      <c r="B8341" s="5" t="str">
        <f>"23085061530"</f>
        <v>23085061530</v>
      </c>
      <c r="C8341" s="6">
        <v>93</v>
      </c>
      <c r="D8341" s="6">
        <v>101.5</v>
      </c>
      <c r="E8341" s="6">
        <v>194.5</v>
      </c>
      <c r="F8341" s="11"/>
    </row>
    <row r="8342" spans="1:6">
      <c r="A8342" s="5" t="str">
        <f t="shared" si="147"/>
        <v>202332</v>
      </c>
      <c r="B8342" s="5" t="str">
        <f>"23085063425"</f>
        <v>23085063425</v>
      </c>
      <c r="C8342" s="6">
        <v>78</v>
      </c>
      <c r="D8342" s="6">
        <v>116</v>
      </c>
      <c r="E8342" s="6">
        <v>194</v>
      </c>
      <c r="F8342" s="11"/>
    </row>
    <row r="8343" spans="1:6">
      <c r="A8343" s="5" t="str">
        <f t="shared" si="147"/>
        <v>202332</v>
      </c>
      <c r="B8343" s="5" t="str">
        <f>"23085061221"</f>
        <v>23085061221</v>
      </c>
      <c r="C8343" s="6">
        <v>75</v>
      </c>
      <c r="D8343" s="6">
        <v>119</v>
      </c>
      <c r="E8343" s="6">
        <v>194</v>
      </c>
      <c r="F8343" s="11"/>
    </row>
    <row r="8344" spans="1:6">
      <c r="A8344" s="5" t="str">
        <f t="shared" si="147"/>
        <v>202332</v>
      </c>
      <c r="B8344" s="5" t="str">
        <f>"23085062427"</f>
        <v>23085062427</v>
      </c>
      <c r="C8344" s="6">
        <v>91.5</v>
      </c>
      <c r="D8344" s="6">
        <v>102.5</v>
      </c>
      <c r="E8344" s="6">
        <v>194</v>
      </c>
      <c r="F8344" s="11"/>
    </row>
    <row r="8345" spans="1:6">
      <c r="A8345" s="5" t="str">
        <f t="shared" si="147"/>
        <v>202332</v>
      </c>
      <c r="B8345" s="5" t="str">
        <f>"23085061005"</f>
        <v>23085061005</v>
      </c>
      <c r="C8345" s="6">
        <v>99</v>
      </c>
      <c r="D8345" s="6">
        <v>94.5</v>
      </c>
      <c r="E8345" s="6">
        <v>193.5</v>
      </c>
      <c r="F8345" s="11"/>
    </row>
    <row r="8346" spans="1:6">
      <c r="A8346" s="5" t="str">
        <f t="shared" si="147"/>
        <v>202332</v>
      </c>
      <c r="B8346" s="5" t="str">
        <f>"23085061126"</f>
        <v>23085061126</v>
      </c>
      <c r="C8346" s="6">
        <v>93</v>
      </c>
      <c r="D8346" s="6">
        <v>100.5</v>
      </c>
      <c r="E8346" s="6">
        <v>193.5</v>
      </c>
      <c r="F8346" s="11"/>
    </row>
    <row r="8347" spans="1:6">
      <c r="A8347" s="5" t="str">
        <f t="shared" si="147"/>
        <v>202332</v>
      </c>
      <c r="B8347" s="5" t="str">
        <f>"23085062208"</f>
        <v>23085062208</v>
      </c>
      <c r="C8347" s="6">
        <v>96</v>
      </c>
      <c r="D8347" s="6">
        <v>97.5</v>
      </c>
      <c r="E8347" s="6">
        <v>193.5</v>
      </c>
      <c r="F8347" s="11"/>
    </row>
    <row r="8348" spans="1:6">
      <c r="A8348" s="5" t="str">
        <f t="shared" si="147"/>
        <v>202332</v>
      </c>
      <c r="B8348" s="5" t="str">
        <f>"23085061305"</f>
        <v>23085061305</v>
      </c>
      <c r="C8348" s="6">
        <v>97.5</v>
      </c>
      <c r="D8348" s="6">
        <v>96</v>
      </c>
      <c r="E8348" s="6">
        <v>193.5</v>
      </c>
      <c r="F8348" s="11"/>
    </row>
    <row r="8349" spans="1:6">
      <c r="A8349" s="5" t="str">
        <f t="shared" si="147"/>
        <v>202332</v>
      </c>
      <c r="B8349" s="5" t="str">
        <f>"23085061017"</f>
        <v>23085061017</v>
      </c>
      <c r="C8349" s="6">
        <v>85.5</v>
      </c>
      <c r="D8349" s="6">
        <v>107.5</v>
      </c>
      <c r="E8349" s="6">
        <v>193</v>
      </c>
      <c r="F8349" s="11"/>
    </row>
    <row r="8350" spans="1:6">
      <c r="A8350" s="5" t="str">
        <f t="shared" si="147"/>
        <v>202332</v>
      </c>
      <c r="B8350" s="5" t="str">
        <f>"23085062522"</f>
        <v>23085062522</v>
      </c>
      <c r="C8350" s="6">
        <v>84</v>
      </c>
      <c r="D8350" s="6">
        <v>109</v>
      </c>
      <c r="E8350" s="6">
        <v>193</v>
      </c>
      <c r="F8350" s="11"/>
    </row>
    <row r="8351" spans="1:6">
      <c r="A8351" s="5" t="str">
        <f t="shared" si="147"/>
        <v>202332</v>
      </c>
      <c r="B8351" s="5" t="str">
        <f>"23085061425"</f>
        <v>23085061425</v>
      </c>
      <c r="C8351" s="6">
        <v>87</v>
      </c>
      <c r="D8351" s="6">
        <v>106</v>
      </c>
      <c r="E8351" s="6">
        <v>193</v>
      </c>
      <c r="F8351" s="11"/>
    </row>
    <row r="8352" spans="1:6">
      <c r="A8352" s="5" t="str">
        <f t="shared" si="147"/>
        <v>202332</v>
      </c>
      <c r="B8352" s="5" t="str">
        <f>"23085063001"</f>
        <v>23085063001</v>
      </c>
      <c r="C8352" s="6">
        <v>78</v>
      </c>
      <c r="D8352" s="6">
        <v>115</v>
      </c>
      <c r="E8352" s="6">
        <v>193</v>
      </c>
      <c r="F8352" s="11"/>
    </row>
    <row r="8353" spans="1:6">
      <c r="A8353" s="5" t="str">
        <f t="shared" si="147"/>
        <v>202332</v>
      </c>
      <c r="B8353" s="5" t="str">
        <f>"23085061918"</f>
        <v>23085061918</v>
      </c>
      <c r="C8353" s="6">
        <v>88.5</v>
      </c>
      <c r="D8353" s="6">
        <v>104</v>
      </c>
      <c r="E8353" s="6">
        <v>192.5</v>
      </c>
      <c r="F8353" s="11"/>
    </row>
    <row r="8354" spans="1:6">
      <c r="A8354" s="5" t="str">
        <f t="shared" si="147"/>
        <v>202332</v>
      </c>
      <c r="B8354" s="5" t="str">
        <f>"23085061615"</f>
        <v>23085061615</v>
      </c>
      <c r="C8354" s="6">
        <v>85.5</v>
      </c>
      <c r="D8354" s="6">
        <v>107</v>
      </c>
      <c r="E8354" s="6">
        <v>192.5</v>
      </c>
      <c r="F8354" s="11"/>
    </row>
    <row r="8355" spans="1:6">
      <c r="A8355" s="5" t="str">
        <f t="shared" si="147"/>
        <v>202332</v>
      </c>
      <c r="B8355" s="5" t="str">
        <f>"23085062504"</f>
        <v>23085062504</v>
      </c>
      <c r="C8355" s="6">
        <v>81</v>
      </c>
      <c r="D8355" s="6">
        <v>111.5</v>
      </c>
      <c r="E8355" s="6">
        <v>192.5</v>
      </c>
      <c r="F8355" s="11"/>
    </row>
    <row r="8356" spans="1:6">
      <c r="A8356" s="5" t="str">
        <f t="shared" si="147"/>
        <v>202332</v>
      </c>
      <c r="B8356" s="5" t="str">
        <f>"23085061622"</f>
        <v>23085061622</v>
      </c>
      <c r="C8356" s="6">
        <v>85.5</v>
      </c>
      <c r="D8356" s="6">
        <v>107</v>
      </c>
      <c r="E8356" s="6">
        <v>192.5</v>
      </c>
      <c r="F8356" s="11"/>
    </row>
    <row r="8357" spans="1:6">
      <c r="A8357" s="5" t="str">
        <f t="shared" si="147"/>
        <v>202332</v>
      </c>
      <c r="B8357" s="5" t="str">
        <f>"23085061129"</f>
        <v>23085061129</v>
      </c>
      <c r="C8357" s="6">
        <v>96</v>
      </c>
      <c r="D8357" s="6">
        <v>96.5</v>
      </c>
      <c r="E8357" s="6">
        <v>192.5</v>
      </c>
      <c r="F8357" s="11"/>
    </row>
    <row r="8358" spans="1:6">
      <c r="A8358" s="5" t="str">
        <f t="shared" si="147"/>
        <v>202332</v>
      </c>
      <c r="B8358" s="5" t="str">
        <f>"23085060924"</f>
        <v>23085060924</v>
      </c>
      <c r="C8358" s="6">
        <v>82.5</v>
      </c>
      <c r="D8358" s="6">
        <v>109.5</v>
      </c>
      <c r="E8358" s="6">
        <v>192</v>
      </c>
      <c r="F8358" s="11"/>
    </row>
    <row r="8359" spans="1:6">
      <c r="A8359" s="5" t="str">
        <f t="shared" si="147"/>
        <v>202332</v>
      </c>
      <c r="B8359" s="5" t="str">
        <f>"23085060921"</f>
        <v>23085060921</v>
      </c>
      <c r="C8359" s="6">
        <v>78</v>
      </c>
      <c r="D8359" s="6">
        <v>114</v>
      </c>
      <c r="E8359" s="6">
        <v>192</v>
      </c>
      <c r="F8359" s="11"/>
    </row>
    <row r="8360" spans="1:6">
      <c r="A8360" s="5" t="str">
        <f t="shared" si="147"/>
        <v>202332</v>
      </c>
      <c r="B8360" s="5" t="str">
        <f>"23085063329"</f>
        <v>23085063329</v>
      </c>
      <c r="C8360" s="6">
        <v>81</v>
      </c>
      <c r="D8360" s="6">
        <v>110.5</v>
      </c>
      <c r="E8360" s="6">
        <v>191.5</v>
      </c>
      <c r="F8360" s="11"/>
    </row>
    <row r="8361" spans="1:6">
      <c r="A8361" s="5" t="str">
        <f t="shared" si="147"/>
        <v>202332</v>
      </c>
      <c r="B8361" s="5" t="str">
        <f>"23085062317"</f>
        <v>23085062317</v>
      </c>
      <c r="C8361" s="6">
        <v>88.5</v>
      </c>
      <c r="D8361" s="6">
        <v>103</v>
      </c>
      <c r="E8361" s="6">
        <v>191.5</v>
      </c>
      <c r="F8361" s="11"/>
    </row>
    <row r="8362" spans="1:6">
      <c r="A8362" s="5" t="str">
        <f t="shared" si="147"/>
        <v>202332</v>
      </c>
      <c r="B8362" s="5" t="str">
        <f>"23085063207"</f>
        <v>23085063207</v>
      </c>
      <c r="C8362" s="6">
        <v>81</v>
      </c>
      <c r="D8362" s="6">
        <v>110.5</v>
      </c>
      <c r="E8362" s="6">
        <v>191.5</v>
      </c>
      <c r="F8362" s="11"/>
    </row>
    <row r="8363" spans="1:6">
      <c r="A8363" s="5" t="str">
        <f t="shared" ref="A8363:A8426" si="148">"202332"</f>
        <v>202332</v>
      </c>
      <c r="B8363" s="5" t="str">
        <f>"23085061911"</f>
        <v>23085061911</v>
      </c>
      <c r="C8363" s="6">
        <v>78</v>
      </c>
      <c r="D8363" s="6">
        <v>113.5</v>
      </c>
      <c r="E8363" s="6">
        <v>191.5</v>
      </c>
      <c r="F8363" s="11"/>
    </row>
    <row r="8364" spans="1:6">
      <c r="A8364" s="5" t="str">
        <f t="shared" si="148"/>
        <v>202332</v>
      </c>
      <c r="B8364" s="5" t="str">
        <f>"23085062915"</f>
        <v>23085062915</v>
      </c>
      <c r="C8364" s="6">
        <v>88.5</v>
      </c>
      <c r="D8364" s="6">
        <v>102.5</v>
      </c>
      <c r="E8364" s="6">
        <v>191</v>
      </c>
      <c r="F8364" s="11"/>
    </row>
    <row r="8365" spans="1:6">
      <c r="A8365" s="5" t="str">
        <f t="shared" si="148"/>
        <v>202332</v>
      </c>
      <c r="B8365" s="5" t="str">
        <f>"23085061621"</f>
        <v>23085061621</v>
      </c>
      <c r="C8365" s="6">
        <v>73.5</v>
      </c>
      <c r="D8365" s="6">
        <v>117.5</v>
      </c>
      <c r="E8365" s="6">
        <v>191</v>
      </c>
      <c r="F8365" s="11"/>
    </row>
    <row r="8366" spans="1:6">
      <c r="A8366" s="5" t="str">
        <f t="shared" si="148"/>
        <v>202332</v>
      </c>
      <c r="B8366" s="5" t="str">
        <f>"23085061117"</f>
        <v>23085061117</v>
      </c>
      <c r="C8366" s="6">
        <v>96</v>
      </c>
      <c r="D8366" s="6">
        <v>95</v>
      </c>
      <c r="E8366" s="6">
        <v>191</v>
      </c>
      <c r="F8366" s="11"/>
    </row>
    <row r="8367" spans="1:6">
      <c r="A8367" s="5" t="str">
        <f t="shared" si="148"/>
        <v>202332</v>
      </c>
      <c r="B8367" s="5" t="str">
        <f>"23085062920"</f>
        <v>23085062920</v>
      </c>
      <c r="C8367" s="6">
        <v>75</v>
      </c>
      <c r="D8367" s="6">
        <v>115.5</v>
      </c>
      <c r="E8367" s="6">
        <v>190.5</v>
      </c>
      <c r="F8367" s="11"/>
    </row>
    <row r="8368" spans="1:6">
      <c r="A8368" s="5" t="str">
        <f t="shared" si="148"/>
        <v>202332</v>
      </c>
      <c r="B8368" s="5" t="str">
        <f>"23085061104"</f>
        <v>23085061104</v>
      </c>
      <c r="C8368" s="6">
        <v>81</v>
      </c>
      <c r="D8368" s="6">
        <v>109.5</v>
      </c>
      <c r="E8368" s="6">
        <v>190.5</v>
      </c>
      <c r="F8368" s="11"/>
    </row>
    <row r="8369" spans="1:6">
      <c r="A8369" s="5" t="str">
        <f t="shared" si="148"/>
        <v>202332</v>
      </c>
      <c r="B8369" s="5" t="str">
        <f>"23085061805"</f>
        <v>23085061805</v>
      </c>
      <c r="C8369" s="6">
        <v>73.5</v>
      </c>
      <c r="D8369" s="6">
        <v>117</v>
      </c>
      <c r="E8369" s="6">
        <v>190.5</v>
      </c>
      <c r="F8369" s="11"/>
    </row>
    <row r="8370" spans="1:6">
      <c r="A8370" s="5" t="str">
        <f t="shared" si="148"/>
        <v>202332</v>
      </c>
      <c r="B8370" s="5" t="str">
        <f>"23085063102"</f>
        <v>23085063102</v>
      </c>
      <c r="C8370" s="6">
        <v>79.5</v>
      </c>
      <c r="D8370" s="6">
        <v>110.5</v>
      </c>
      <c r="E8370" s="6">
        <v>190</v>
      </c>
      <c r="F8370" s="11"/>
    </row>
    <row r="8371" spans="1:6">
      <c r="A8371" s="5" t="str">
        <f t="shared" si="148"/>
        <v>202332</v>
      </c>
      <c r="B8371" s="5" t="str">
        <f>"23085062616"</f>
        <v>23085062616</v>
      </c>
      <c r="C8371" s="6">
        <v>79.5</v>
      </c>
      <c r="D8371" s="6">
        <v>110</v>
      </c>
      <c r="E8371" s="6">
        <v>189.5</v>
      </c>
      <c r="F8371" s="11"/>
    </row>
    <row r="8372" spans="1:6">
      <c r="A8372" s="5" t="str">
        <f t="shared" si="148"/>
        <v>202332</v>
      </c>
      <c r="B8372" s="5" t="str">
        <f>"23085061004"</f>
        <v>23085061004</v>
      </c>
      <c r="C8372" s="6">
        <v>85.5</v>
      </c>
      <c r="D8372" s="6">
        <v>104</v>
      </c>
      <c r="E8372" s="6">
        <v>189.5</v>
      </c>
      <c r="F8372" s="11"/>
    </row>
    <row r="8373" spans="1:6">
      <c r="A8373" s="5" t="str">
        <f t="shared" si="148"/>
        <v>202332</v>
      </c>
      <c r="B8373" s="5" t="str">
        <f>"23085062014"</f>
        <v>23085062014</v>
      </c>
      <c r="C8373" s="6">
        <v>90</v>
      </c>
      <c r="D8373" s="6">
        <v>99.5</v>
      </c>
      <c r="E8373" s="6">
        <v>189.5</v>
      </c>
      <c r="F8373" s="11"/>
    </row>
    <row r="8374" spans="1:6">
      <c r="A8374" s="5" t="str">
        <f t="shared" si="148"/>
        <v>202332</v>
      </c>
      <c r="B8374" s="5" t="str">
        <f>"23085061420"</f>
        <v>23085061420</v>
      </c>
      <c r="C8374" s="6">
        <v>78</v>
      </c>
      <c r="D8374" s="6">
        <v>111</v>
      </c>
      <c r="E8374" s="6">
        <v>189</v>
      </c>
      <c r="F8374" s="11"/>
    </row>
    <row r="8375" spans="1:6">
      <c r="A8375" s="5" t="str">
        <f t="shared" si="148"/>
        <v>202332</v>
      </c>
      <c r="B8375" s="5" t="str">
        <f>"23085063419"</f>
        <v>23085063419</v>
      </c>
      <c r="C8375" s="6">
        <v>79.5</v>
      </c>
      <c r="D8375" s="6">
        <v>109.5</v>
      </c>
      <c r="E8375" s="6">
        <v>189</v>
      </c>
      <c r="F8375" s="11"/>
    </row>
    <row r="8376" spans="1:6">
      <c r="A8376" s="5" t="str">
        <f t="shared" si="148"/>
        <v>202332</v>
      </c>
      <c r="B8376" s="5" t="str">
        <f>"23085062804"</f>
        <v>23085062804</v>
      </c>
      <c r="C8376" s="6">
        <v>93</v>
      </c>
      <c r="D8376" s="6">
        <v>96</v>
      </c>
      <c r="E8376" s="6">
        <v>189</v>
      </c>
      <c r="F8376" s="11"/>
    </row>
    <row r="8377" spans="1:6">
      <c r="A8377" s="5" t="str">
        <f t="shared" si="148"/>
        <v>202332</v>
      </c>
      <c r="B8377" s="5" t="str">
        <f>"23085061713"</f>
        <v>23085061713</v>
      </c>
      <c r="C8377" s="6">
        <v>93</v>
      </c>
      <c r="D8377" s="6">
        <v>96</v>
      </c>
      <c r="E8377" s="6">
        <v>189</v>
      </c>
      <c r="F8377" s="11"/>
    </row>
    <row r="8378" spans="1:6">
      <c r="A8378" s="5" t="str">
        <f t="shared" si="148"/>
        <v>202332</v>
      </c>
      <c r="B8378" s="5" t="str">
        <f>"23085062204"</f>
        <v>23085062204</v>
      </c>
      <c r="C8378" s="6">
        <v>75</v>
      </c>
      <c r="D8378" s="6">
        <v>113</v>
      </c>
      <c r="E8378" s="6">
        <v>188</v>
      </c>
      <c r="F8378" s="11"/>
    </row>
    <row r="8379" spans="1:6">
      <c r="A8379" s="5" t="str">
        <f t="shared" si="148"/>
        <v>202332</v>
      </c>
      <c r="B8379" s="5" t="str">
        <f>"23085062822"</f>
        <v>23085062822</v>
      </c>
      <c r="C8379" s="6">
        <v>97.5</v>
      </c>
      <c r="D8379" s="6">
        <v>90</v>
      </c>
      <c r="E8379" s="6">
        <v>187.5</v>
      </c>
      <c r="F8379" s="11"/>
    </row>
    <row r="8380" spans="1:6">
      <c r="A8380" s="5" t="str">
        <f t="shared" si="148"/>
        <v>202332</v>
      </c>
      <c r="B8380" s="5" t="str">
        <f>"23085063418"</f>
        <v>23085063418</v>
      </c>
      <c r="C8380" s="6">
        <v>76.5</v>
      </c>
      <c r="D8380" s="6">
        <v>111</v>
      </c>
      <c r="E8380" s="6">
        <v>187.5</v>
      </c>
      <c r="F8380" s="11"/>
    </row>
    <row r="8381" spans="1:6">
      <c r="A8381" s="5" t="str">
        <f t="shared" si="148"/>
        <v>202332</v>
      </c>
      <c r="B8381" s="5" t="str">
        <f>"23085062517"</f>
        <v>23085062517</v>
      </c>
      <c r="C8381" s="6">
        <v>84</v>
      </c>
      <c r="D8381" s="6">
        <v>103</v>
      </c>
      <c r="E8381" s="6">
        <v>187</v>
      </c>
      <c r="F8381" s="11"/>
    </row>
    <row r="8382" spans="1:6">
      <c r="A8382" s="5" t="str">
        <f t="shared" si="148"/>
        <v>202332</v>
      </c>
      <c r="B8382" s="5" t="str">
        <f>"23085061215"</f>
        <v>23085061215</v>
      </c>
      <c r="C8382" s="6">
        <v>73.5</v>
      </c>
      <c r="D8382" s="6">
        <v>113.5</v>
      </c>
      <c r="E8382" s="6">
        <v>187</v>
      </c>
      <c r="F8382" s="11"/>
    </row>
    <row r="8383" spans="1:6">
      <c r="A8383" s="5" t="str">
        <f t="shared" si="148"/>
        <v>202332</v>
      </c>
      <c r="B8383" s="5" t="str">
        <f>"23085063403"</f>
        <v>23085063403</v>
      </c>
      <c r="C8383" s="6">
        <v>114</v>
      </c>
      <c r="D8383" s="6">
        <v>73</v>
      </c>
      <c r="E8383" s="6">
        <v>187</v>
      </c>
      <c r="F8383" s="11"/>
    </row>
    <row r="8384" spans="1:6">
      <c r="A8384" s="5" t="str">
        <f t="shared" si="148"/>
        <v>202332</v>
      </c>
      <c r="B8384" s="5" t="str">
        <f>"23085061723"</f>
        <v>23085061723</v>
      </c>
      <c r="C8384" s="6">
        <v>75</v>
      </c>
      <c r="D8384" s="6">
        <v>112</v>
      </c>
      <c r="E8384" s="6">
        <v>187</v>
      </c>
      <c r="F8384" s="11"/>
    </row>
    <row r="8385" spans="1:6">
      <c r="A8385" s="5" t="str">
        <f t="shared" si="148"/>
        <v>202332</v>
      </c>
      <c r="B8385" s="5" t="str">
        <f>"23085063511"</f>
        <v>23085063511</v>
      </c>
      <c r="C8385" s="6">
        <v>84</v>
      </c>
      <c r="D8385" s="6">
        <v>102.5</v>
      </c>
      <c r="E8385" s="6">
        <v>186.5</v>
      </c>
      <c r="F8385" s="11"/>
    </row>
    <row r="8386" spans="1:6">
      <c r="A8386" s="5" t="str">
        <f t="shared" si="148"/>
        <v>202332</v>
      </c>
      <c r="B8386" s="5" t="str">
        <f>"23085061123"</f>
        <v>23085061123</v>
      </c>
      <c r="C8386" s="6">
        <v>78</v>
      </c>
      <c r="D8386" s="6">
        <v>108</v>
      </c>
      <c r="E8386" s="6">
        <v>186</v>
      </c>
      <c r="F8386" s="11"/>
    </row>
    <row r="8387" spans="1:6">
      <c r="A8387" s="5" t="str">
        <f t="shared" si="148"/>
        <v>202332</v>
      </c>
      <c r="B8387" s="5" t="str">
        <f>"23085063327"</f>
        <v>23085063327</v>
      </c>
      <c r="C8387" s="6">
        <v>84</v>
      </c>
      <c r="D8387" s="6">
        <v>102</v>
      </c>
      <c r="E8387" s="6">
        <v>186</v>
      </c>
      <c r="F8387" s="11"/>
    </row>
    <row r="8388" spans="1:6">
      <c r="A8388" s="5" t="str">
        <f t="shared" si="148"/>
        <v>202332</v>
      </c>
      <c r="B8388" s="5" t="str">
        <f>"23085063029"</f>
        <v>23085063029</v>
      </c>
      <c r="C8388" s="6">
        <v>75</v>
      </c>
      <c r="D8388" s="6">
        <v>111</v>
      </c>
      <c r="E8388" s="6">
        <v>186</v>
      </c>
      <c r="F8388" s="11"/>
    </row>
    <row r="8389" spans="1:6">
      <c r="A8389" s="5" t="str">
        <f t="shared" si="148"/>
        <v>202332</v>
      </c>
      <c r="B8389" s="5" t="str">
        <f>"23085060926"</f>
        <v>23085060926</v>
      </c>
      <c r="C8389" s="6">
        <v>75</v>
      </c>
      <c r="D8389" s="6">
        <v>111</v>
      </c>
      <c r="E8389" s="6">
        <v>186</v>
      </c>
      <c r="F8389" s="11"/>
    </row>
    <row r="8390" spans="1:6">
      <c r="A8390" s="5" t="str">
        <f t="shared" si="148"/>
        <v>202332</v>
      </c>
      <c r="B8390" s="5" t="str">
        <f>"23085061623"</f>
        <v>23085061623</v>
      </c>
      <c r="C8390" s="6">
        <v>82.5</v>
      </c>
      <c r="D8390" s="6">
        <v>103</v>
      </c>
      <c r="E8390" s="6">
        <v>185.5</v>
      </c>
      <c r="F8390" s="11"/>
    </row>
    <row r="8391" spans="1:6">
      <c r="A8391" s="5" t="str">
        <f t="shared" si="148"/>
        <v>202332</v>
      </c>
      <c r="B8391" s="5" t="str">
        <f>"23085062907"</f>
        <v>23085062907</v>
      </c>
      <c r="C8391" s="6">
        <v>84</v>
      </c>
      <c r="D8391" s="6">
        <v>101.5</v>
      </c>
      <c r="E8391" s="6">
        <v>185.5</v>
      </c>
      <c r="F8391" s="11"/>
    </row>
    <row r="8392" spans="1:6">
      <c r="A8392" s="5" t="str">
        <f t="shared" si="148"/>
        <v>202332</v>
      </c>
      <c r="B8392" s="5" t="str">
        <f>"23085062818"</f>
        <v>23085062818</v>
      </c>
      <c r="C8392" s="6">
        <v>78</v>
      </c>
      <c r="D8392" s="6">
        <v>107</v>
      </c>
      <c r="E8392" s="6">
        <v>185</v>
      </c>
      <c r="F8392" s="11"/>
    </row>
    <row r="8393" spans="1:6">
      <c r="A8393" s="5" t="str">
        <f t="shared" si="148"/>
        <v>202332</v>
      </c>
      <c r="B8393" s="5" t="str">
        <f>"23085061628"</f>
        <v>23085061628</v>
      </c>
      <c r="C8393" s="6">
        <v>79.5</v>
      </c>
      <c r="D8393" s="6">
        <v>105.5</v>
      </c>
      <c r="E8393" s="6">
        <v>185</v>
      </c>
      <c r="F8393" s="11"/>
    </row>
    <row r="8394" spans="1:6">
      <c r="A8394" s="5" t="str">
        <f t="shared" si="148"/>
        <v>202332</v>
      </c>
      <c r="B8394" s="5" t="str">
        <f>"23085062325"</f>
        <v>23085062325</v>
      </c>
      <c r="C8394" s="6">
        <v>75</v>
      </c>
      <c r="D8394" s="6">
        <v>110</v>
      </c>
      <c r="E8394" s="6">
        <v>185</v>
      </c>
      <c r="F8394" s="11"/>
    </row>
    <row r="8395" spans="1:6">
      <c r="A8395" s="5" t="str">
        <f t="shared" si="148"/>
        <v>202332</v>
      </c>
      <c r="B8395" s="5" t="str">
        <f>"23085061614"</f>
        <v>23085061614</v>
      </c>
      <c r="C8395" s="6">
        <v>67.5</v>
      </c>
      <c r="D8395" s="6">
        <v>116</v>
      </c>
      <c r="E8395" s="6">
        <v>183.5</v>
      </c>
      <c r="F8395" s="11"/>
    </row>
    <row r="8396" spans="1:6">
      <c r="A8396" s="5" t="str">
        <f t="shared" si="148"/>
        <v>202332</v>
      </c>
      <c r="B8396" s="5" t="str">
        <f>"23085063401"</f>
        <v>23085063401</v>
      </c>
      <c r="C8396" s="6">
        <v>84</v>
      </c>
      <c r="D8396" s="6">
        <v>99.5</v>
      </c>
      <c r="E8396" s="6">
        <v>183.5</v>
      </c>
      <c r="F8396" s="11"/>
    </row>
    <row r="8397" spans="1:6">
      <c r="A8397" s="5" t="str">
        <f t="shared" si="148"/>
        <v>202332</v>
      </c>
      <c r="B8397" s="5" t="str">
        <f>"23085062207"</f>
        <v>23085062207</v>
      </c>
      <c r="C8397" s="6">
        <v>79.5</v>
      </c>
      <c r="D8397" s="6">
        <v>104</v>
      </c>
      <c r="E8397" s="6">
        <v>183.5</v>
      </c>
      <c r="F8397" s="11"/>
    </row>
    <row r="8398" spans="1:6">
      <c r="A8398" s="5" t="str">
        <f t="shared" si="148"/>
        <v>202332</v>
      </c>
      <c r="B8398" s="5" t="str">
        <f>"23085061909"</f>
        <v>23085061909</v>
      </c>
      <c r="C8398" s="6">
        <v>70.5</v>
      </c>
      <c r="D8398" s="6">
        <v>112.5</v>
      </c>
      <c r="E8398" s="6">
        <v>183</v>
      </c>
      <c r="F8398" s="11"/>
    </row>
    <row r="8399" spans="1:6">
      <c r="A8399" s="5" t="str">
        <f t="shared" si="148"/>
        <v>202332</v>
      </c>
      <c r="B8399" s="5" t="str">
        <f>"23085062803"</f>
        <v>23085062803</v>
      </c>
      <c r="C8399" s="6">
        <v>73.5</v>
      </c>
      <c r="D8399" s="6">
        <v>109.5</v>
      </c>
      <c r="E8399" s="6">
        <v>183</v>
      </c>
      <c r="F8399" s="11"/>
    </row>
    <row r="8400" spans="1:6">
      <c r="A8400" s="5" t="str">
        <f t="shared" si="148"/>
        <v>202332</v>
      </c>
      <c r="B8400" s="5" t="str">
        <f>"23085062916"</f>
        <v>23085062916</v>
      </c>
      <c r="C8400" s="6">
        <v>96</v>
      </c>
      <c r="D8400" s="6">
        <v>86.5</v>
      </c>
      <c r="E8400" s="6">
        <v>182.5</v>
      </c>
      <c r="F8400" s="11"/>
    </row>
    <row r="8401" spans="1:6">
      <c r="A8401" s="5" t="str">
        <f t="shared" si="148"/>
        <v>202332</v>
      </c>
      <c r="B8401" s="5" t="str">
        <f>"23085063006"</f>
        <v>23085063006</v>
      </c>
      <c r="C8401" s="6">
        <v>67.5</v>
      </c>
      <c r="D8401" s="6">
        <v>115</v>
      </c>
      <c r="E8401" s="6">
        <v>182.5</v>
      </c>
      <c r="F8401" s="11"/>
    </row>
    <row r="8402" spans="1:6">
      <c r="A8402" s="5" t="str">
        <f t="shared" si="148"/>
        <v>202332</v>
      </c>
      <c r="B8402" s="5" t="str">
        <f>"23085061110"</f>
        <v>23085061110</v>
      </c>
      <c r="C8402" s="6">
        <v>76.5</v>
      </c>
      <c r="D8402" s="6">
        <v>105</v>
      </c>
      <c r="E8402" s="6">
        <v>181.5</v>
      </c>
      <c r="F8402" s="11"/>
    </row>
    <row r="8403" spans="1:6">
      <c r="A8403" s="5" t="str">
        <f t="shared" si="148"/>
        <v>202332</v>
      </c>
      <c r="B8403" s="5" t="str">
        <f>"23085061529"</f>
        <v>23085061529</v>
      </c>
      <c r="C8403" s="6">
        <v>78</v>
      </c>
      <c r="D8403" s="6">
        <v>103.5</v>
      </c>
      <c r="E8403" s="6">
        <v>181.5</v>
      </c>
      <c r="F8403" s="11"/>
    </row>
    <row r="8404" spans="1:6">
      <c r="A8404" s="5" t="str">
        <f t="shared" si="148"/>
        <v>202332</v>
      </c>
      <c r="B8404" s="5" t="str">
        <f>"23085062219"</f>
        <v>23085062219</v>
      </c>
      <c r="C8404" s="6">
        <v>105</v>
      </c>
      <c r="D8404" s="6">
        <v>76</v>
      </c>
      <c r="E8404" s="6">
        <v>181</v>
      </c>
      <c r="F8404" s="11"/>
    </row>
    <row r="8405" spans="1:6">
      <c r="A8405" s="5" t="str">
        <f t="shared" si="148"/>
        <v>202332</v>
      </c>
      <c r="B8405" s="5" t="str">
        <f>"23085061802"</f>
        <v>23085061802</v>
      </c>
      <c r="C8405" s="6">
        <v>78</v>
      </c>
      <c r="D8405" s="6">
        <v>103</v>
      </c>
      <c r="E8405" s="6">
        <v>181</v>
      </c>
      <c r="F8405" s="11"/>
    </row>
    <row r="8406" spans="1:6">
      <c r="A8406" s="5" t="str">
        <f t="shared" si="148"/>
        <v>202332</v>
      </c>
      <c r="B8406" s="5" t="str">
        <f>"23085061526"</f>
        <v>23085061526</v>
      </c>
      <c r="C8406" s="6">
        <v>84</v>
      </c>
      <c r="D8406" s="6">
        <v>96</v>
      </c>
      <c r="E8406" s="6">
        <v>180</v>
      </c>
      <c r="F8406" s="11"/>
    </row>
    <row r="8407" spans="1:6">
      <c r="A8407" s="5" t="str">
        <f t="shared" si="148"/>
        <v>202332</v>
      </c>
      <c r="B8407" s="5" t="str">
        <f>"23085062624"</f>
        <v>23085062624</v>
      </c>
      <c r="C8407" s="6">
        <v>66</v>
      </c>
      <c r="D8407" s="6">
        <v>114</v>
      </c>
      <c r="E8407" s="6">
        <v>180</v>
      </c>
      <c r="F8407" s="11"/>
    </row>
    <row r="8408" spans="1:6">
      <c r="A8408" s="5" t="str">
        <f t="shared" si="148"/>
        <v>202332</v>
      </c>
      <c r="B8408" s="5" t="str">
        <f>"23085063218"</f>
        <v>23085063218</v>
      </c>
      <c r="C8408" s="6">
        <v>84</v>
      </c>
      <c r="D8408" s="6">
        <v>96</v>
      </c>
      <c r="E8408" s="6">
        <v>180</v>
      </c>
      <c r="F8408" s="11"/>
    </row>
    <row r="8409" spans="1:6">
      <c r="A8409" s="5" t="str">
        <f t="shared" si="148"/>
        <v>202332</v>
      </c>
      <c r="B8409" s="5" t="str">
        <f>"23085063002"</f>
        <v>23085063002</v>
      </c>
      <c r="C8409" s="6">
        <v>69</v>
      </c>
      <c r="D8409" s="6">
        <v>110.5</v>
      </c>
      <c r="E8409" s="6">
        <v>179.5</v>
      </c>
      <c r="F8409" s="11"/>
    </row>
    <row r="8410" spans="1:6">
      <c r="A8410" s="5" t="str">
        <f t="shared" si="148"/>
        <v>202332</v>
      </c>
      <c r="B8410" s="5" t="str">
        <f>"23085061807"</f>
        <v>23085061807</v>
      </c>
      <c r="C8410" s="6">
        <v>61.5</v>
      </c>
      <c r="D8410" s="6">
        <v>117.5</v>
      </c>
      <c r="E8410" s="6">
        <v>179</v>
      </c>
      <c r="F8410" s="11"/>
    </row>
    <row r="8411" spans="1:6">
      <c r="A8411" s="5" t="str">
        <f t="shared" si="148"/>
        <v>202332</v>
      </c>
      <c r="B8411" s="5" t="str">
        <f>"23085063408"</f>
        <v>23085063408</v>
      </c>
      <c r="C8411" s="6">
        <v>78</v>
      </c>
      <c r="D8411" s="6">
        <v>100.5</v>
      </c>
      <c r="E8411" s="6">
        <v>178.5</v>
      </c>
      <c r="F8411" s="11"/>
    </row>
    <row r="8412" spans="1:6">
      <c r="A8412" s="5" t="str">
        <f t="shared" si="148"/>
        <v>202332</v>
      </c>
      <c r="B8412" s="5" t="str">
        <f>"23085061118"</f>
        <v>23085061118</v>
      </c>
      <c r="C8412" s="6">
        <v>70.5</v>
      </c>
      <c r="D8412" s="6">
        <v>107.5</v>
      </c>
      <c r="E8412" s="6">
        <v>178</v>
      </c>
      <c r="F8412" s="11"/>
    </row>
    <row r="8413" spans="1:6">
      <c r="A8413" s="5" t="str">
        <f t="shared" si="148"/>
        <v>202332</v>
      </c>
      <c r="B8413" s="5" t="str">
        <f>"23085063118"</f>
        <v>23085063118</v>
      </c>
      <c r="C8413" s="6">
        <v>75</v>
      </c>
      <c r="D8413" s="6">
        <v>103</v>
      </c>
      <c r="E8413" s="6">
        <v>178</v>
      </c>
      <c r="F8413" s="11"/>
    </row>
    <row r="8414" spans="1:6">
      <c r="A8414" s="5" t="str">
        <f t="shared" si="148"/>
        <v>202332</v>
      </c>
      <c r="B8414" s="5" t="str">
        <f>"23085061619"</f>
        <v>23085061619</v>
      </c>
      <c r="C8414" s="6">
        <v>75</v>
      </c>
      <c r="D8414" s="6">
        <v>102.5</v>
      </c>
      <c r="E8414" s="6">
        <v>177.5</v>
      </c>
      <c r="F8414" s="11"/>
    </row>
    <row r="8415" spans="1:6">
      <c r="A8415" s="5" t="str">
        <f t="shared" si="148"/>
        <v>202332</v>
      </c>
      <c r="B8415" s="5" t="str">
        <f>"23085061304"</f>
        <v>23085061304</v>
      </c>
      <c r="C8415" s="6">
        <v>78</v>
      </c>
      <c r="D8415" s="6">
        <v>99</v>
      </c>
      <c r="E8415" s="6">
        <v>177</v>
      </c>
      <c r="F8415" s="11"/>
    </row>
    <row r="8416" spans="1:6">
      <c r="A8416" s="5" t="str">
        <f t="shared" si="148"/>
        <v>202332</v>
      </c>
      <c r="B8416" s="5" t="str">
        <f>"23085061520"</f>
        <v>23085061520</v>
      </c>
      <c r="C8416" s="6">
        <v>69</v>
      </c>
      <c r="D8416" s="6">
        <v>108</v>
      </c>
      <c r="E8416" s="6">
        <v>177</v>
      </c>
      <c r="F8416" s="11"/>
    </row>
    <row r="8417" spans="1:6">
      <c r="A8417" s="5" t="str">
        <f t="shared" si="148"/>
        <v>202332</v>
      </c>
      <c r="B8417" s="5" t="str">
        <f>"23085063128"</f>
        <v>23085063128</v>
      </c>
      <c r="C8417" s="6">
        <v>66</v>
      </c>
      <c r="D8417" s="6">
        <v>110</v>
      </c>
      <c r="E8417" s="6">
        <v>176</v>
      </c>
      <c r="F8417" s="11"/>
    </row>
    <row r="8418" spans="1:6">
      <c r="A8418" s="5" t="str">
        <f t="shared" si="148"/>
        <v>202332</v>
      </c>
      <c r="B8418" s="5" t="str">
        <f>"23085061701"</f>
        <v>23085061701</v>
      </c>
      <c r="C8418" s="6">
        <v>82.5</v>
      </c>
      <c r="D8418" s="6">
        <v>93.5</v>
      </c>
      <c r="E8418" s="6">
        <v>176</v>
      </c>
      <c r="F8418" s="11"/>
    </row>
    <row r="8419" spans="1:6">
      <c r="A8419" s="5" t="str">
        <f t="shared" si="148"/>
        <v>202332</v>
      </c>
      <c r="B8419" s="5" t="str">
        <f>"23085061429"</f>
        <v>23085061429</v>
      </c>
      <c r="C8419" s="6">
        <v>63</v>
      </c>
      <c r="D8419" s="6">
        <v>111</v>
      </c>
      <c r="E8419" s="6">
        <v>174</v>
      </c>
      <c r="F8419" s="11"/>
    </row>
    <row r="8420" spans="1:6">
      <c r="A8420" s="5" t="str">
        <f t="shared" si="148"/>
        <v>202332</v>
      </c>
      <c r="B8420" s="5" t="str">
        <f>"23085062521"</f>
        <v>23085062521</v>
      </c>
      <c r="C8420" s="6">
        <v>60</v>
      </c>
      <c r="D8420" s="6">
        <v>113.5</v>
      </c>
      <c r="E8420" s="6">
        <v>173.5</v>
      </c>
      <c r="F8420" s="11"/>
    </row>
    <row r="8421" spans="1:6">
      <c r="A8421" s="5" t="str">
        <f t="shared" si="148"/>
        <v>202332</v>
      </c>
      <c r="B8421" s="5" t="str">
        <f>"23085063229"</f>
        <v>23085063229</v>
      </c>
      <c r="C8421" s="6">
        <v>93</v>
      </c>
      <c r="D8421" s="6">
        <v>79.5</v>
      </c>
      <c r="E8421" s="6">
        <v>172.5</v>
      </c>
      <c r="F8421" s="11"/>
    </row>
    <row r="8422" spans="1:6">
      <c r="A8422" s="5" t="str">
        <f t="shared" si="148"/>
        <v>202332</v>
      </c>
      <c r="B8422" s="5" t="str">
        <f>"23085061903"</f>
        <v>23085061903</v>
      </c>
      <c r="C8422" s="6">
        <v>70.5</v>
      </c>
      <c r="D8422" s="6">
        <v>101</v>
      </c>
      <c r="E8422" s="6">
        <v>171.5</v>
      </c>
      <c r="F8422" s="11"/>
    </row>
    <row r="8423" spans="1:6">
      <c r="A8423" s="5" t="str">
        <f t="shared" si="148"/>
        <v>202332</v>
      </c>
      <c r="B8423" s="5" t="str">
        <f>"23085063213"</f>
        <v>23085063213</v>
      </c>
      <c r="C8423" s="6">
        <v>85.5</v>
      </c>
      <c r="D8423" s="6">
        <v>86</v>
      </c>
      <c r="E8423" s="6">
        <v>171.5</v>
      </c>
      <c r="F8423" s="11"/>
    </row>
    <row r="8424" spans="1:6">
      <c r="A8424" s="5" t="str">
        <f t="shared" si="148"/>
        <v>202332</v>
      </c>
      <c r="B8424" s="5" t="str">
        <f>"23085061606"</f>
        <v>23085061606</v>
      </c>
      <c r="C8424" s="6">
        <v>76.5</v>
      </c>
      <c r="D8424" s="6">
        <v>95</v>
      </c>
      <c r="E8424" s="6">
        <v>171.5</v>
      </c>
      <c r="F8424" s="11"/>
    </row>
    <row r="8425" spans="1:6">
      <c r="A8425" s="5" t="str">
        <f t="shared" si="148"/>
        <v>202332</v>
      </c>
      <c r="B8425" s="5" t="str">
        <f>"23085062312"</f>
        <v>23085062312</v>
      </c>
      <c r="C8425" s="6">
        <v>67.5</v>
      </c>
      <c r="D8425" s="6">
        <v>102.5</v>
      </c>
      <c r="E8425" s="6">
        <v>170</v>
      </c>
      <c r="F8425" s="11"/>
    </row>
    <row r="8426" spans="1:6">
      <c r="A8426" s="5" t="str">
        <f t="shared" si="148"/>
        <v>202332</v>
      </c>
      <c r="B8426" s="5" t="str">
        <f>"23085061106"</f>
        <v>23085061106</v>
      </c>
      <c r="C8426" s="6">
        <v>103.5</v>
      </c>
      <c r="D8426" s="6">
        <v>65.5</v>
      </c>
      <c r="E8426" s="6">
        <v>169</v>
      </c>
      <c r="F8426" s="11"/>
    </row>
    <row r="8427" spans="1:6">
      <c r="A8427" s="5" t="str">
        <f t="shared" ref="A8427:A8490" si="149">"202332"</f>
        <v>202332</v>
      </c>
      <c r="B8427" s="5" t="str">
        <f>"23085062723"</f>
        <v>23085062723</v>
      </c>
      <c r="C8427" s="6">
        <v>99</v>
      </c>
      <c r="D8427" s="6">
        <v>68.5</v>
      </c>
      <c r="E8427" s="6">
        <v>167.5</v>
      </c>
      <c r="F8427" s="11"/>
    </row>
    <row r="8428" spans="1:6">
      <c r="A8428" s="5" t="str">
        <f t="shared" si="149"/>
        <v>202332</v>
      </c>
      <c r="B8428" s="5" t="str">
        <f>"23085062514"</f>
        <v>23085062514</v>
      </c>
      <c r="C8428" s="6">
        <v>99</v>
      </c>
      <c r="D8428" s="6">
        <v>67</v>
      </c>
      <c r="E8428" s="6">
        <v>166</v>
      </c>
      <c r="F8428" s="11"/>
    </row>
    <row r="8429" spans="1:6">
      <c r="A8429" s="5" t="str">
        <f t="shared" si="149"/>
        <v>202332</v>
      </c>
      <c r="B8429" s="5" t="str">
        <f>"23085061605"</f>
        <v>23085061605</v>
      </c>
      <c r="C8429" s="6">
        <v>70.5</v>
      </c>
      <c r="D8429" s="6">
        <v>95</v>
      </c>
      <c r="E8429" s="6">
        <v>165.5</v>
      </c>
      <c r="F8429" s="11"/>
    </row>
    <row r="8430" spans="1:6">
      <c r="A8430" s="5" t="str">
        <f t="shared" si="149"/>
        <v>202332</v>
      </c>
      <c r="B8430" s="5" t="str">
        <f>"23085061315"</f>
        <v>23085061315</v>
      </c>
      <c r="C8430" s="6">
        <v>52.5</v>
      </c>
      <c r="D8430" s="6">
        <v>111</v>
      </c>
      <c r="E8430" s="6">
        <v>163.5</v>
      </c>
      <c r="F8430" s="11"/>
    </row>
    <row r="8431" spans="1:6">
      <c r="A8431" s="5" t="str">
        <f t="shared" si="149"/>
        <v>202332</v>
      </c>
      <c r="B8431" s="5" t="str">
        <f>"23085061001"</f>
        <v>23085061001</v>
      </c>
      <c r="C8431" s="6">
        <v>85.5</v>
      </c>
      <c r="D8431" s="6">
        <v>77.5</v>
      </c>
      <c r="E8431" s="6">
        <v>163</v>
      </c>
      <c r="F8431" s="11"/>
    </row>
    <row r="8432" spans="1:6">
      <c r="A8432" s="5" t="str">
        <f t="shared" si="149"/>
        <v>202332</v>
      </c>
      <c r="B8432" s="5" t="str">
        <f>"23085061506"</f>
        <v>23085061506</v>
      </c>
      <c r="C8432" s="6">
        <v>67.5</v>
      </c>
      <c r="D8432" s="6">
        <v>95.5</v>
      </c>
      <c r="E8432" s="6">
        <v>163</v>
      </c>
      <c r="F8432" s="11"/>
    </row>
    <row r="8433" spans="1:6">
      <c r="A8433" s="5" t="str">
        <f t="shared" si="149"/>
        <v>202332</v>
      </c>
      <c r="B8433" s="5" t="str">
        <f>"23085061827"</f>
        <v>23085061827</v>
      </c>
      <c r="C8433" s="6">
        <v>63</v>
      </c>
      <c r="D8433" s="6">
        <v>98</v>
      </c>
      <c r="E8433" s="6">
        <v>161</v>
      </c>
      <c r="F8433" s="11"/>
    </row>
    <row r="8434" spans="1:6">
      <c r="A8434" s="5" t="str">
        <f t="shared" si="149"/>
        <v>202332</v>
      </c>
      <c r="B8434" s="5" t="str">
        <f>"23085063201"</f>
        <v>23085063201</v>
      </c>
      <c r="C8434" s="6">
        <v>105</v>
      </c>
      <c r="D8434" s="6">
        <v>54</v>
      </c>
      <c r="E8434" s="6">
        <v>159</v>
      </c>
      <c r="F8434" s="11"/>
    </row>
    <row r="8435" spans="1:6">
      <c r="A8435" s="5" t="str">
        <f t="shared" si="149"/>
        <v>202332</v>
      </c>
      <c r="B8435" s="5" t="str">
        <f>"23085063307"</f>
        <v>23085063307</v>
      </c>
      <c r="C8435" s="6">
        <v>78</v>
      </c>
      <c r="D8435" s="6">
        <v>80</v>
      </c>
      <c r="E8435" s="6">
        <v>158</v>
      </c>
      <c r="F8435" s="11"/>
    </row>
    <row r="8436" spans="1:6">
      <c r="A8436" s="5" t="str">
        <f t="shared" si="149"/>
        <v>202332</v>
      </c>
      <c r="B8436" s="5" t="str">
        <f>"23085062305"</f>
        <v>23085062305</v>
      </c>
      <c r="C8436" s="6">
        <v>75</v>
      </c>
      <c r="D8436" s="6">
        <v>79.5</v>
      </c>
      <c r="E8436" s="6">
        <v>154.5</v>
      </c>
      <c r="F8436" s="11"/>
    </row>
    <row r="8437" spans="1:6">
      <c r="A8437" s="5" t="str">
        <f t="shared" si="149"/>
        <v>202332</v>
      </c>
      <c r="B8437" s="5" t="str">
        <f>"23085063110"</f>
        <v>23085063110</v>
      </c>
      <c r="C8437" s="6">
        <v>69</v>
      </c>
      <c r="D8437" s="6">
        <v>84</v>
      </c>
      <c r="E8437" s="6">
        <v>153</v>
      </c>
      <c r="F8437" s="11"/>
    </row>
    <row r="8438" spans="1:6">
      <c r="A8438" s="5" t="str">
        <f t="shared" si="149"/>
        <v>202332</v>
      </c>
      <c r="B8438" s="5" t="str">
        <f>"23085062221"</f>
        <v>23085062221</v>
      </c>
      <c r="C8438" s="6">
        <v>48</v>
      </c>
      <c r="D8438" s="6">
        <v>101</v>
      </c>
      <c r="E8438" s="6">
        <v>149</v>
      </c>
      <c r="F8438" s="11"/>
    </row>
    <row r="8439" spans="1:6">
      <c r="A8439" s="5" t="str">
        <f t="shared" si="149"/>
        <v>202332</v>
      </c>
      <c r="B8439" s="5" t="str">
        <f>"23085061908"</f>
        <v>23085061908</v>
      </c>
      <c r="C8439" s="6">
        <v>76.5</v>
      </c>
      <c r="D8439" s="6">
        <v>62.5</v>
      </c>
      <c r="E8439" s="6">
        <v>139</v>
      </c>
      <c r="F8439" s="11"/>
    </row>
    <row r="8440" spans="1:6">
      <c r="A8440" s="5" t="str">
        <f t="shared" si="149"/>
        <v>202332</v>
      </c>
      <c r="B8440" s="5" t="str">
        <f>"23085061210"</f>
        <v>23085061210</v>
      </c>
      <c r="C8440" s="6">
        <v>48</v>
      </c>
      <c r="D8440" s="6">
        <v>70.5</v>
      </c>
      <c r="E8440" s="6">
        <v>118.5</v>
      </c>
      <c r="F8440" s="11"/>
    </row>
    <row r="8441" spans="1:6">
      <c r="A8441" s="5" t="str">
        <f t="shared" si="149"/>
        <v>202332</v>
      </c>
      <c r="B8441" s="5" t="str">
        <f>"23085063409"</f>
        <v>23085063409</v>
      </c>
      <c r="C8441" s="6">
        <v>91.5</v>
      </c>
      <c r="D8441" s="6">
        <v>11.5</v>
      </c>
      <c r="E8441" s="6">
        <v>103</v>
      </c>
      <c r="F8441" s="11"/>
    </row>
    <row r="8442" spans="1:6">
      <c r="A8442" s="5" t="str">
        <f t="shared" si="149"/>
        <v>202332</v>
      </c>
      <c r="B8442" s="5" t="str">
        <f>"23085061010"</f>
        <v>23085061010</v>
      </c>
      <c r="C8442" s="6">
        <v>0</v>
      </c>
      <c r="D8442" s="6">
        <v>0</v>
      </c>
      <c r="E8442" s="6">
        <v>0</v>
      </c>
      <c r="F8442" s="11" t="s">
        <v>7</v>
      </c>
    </row>
    <row r="8443" spans="1:6">
      <c r="A8443" s="5" t="str">
        <f t="shared" si="149"/>
        <v>202332</v>
      </c>
      <c r="B8443" s="5" t="str">
        <f>"23085062621"</f>
        <v>23085062621</v>
      </c>
      <c r="C8443" s="6">
        <v>0</v>
      </c>
      <c r="D8443" s="6">
        <v>0</v>
      </c>
      <c r="E8443" s="6">
        <v>0</v>
      </c>
      <c r="F8443" s="11" t="s">
        <v>7</v>
      </c>
    </row>
    <row r="8444" spans="1:6">
      <c r="A8444" s="5" t="str">
        <f t="shared" si="149"/>
        <v>202332</v>
      </c>
      <c r="B8444" s="5" t="str">
        <f>"23085062213"</f>
        <v>23085062213</v>
      </c>
      <c r="C8444" s="6">
        <v>0</v>
      </c>
      <c r="D8444" s="6">
        <v>0</v>
      </c>
      <c r="E8444" s="6">
        <v>0</v>
      </c>
      <c r="F8444" s="11" t="s">
        <v>7</v>
      </c>
    </row>
    <row r="8445" spans="1:6">
      <c r="A8445" s="5" t="str">
        <f t="shared" si="149"/>
        <v>202332</v>
      </c>
      <c r="B8445" s="5" t="str">
        <f>"23085060927"</f>
        <v>23085060927</v>
      </c>
      <c r="C8445" s="6">
        <v>0</v>
      </c>
      <c r="D8445" s="6">
        <v>0</v>
      </c>
      <c r="E8445" s="6">
        <v>0</v>
      </c>
      <c r="F8445" s="11" t="s">
        <v>7</v>
      </c>
    </row>
    <row r="8446" spans="1:6">
      <c r="A8446" s="5" t="str">
        <f t="shared" si="149"/>
        <v>202332</v>
      </c>
      <c r="B8446" s="5" t="str">
        <f>"23085063104"</f>
        <v>23085063104</v>
      </c>
      <c r="C8446" s="6">
        <v>0</v>
      </c>
      <c r="D8446" s="6">
        <v>0</v>
      </c>
      <c r="E8446" s="6">
        <v>0</v>
      </c>
      <c r="F8446" s="11" t="s">
        <v>7</v>
      </c>
    </row>
    <row r="8447" spans="1:6">
      <c r="A8447" s="5" t="str">
        <f t="shared" si="149"/>
        <v>202332</v>
      </c>
      <c r="B8447" s="5" t="str">
        <f>"23085061823"</f>
        <v>23085061823</v>
      </c>
      <c r="C8447" s="6">
        <v>0</v>
      </c>
      <c r="D8447" s="6">
        <v>0</v>
      </c>
      <c r="E8447" s="6">
        <v>0</v>
      </c>
      <c r="F8447" s="11" t="s">
        <v>7</v>
      </c>
    </row>
    <row r="8448" spans="1:6">
      <c r="A8448" s="5" t="str">
        <f t="shared" si="149"/>
        <v>202332</v>
      </c>
      <c r="B8448" s="5" t="str">
        <f>"23085063101"</f>
        <v>23085063101</v>
      </c>
      <c r="C8448" s="6">
        <v>0</v>
      </c>
      <c r="D8448" s="6">
        <v>0</v>
      </c>
      <c r="E8448" s="6">
        <v>0</v>
      </c>
      <c r="F8448" s="11" t="s">
        <v>7</v>
      </c>
    </row>
    <row r="8449" spans="1:6">
      <c r="A8449" s="5" t="str">
        <f t="shared" si="149"/>
        <v>202332</v>
      </c>
      <c r="B8449" s="5" t="str">
        <f>"23085063116"</f>
        <v>23085063116</v>
      </c>
      <c r="C8449" s="6">
        <v>0</v>
      </c>
      <c r="D8449" s="6">
        <v>0</v>
      </c>
      <c r="E8449" s="6">
        <v>0</v>
      </c>
      <c r="F8449" s="11" t="s">
        <v>7</v>
      </c>
    </row>
    <row r="8450" spans="1:6">
      <c r="A8450" s="5" t="str">
        <f t="shared" si="149"/>
        <v>202332</v>
      </c>
      <c r="B8450" s="5" t="str">
        <f>"23085061910"</f>
        <v>23085061910</v>
      </c>
      <c r="C8450" s="6">
        <v>0</v>
      </c>
      <c r="D8450" s="6">
        <v>0</v>
      </c>
      <c r="E8450" s="6">
        <v>0</v>
      </c>
      <c r="F8450" s="11" t="s">
        <v>7</v>
      </c>
    </row>
    <row r="8451" spans="1:6">
      <c r="A8451" s="5" t="str">
        <f t="shared" si="149"/>
        <v>202332</v>
      </c>
      <c r="B8451" s="5" t="str">
        <f>"23085060922"</f>
        <v>23085060922</v>
      </c>
      <c r="C8451" s="6">
        <v>0</v>
      </c>
      <c r="D8451" s="6">
        <v>0</v>
      </c>
      <c r="E8451" s="6">
        <v>0</v>
      </c>
      <c r="F8451" s="11" t="s">
        <v>7</v>
      </c>
    </row>
    <row r="8452" spans="1:6">
      <c r="A8452" s="5" t="str">
        <f t="shared" si="149"/>
        <v>202332</v>
      </c>
      <c r="B8452" s="5" t="str">
        <f>"23085063022"</f>
        <v>23085063022</v>
      </c>
      <c r="C8452" s="6">
        <v>0</v>
      </c>
      <c r="D8452" s="6">
        <v>0</v>
      </c>
      <c r="E8452" s="6">
        <v>0</v>
      </c>
      <c r="F8452" s="11" t="s">
        <v>7</v>
      </c>
    </row>
    <row r="8453" spans="1:6">
      <c r="A8453" s="5" t="str">
        <f t="shared" si="149"/>
        <v>202332</v>
      </c>
      <c r="B8453" s="5" t="str">
        <f>"23085062515"</f>
        <v>23085062515</v>
      </c>
      <c r="C8453" s="6">
        <v>0</v>
      </c>
      <c r="D8453" s="6">
        <v>0</v>
      </c>
      <c r="E8453" s="6">
        <v>0</v>
      </c>
      <c r="F8453" s="11" t="s">
        <v>7</v>
      </c>
    </row>
    <row r="8454" spans="1:6">
      <c r="A8454" s="5" t="str">
        <f t="shared" si="149"/>
        <v>202332</v>
      </c>
      <c r="B8454" s="5" t="str">
        <f>"23085061026"</f>
        <v>23085061026</v>
      </c>
      <c r="C8454" s="6">
        <v>0</v>
      </c>
      <c r="D8454" s="6">
        <v>0</v>
      </c>
      <c r="E8454" s="6">
        <v>0</v>
      </c>
      <c r="F8454" s="11" t="s">
        <v>7</v>
      </c>
    </row>
    <row r="8455" spans="1:6">
      <c r="A8455" s="5" t="str">
        <f t="shared" si="149"/>
        <v>202332</v>
      </c>
      <c r="B8455" s="5" t="str">
        <f>"23085061513"</f>
        <v>23085061513</v>
      </c>
      <c r="C8455" s="6">
        <v>0</v>
      </c>
      <c r="D8455" s="6">
        <v>0</v>
      </c>
      <c r="E8455" s="6">
        <v>0</v>
      </c>
      <c r="F8455" s="11" t="s">
        <v>7</v>
      </c>
    </row>
    <row r="8456" spans="1:6">
      <c r="A8456" s="5" t="str">
        <f t="shared" si="149"/>
        <v>202332</v>
      </c>
      <c r="B8456" s="5" t="str">
        <f>"23085062602"</f>
        <v>23085062602</v>
      </c>
      <c r="C8456" s="6">
        <v>0</v>
      </c>
      <c r="D8456" s="6">
        <v>0</v>
      </c>
      <c r="E8456" s="6">
        <v>0</v>
      </c>
      <c r="F8456" s="11" t="s">
        <v>7</v>
      </c>
    </row>
    <row r="8457" spans="1:6">
      <c r="A8457" s="5" t="str">
        <f t="shared" si="149"/>
        <v>202332</v>
      </c>
      <c r="B8457" s="5" t="str">
        <f>"23085061417"</f>
        <v>23085061417</v>
      </c>
      <c r="C8457" s="6">
        <v>0</v>
      </c>
      <c r="D8457" s="6">
        <v>0</v>
      </c>
      <c r="E8457" s="6">
        <v>0</v>
      </c>
      <c r="F8457" s="11" t="s">
        <v>7</v>
      </c>
    </row>
    <row r="8458" spans="1:6">
      <c r="A8458" s="5" t="str">
        <f t="shared" si="149"/>
        <v>202332</v>
      </c>
      <c r="B8458" s="5" t="str">
        <f>"23085061301"</f>
        <v>23085061301</v>
      </c>
      <c r="C8458" s="6">
        <v>0</v>
      </c>
      <c r="D8458" s="6">
        <v>0</v>
      </c>
      <c r="E8458" s="6">
        <v>0</v>
      </c>
      <c r="F8458" s="11" t="s">
        <v>7</v>
      </c>
    </row>
    <row r="8459" spans="1:6">
      <c r="A8459" s="5" t="str">
        <f t="shared" si="149"/>
        <v>202332</v>
      </c>
      <c r="B8459" s="5" t="str">
        <f>"23085063130"</f>
        <v>23085063130</v>
      </c>
      <c r="C8459" s="6">
        <v>0</v>
      </c>
      <c r="D8459" s="6">
        <v>0</v>
      </c>
      <c r="E8459" s="6">
        <v>0</v>
      </c>
      <c r="F8459" s="11" t="s">
        <v>7</v>
      </c>
    </row>
    <row r="8460" spans="1:6">
      <c r="A8460" s="5" t="str">
        <f t="shared" si="149"/>
        <v>202332</v>
      </c>
      <c r="B8460" s="5" t="str">
        <f>"23085061920"</f>
        <v>23085061920</v>
      </c>
      <c r="C8460" s="6">
        <v>0</v>
      </c>
      <c r="D8460" s="6">
        <v>0</v>
      </c>
      <c r="E8460" s="6">
        <v>0</v>
      </c>
      <c r="F8460" s="11" t="s">
        <v>7</v>
      </c>
    </row>
    <row r="8461" spans="1:6">
      <c r="A8461" s="5" t="str">
        <f t="shared" si="149"/>
        <v>202332</v>
      </c>
      <c r="B8461" s="5" t="str">
        <f>"23085061415"</f>
        <v>23085061415</v>
      </c>
      <c r="C8461" s="6">
        <v>0</v>
      </c>
      <c r="D8461" s="6">
        <v>0</v>
      </c>
      <c r="E8461" s="6">
        <v>0</v>
      </c>
      <c r="F8461" s="11" t="s">
        <v>7</v>
      </c>
    </row>
    <row r="8462" spans="1:6">
      <c r="A8462" s="5" t="str">
        <f t="shared" si="149"/>
        <v>202332</v>
      </c>
      <c r="B8462" s="5" t="str">
        <f>"23085061412"</f>
        <v>23085061412</v>
      </c>
      <c r="C8462" s="6">
        <v>0</v>
      </c>
      <c r="D8462" s="6">
        <v>0</v>
      </c>
      <c r="E8462" s="6">
        <v>0</v>
      </c>
      <c r="F8462" s="11" t="s">
        <v>7</v>
      </c>
    </row>
    <row r="8463" spans="1:6">
      <c r="A8463" s="5" t="str">
        <f t="shared" si="149"/>
        <v>202332</v>
      </c>
      <c r="B8463" s="5" t="str">
        <f>"23085062516"</f>
        <v>23085062516</v>
      </c>
      <c r="C8463" s="6">
        <v>0</v>
      </c>
      <c r="D8463" s="6">
        <v>0</v>
      </c>
      <c r="E8463" s="6">
        <v>0</v>
      </c>
      <c r="F8463" s="11" t="s">
        <v>7</v>
      </c>
    </row>
    <row r="8464" spans="1:6">
      <c r="A8464" s="5" t="str">
        <f t="shared" si="149"/>
        <v>202332</v>
      </c>
      <c r="B8464" s="5" t="str">
        <f>"23085061101"</f>
        <v>23085061101</v>
      </c>
      <c r="C8464" s="6">
        <v>0</v>
      </c>
      <c r="D8464" s="6">
        <v>0</v>
      </c>
      <c r="E8464" s="6">
        <v>0</v>
      </c>
      <c r="F8464" s="11" t="s">
        <v>7</v>
      </c>
    </row>
    <row r="8465" spans="1:6">
      <c r="A8465" s="5" t="str">
        <f t="shared" si="149"/>
        <v>202332</v>
      </c>
      <c r="B8465" s="5" t="str">
        <f>"23085062019"</f>
        <v>23085062019</v>
      </c>
      <c r="C8465" s="6">
        <v>0</v>
      </c>
      <c r="D8465" s="6">
        <v>0</v>
      </c>
      <c r="E8465" s="6">
        <v>0</v>
      </c>
      <c r="F8465" s="11" t="s">
        <v>7</v>
      </c>
    </row>
    <row r="8466" spans="1:6">
      <c r="A8466" s="5" t="str">
        <f t="shared" si="149"/>
        <v>202332</v>
      </c>
      <c r="B8466" s="5" t="str">
        <f>"23085062423"</f>
        <v>23085062423</v>
      </c>
      <c r="C8466" s="6">
        <v>0</v>
      </c>
      <c r="D8466" s="6">
        <v>0</v>
      </c>
      <c r="E8466" s="6">
        <v>0</v>
      </c>
      <c r="F8466" s="11" t="s">
        <v>7</v>
      </c>
    </row>
    <row r="8467" spans="1:6">
      <c r="A8467" s="5" t="str">
        <f t="shared" si="149"/>
        <v>202332</v>
      </c>
      <c r="B8467" s="5" t="str">
        <f>"23085063227"</f>
        <v>23085063227</v>
      </c>
      <c r="C8467" s="6">
        <v>0</v>
      </c>
      <c r="D8467" s="6">
        <v>0</v>
      </c>
      <c r="E8467" s="6">
        <v>0</v>
      </c>
      <c r="F8467" s="11" t="s">
        <v>7</v>
      </c>
    </row>
    <row r="8468" spans="1:6">
      <c r="A8468" s="5" t="str">
        <f t="shared" si="149"/>
        <v>202332</v>
      </c>
      <c r="B8468" s="5" t="str">
        <f>"23085063121"</f>
        <v>23085063121</v>
      </c>
      <c r="C8468" s="6">
        <v>0</v>
      </c>
      <c r="D8468" s="6">
        <v>0</v>
      </c>
      <c r="E8468" s="6">
        <v>0</v>
      </c>
      <c r="F8468" s="11" t="s">
        <v>7</v>
      </c>
    </row>
    <row r="8469" spans="1:6">
      <c r="A8469" s="5" t="str">
        <f t="shared" si="149"/>
        <v>202332</v>
      </c>
      <c r="B8469" s="5" t="str">
        <f>"23085063230"</f>
        <v>23085063230</v>
      </c>
      <c r="C8469" s="6">
        <v>0</v>
      </c>
      <c r="D8469" s="6">
        <v>0</v>
      </c>
      <c r="E8469" s="6">
        <v>0</v>
      </c>
      <c r="F8469" s="11" t="s">
        <v>7</v>
      </c>
    </row>
    <row r="8470" spans="1:6">
      <c r="A8470" s="5" t="str">
        <f t="shared" si="149"/>
        <v>202332</v>
      </c>
      <c r="B8470" s="5" t="str">
        <f>"23085062820"</f>
        <v>23085062820</v>
      </c>
      <c r="C8470" s="6">
        <v>0</v>
      </c>
      <c r="D8470" s="6">
        <v>0</v>
      </c>
      <c r="E8470" s="6">
        <v>0</v>
      </c>
      <c r="F8470" s="11" t="s">
        <v>7</v>
      </c>
    </row>
    <row r="8471" spans="1:6">
      <c r="A8471" s="5" t="str">
        <f t="shared" si="149"/>
        <v>202332</v>
      </c>
      <c r="B8471" s="5" t="str">
        <f>"23085061219"</f>
        <v>23085061219</v>
      </c>
      <c r="C8471" s="6">
        <v>0</v>
      </c>
      <c r="D8471" s="6">
        <v>0</v>
      </c>
      <c r="E8471" s="6">
        <v>0</v>
      </c>
      <c r="F8471" s="11" t="s">
        <v>7</v>
      </c>
    </row>
    <row r="8472" spans="1:6">
      <c r="A8472" s="5" t="str">
        <f t="shared" si="149"/>
        <v>202332</v>
      </c>
      <c r="B8472" s="5" t="str">
        <f>"23085062904"</f>
        <v>23085062904</v>
      </c>
      <c r="C8472" s="6">
        <v>0</v>
      </c>
      <c r="D8472" s="6">
        <v>0</v>
      </c>
      <c r="E8472" s="6">
        <v>0</v>
      </c>
      <c r="F8472" s="11" t="s">
        <v>7</v>
      </c>
    </row>
    <row r="8473" spans="1:6">
      <c r="A8473" s="5" t="str">
        <f t="shared" si="149"/>
        <v>202332</v>
      </c>
      <c r="B8473" s="5" t="str">
        <f>"23085063407"</f>
        <v>23085063407</v>
      </c>
      <c r="C8473" s="6">
        <v>0</v>
      </c>
      <c r="D8473" s="6">
        <v>0</v>
      </c>
      <c r="E8473" s="6">
        <v>0</v>
      </c>
      <c r="F8473" s="11" t="s">
        <v>7</v>
      </c>
    </row>
    <row r="8474" spans="1:6">
      <c r="A8474" s="5" t="str">
        <f t="shared" si="149"/>
        <v>202332</v>
      </c>
      <c r="B8474" s="5" t="str">
        <f>"23085062026"</f>
        <v>23085062026</v>
      </c>
      <c r="C8474" s="6">
        <v>0</v>
      </c>
      <c r="D8474" s="6">
        <v>0</v>
      </c>
      <c r="E8474" s="6">
        <v>0</v>
      </c>
      <c r="F8474" s="11" t="s">
        <v>7</v>
      </c>
    </row>
    <row r="8475" spans="1:6">
      <c r="A8475" s="5" t="str">
        <f t="shared" si="149"/>
        <v>202332</v>
      </c>
      <c r="B8475" s="5" t="str">
        <f>"23085061204"</f>
        <v>23085061204</v>
      </c>
      <c r="C8475" s="6">
        <v>0</v>
      </c>
      <c r="D8475" s="6">
        <v>0</v>
      </c>
      <c r="E8475" s="6">
        <v>0</v>
      </c>
      <c r="F8475" s="11" t="s">
        <v>7</v>
      </c>
    </row>
    <row r="8476" spans="1:6">
      <c r="A8476" s="5" t="str">
        <f t="shared" si="149"/>
        <v>202332</v>
      </c>
      <c r="B8476" s="5" t="str">
        <f>"23085062402"</f>
        <v>23085062402</v>
      </c>
      <c r="C8476" s="6">
        <v>0</v>
      </c>
      <c r="D8476" s="6">
        <v>0</v>
      </c>
      <c r="E8476" s="6">
        <v>0</v>
      </c>
      <c r="F8476" s="11" t="s">
        <v>7</v>
      </c>
    </row>
    <row r="8477" spans="1:6">
      <c r="A8477" s="5" t="str">
        <f t="shared" si="149"/>
        <v>202332</v>
      </c>
      <c r="B8477" s="5" t="str">
        <f>"23085061703"</f>
        <v>23085061703</v>
      </c>
      <c r="C8477" s="6">
        <v>0</v>
      </c>
      <c r="D8477" s="6">
        <v>0</v>
      </c>
      <c r="E8477" s="6">
        <v>0</v>
      </c>
      <c r="F8477" s="11" t="s">
        <v>7</v>
      </c>
    </row>
    <row r="8478" spans="1:6">
      <c r="A8478" s="5" t="str">
        <f t="shared" si="149"/>
        <v>202332</v>
      </c>
      <c r="B8478" s="5" t="str">
        <f>"23085061020"</f>
        <v>23085061020</v>
      </c>
      <c r="C8478" s="6">
        <v>0</v>
      </c>
      <c r="D8478" s="6">
        <v>0</v>
      </c>
      <c r="E8478" s="6">
        <v>0</v>
      </c>
      <c r="F8478" s="11" t="s">
        <v>7</v>
      </c>
    </row>
    <row r="8479" spans="1:6">
      <c r="A8479" s="5" t="str">
        <f t="shared" si="149"/>
        <v>202332</v>
      </c>
      <c r="B8479" s="5" t="str">
        <f>"23085062619"</f>
        <v>23085062619</v>
      </c>
      <c r="C8479" s="6">
        <v>0</v>
      </c>
      <c r="D8479" s="6">
        <v>0</v>
      </c>
      <c r="E8479" s="6">
        <v>0</v>
      </c>
      <c r="F8479" s="11" t="s">
        <v>7</v>
      </c>
    </row>
    <row r="8480" spans="1:6">
      <c r="A8480" s="5" t="str">
        <f t="shared" si="149"/>
        <v>202332</v>
      </c>
      <c r="B8480" s="5" t="str">
        <f>"23085061207"</f>
        <v>23085061207</v>
      </c>
      <c r="C8480" s="6">
        <v>0</v>
      </c>
      <c r="D8480" s="6">
        <v>0</v>
      </c>
      <c r="E8480" s="6">
        <v>0</v>
      </c>
      <c r="F8480" s="11" t="s">
        <v>7</v>
      </c>
    </row>
    <row r="8481" spans="1:6">
      <c r="A8481" s="5" t="str">
        <f t="shared" si="149"/>
        <v>202332</v>
      </c>
      <c r="B8481" s="5" t="str">
        <f>"23085061716"</f>
        <v>23085061716</v>
      </c>
      <c r="C8481" s="6">
        <v>0</v>
      </c>
      <c r="D8481" s="6">
        <v>0</v>
      </c>
      <c r="E8481" s="6">
        <v>0</v>
      </c>
      <c r="F8481" s="11" t="s">
        <v>7</v>
      </c>
    </row>
    <row r="8482" spans="1:6">
      <c r="A8482" s="5" t="str">
        <f t="shared" si="149"/>
        <v>202332</v>
      </c>
      <c r="B8482" s="5" t="str">
        <f>"23085061202"</f>
        <v>23085061202</v>
      </c>
      <c r="C8482" s="6">
        <v>0</v>
      </c>
      <c r="D8482" s="6">
        <v>0</v>
      </c>
      <c r="E8482" s="6">
        <v>0</v>
      </c>
      <c r="F8482" s="11" t="s">
        <v>7</v>
      </c>
    </row>
    <row r="8483" spans="1:6">
      <c r="A8483" s="5" t="str">
        <f t="shared" si="149"/>
        <v>202332</v>
      </c>
      <c r="B8483" s="5" t="str">
        <f>"23085061726"</f>
        <v>23085061726</v>
      </c>
      <c r="C8483" s="6">
        <v>0</v>
      </c>
      <c r="D8483" s="6">
        <v>0</v>
      </c>
      <c r="E8483" s="6">
        <v>0</v>
      </c>
      <c r="F8483" s="11" t="s">
        <v>7</v>
      </c>
    </row>
    <row r="8484" spans="1:6">
      <c r="A8484" s="5" t="str">
        <f t="shared" si="149"/>
        <v>202332</v>
      </c>
      <c r="B8484" s="5" t="str">
        <f>"23085062311"</f>
        <v>23085062311</v>
      </c>
      <c r="C8484" s="6">
        <v>0</v>
      </c>
      <c r="D8484" s="6">
        <v>0</v>
      </c>
      <c r="E8484" s="6">
        <v>0</v>
      </c>
      <c r="F8484" s="11" t="s">
        <v>7</v>
      </c>
    </row>
    <row r="8485" spans="1:6">
      <c r="A8485" s="5" t="str">
        <f t="shared" si="149"/>
        <v>202332</v>
      </c>
      <c r="B8485" s="5" t="str">
        <f>"23085063421"</f>
        <v>23085063421</v>
      </c>
      <c r="C8485" s="6">
        <v>0</v>
      </c>
      <c r="D8485" s="6">
        <v>0</v>
      </c>
      <c r="E8485" s="6">
        <v>0</v>
      </c>
      <c r="F8485" s="11" t="s">
        <v>7</v>
      </c>
    </row>
    <row r="8486" spans="1:6">
      <c r="A8486" s="5" t="str">
        <f t="shared" si="149"/>
        <v>202332</v>
      </c>
      <c r="B8486" s="5" t="str">
        <f>"23085062413"</f>
        <v>23085062413</v>
      </c>
      <c r="C8486" s="6">
        <v>0</v>
      </c>
      <c r="D8486" s="6">
        <v>0</v>
      </c>
      <c r="E8486" s="6">
        <v>0</v>
      </c>
      <c r="F8486" s="11" t="s">
        <v>7</v>
      </c>
    </row>
    <row r="8487" spans="1:6">
      <c r="A8487" s="5" t="str">
        <f t="shared" si="149"/>
        <v>202332</v>
      </c>
      <c r="B8487" s="5" t="str">
        <f>"23085062528"</f>
        <v>23085062528</v>
      </c>
      <c r="C8487" s="6">
        <v>0</v>
      </c>
      <c r="D8487" s="6">
        <v>0</v>
      </c>
      <c r="E8487" s="6">
        <v>0</v>
      </c>
      <c r="F8487" s="11" t="s">
        <v>7</v>
      </c>
    </row>
    <row r="8488" spans="1:6">
      <c r="A8488" s="5" t="str">
        <f t="shared" si="149"/>
        <v>202332</v>
      </c>
      <c r="B8488" s="5" t="str">
        <f>"23085061007"</f>
        <v>23085061007</v>
      </c>
      <c r="C8488" s="6">
        <v>0</v>
      </c>
      <c r="D8488" s="6">
        <v>0</v>
      </c>
      <c r="E8488" s="6">
        <v>0</v>
      </c>
      <c r="F8488" s="11" t="s">
        <v>7</v>
      </c>
    </row>
    <row r="8489" spans="1:6">
      <c r="A8489" s="5" t="str">
        <f t="shared" si="149"/>
        <v>202332</v>
      </c>
      <c r="B8489" s="5" t="str">
        <f>"23085061718"</f>
        <v>23085061718</v>
      </c>
      <c r="C8489" s="6">
        <v>0</v>
      </c>
      <c r="D8489" s="6">
        <v>0</v>
      </c>
      <c r="E8489" s="6">
        <v>0</v>
      </c>
      <c r="F8489" s="11" t="s">
        <v>7</v>
      </c>
    </row>
    <row r="8490" spans="1:6">
      <c r="A8490" s="5" t="str">
        <f t="shared" si="149"/>
        <v>202332</v>
      </c>
      <c r="B8490" s="5" t="str">
        <f>"23085061306"</f>
        <v>23085061306</v>
      </c>
      <c r="C8490" s="6">
        <v>0</v>
      </c>
      <c r="D8490" s="6">
        <v>0</v>
      </c>
      <c r="E8490" s="6">
        <v>0</v>
      </c>
      <c r="F8490" s="11" t="s">
        <v>7</v>
      </c>
    </row>
    <row r="8491" spans="1:6">
      <c r="A8491" s="5" t="str">
        <f t="shared" ref="A8491:A8554" si="150">"202332"</f>
        <v>202332</v>
      </c>
      <c r="B8491" s="5" t="str">
        <f>"23085062024"</f>
        <v>23085062024</v>
      </c>
      <c r="C8491" s="6">
        <v>0</v>
      </c>
      <c r="D8491" s="6">
        <v>0</v>
      </c>
      <c r="E8491" s="6">
        <v>0</v>
      </c>
      <c r="F8491" s="11" t="s">
        <v>7</v>
      </c>
    </row>
    <row r="8492" spans="1:6">
      <c r="A8492" s="5" t="str">
        <f t="shared" si="150"/>
        <v>202332</v>
      </c>
      <c r="B8492" s="5" t="str">
        <f>"23085061803"</f>
        <v>23085061803</v>
      </c>
      <c r="C8492" s="6">
        <v>0</v>
      </c>
      <c r="D8492" s="6">
        <v>0</v>
      </c>
      <c r="E8492" s="6">
        <v>0</v>
      </c>
      <c r="F8492" s="11" t="s">
        <v>7</v>
      </c>
    </row>
    <row r="8493" spans="1:6">
      <c r="A8493" s="5" t="str">
        <f t="shared" si="150"/>
        <v>202332</v>
      </c>
      <c r="B8493" s="5" t="str">
        <f>"23085062302"</f>
        <v>23085062302</v>
      </c>
      <c r="C8493" s="6">
        <v>0</v>
      </c>
      <c r="D8493" s="6">
        <v>0</v>
      </c>
      <c r="E8493" s="6">
        <v>0</v>
      </c>
      <c r="F8493" s="11" t="s">
        <v>7</v>
      </c>
    </row>
    <row r="8494" spans="1:6">
      <c r="A8494" s="5" t="str">
        <f t="shared" si="150"/>
        <v>202332</v>
      </c>
      <c r="B8494" s="5" t="str">
        <f>"23085062712"</f>
        <v>23085062712</v>
      </c>
      <c r="C8494" s="6">
        <v>0</v>
      </c>
      <c r="D8494" s="6">
        <v>0</v>
      </c>
      <c r="E8494" s="6">
        <v>0</v>
      </c>
      <c r="F8494" s="11" t="s">
        <v>7</v>
      </c>
    </row>
    <row r="8495" spans="1:6">
      <c r="A8495" s="5" t="str">
        <f t="shared" si="150"/>
        <v>202332</v>
      </c>
      <c r="B8495" s="5" t="str">
        <f>"23085060923"</f>
        <v>23085060923</v>
      </c>
      <c r="C8495" s="6">
        <v>0</v>
      </c>
      <c r="D8495" s="6">
        <v>0</v>
      </c>
      <c r="E8495" s="6">
        <v>0</v>
      </c>
      <c r="F8495" s="11" t="s">
        <v>7</v>
      </c>
    </row>
    <row r="8496" spans="1:6">
      <c r="A8496" s="5" t="str">
        <f t="shared" si="150"/>
        <v>202332</v>
      </c>
      <c r="B8496" s="5" t="str">
        <f>"23085061515"</f>
        <v>23085061515</v>
      </c>
      <c r="C8496" s="6">
        <v>0</v>
      </c>
      <c r="D8496" s="6">
        <v>0</v>
      </c>
      <c r="E8496" s="6">
        <v>0</v>
      </c>
      <c r="F8496" s="11" t="s">
        <v>7</v>
      </c>
    </row>
    <row r="8497" spans="1:6">
      <c r="A8497" s="5" t="str">
        <f t="shared" si="150"/>
        <v>202332</v>
      </c>
      <c r="B8497" s="5" t="str">
        <f>"23085061917"</f>
        <v>23085061917</v>
      </c>
      <c r="C8497" s="6">
        <v>0</v>
      </c>
      <c r="D8497" s="6">
        <v>0</v>
      </c>
      <c r="E8497" s="6">
        <v>0</v>
      </c>
      <c r="F8497" s="11" t="s">
        <v>7</v>
      </c>
    </row>
    <row r="8498" spans="1:6">
      <c r="A8498" s="5" t="str">
        <f t="shared" si="150"/>
        <v>202332</v>
      </c>
      <c r="B8498" s="5" t="str">
        <f>"23085062425"</f>
        <v>23085062425</v>
      </c>
      <c r="C8498" s="6">
        <v>0</v>
      </c>
      <c r="D8498" s="6">
        <v>0</v>
      </c>
      <c r="E8498" s="6">
        <v>0</v>
      </c>
      <c r="F8498" s="11" t="s">
        <v>7</v>
      </c>
    </row>
    <row r="8499" spans="1:6">
      <c r="A8499" s="5" t="str">
        <f t="shared" si="150"/>
        <v>202332</v>
      </c>
      <c r="B8499" s="5" t="str">
        <f>"23085063426"</f>
        <v>23085063426</v>
      </c>
      <c r="C8499" s="6">
        <v>0</v>
      </c>
      <c r="D8499" s="6">
        <v>0</v>
      </c>
      <c r="E8499" s="6">
        <v>0</v>
      </c>
      <c r="F8499" s="11" t="s">
        <v>7</v>
      </c>
    </row>
    <row r="8500" spans="1:6">
      <c r="A8500" s="5" t="str">
        <f t="shared" si="150"/>
        <v>202332</v>
      </c>
      <c r="B8500" s="5" t="str">
        <f>"23085062410"</f>
        <v>23085062410</v>
      </c>
      <c r="C8500" s="6">
        <v>0</v>
      </c>
      <c r="D8500" s="6">
        <v>0</v>
      </c>
      <c r="E8500" s="6">
        <v>0</v>
      </c>
      <c r="F8500" s="11" t="s">
        <v>7</v>
      </c>
    </row>
    <row r="8501" spans="1:6">
      <c r="A8501" s="5" t="str">
        <f t="shared" si="150"/>
        <v>202332</v>
      </c>
      <c r="B8501" s="5" t="str">
        <f>"23085061428"</f>
        <v>23085061428</v>
      </c>
      <c r="C8501" s="6">
        <v>0</v>
      </c>
      <c r="D8501" s="6">
        <v>0</v>
      </c>
      <c r="E8501" s="6">
        <v>0</v>
      </c>
      <c r="F8501" s="11" t="s">
        <v>7</v>
      </c>
    </row>
    <row r="8502" spans="1:6">
      <c r="A8502" s="5" t="str">
        <f t="shared" si="150"/>
        <v>202332</v>
      </c>
      <c r="B8502" s="5" t="str">
        <f>"23085063324"</f>
        <v>23085063324</v>
      </c>
      <c r="C8502" s="6">
        <v>0</v>
      </c>
      <c r="D8502" s="6">
        <v>0</v>
      </c>
      <c r="E8502" s="6">
        <v>0</v>
      </c>
      <c r="F8502" s="11" t="s">
        <v>7</v>
      </c>
    </row>
    <row r="8503" spans="1:6">
      <c r="A8503" s="5" t="str">
        <f t="shared" si="150"/>
        <v>202332</v>
      </c>
      <c r="B8503" s="5" t="str">
        <f>"23085061710"</f>
        <v>23085061710</v>
      </c>
      <c r="C8503" s="6">
        <v>0</v>
      </c>
      <c r="D8503" s="6">
        <v>0</v>
      </c>
      <c r="E8503" s="6">
        <v>0</v>
      </c>
      <c r="F8503" s="11" t="s">
        <v>7</v>
      </c>
    </row>
    <row r="8504" spans="1:6">
      <c r="A8504" s="5" t="str">
        <f t="shared" si="150"/>
        <v>202332</v>
      </c>
      <c r="B8504" s="5" t="str">
        <f>"23085063522"</f>
        <v>23085063522</v>
      </c>
      <c r="C8504" s="6">
        <v>0</v>
      </c>
      <c r="D8504" s="6">
        <v>0</v>
      </c>
      <c r="E8504" s="6">
        <v>0</v>
      </c>
      <c r="F8504" s="11" t="s">
        <v>7</v>
      </c>
    </row>
    <row r="8505" spans="1:6">
      <c r="A8505" s="5" t="str">
        <f t="shared" si="150"/>
        <v>202332</v>
      </c>
      <c r="B8505" s="5" t="str">
        <f>"23085062021"</f>
        <v>23085062021</v>
      </c>
      <c r="C8505" s="6">
        <v>0</v>
      </c>
      <c r="D8505" s="6">
        <v>0</v>
      </c>
      <c r="E8505" s="6">
        <v>0</v>
      </c>
      <c r="F8505" s="11" t="s">
        <v>7</v>
      </c>
    </row>
    <row r="8506" spans="1:6">
      <c r="A8506" s="5" t="str">
        <f t="shared" si="150"/>
        <v>202332</v>
      </c>
      <c r="B8506" s="5" t="str">
        <f>"23085062101"</f>
        <v>23085062101</v>
      </c>
      <c r="C8506" s="6">
        <v>0</v>
      </c>
      <c r="D8506" s="6">
        <v>0</v>
      </c>
      <c r="E8506" s="6">
        <v>0</v>
      </c>
      <c r="F8506" s="11" t="s">
        <v>7</v>
      </c>
    </row>
    <row r="8507" spans="1:6">
      <c r="A8507" s="5" t="str">
        <f t="shared" si="150"/>
        <v>202332</v>
      </c>
      <c r="B8507" s="5" t="str">
        <f>"23085061317"</f>
        <v>23085061317</v>
      </c>
      <c r="C8507" s="6">
        <v>0</v>
      </c>
      <c r="D8507" s="6">
        <v>0</v>
      </c>
      <c r="E8507" s="6">
        <v>0</v>
      </c>
      <c r="F8507" s="11" t="s">
        <v>7</v>
      </c>
    </row>
    <row r="8508" spans="1:6">
      <c r="A8508" s="5" t="str">
        <f t="shared" si="150"/>
        <v>202332</v>
      </c>
      <c r="B8508" s="5" t="str">
        <f>"23085062304"</f>
        <v>23085062304</v>
      </c>
      <c r="C8508" s="6">
        <v>0</v>
      </c>
      <c r="D8508" s="6">
        <v>0</v>
      </c>
      <c r="E8508" s="6">
        <v>0</v>
      </c>
      <c r="F8508" s="11" t="s">
        <v>7</v>
      </c>
    </row>
    <row r="8509" spans="1:6">
      <c r="A8509" s="5" t="str">
        <f t="shared" si="150"/>
        <v>202332</v>
      </c>
      <c r="B8509" s="5" t="str">
        <f>"23085061923"</f>
        <v>23085061923</v>
      </c>
      <c r="C8509" s="6">
        <v>0</v>
      </c>
      <c r="D8509" s="6">
        <v>0</v>
      </c>
      <c r="E8509" s="6">
        <v>0</v>
      </c>
      <c r="F8509" s="11" t="s">
        <v>7</v>
      </c>
    </row>
    <row r="8510" spans="1:6">
      <c r="A8510" s="5" t="str">
        <f t="shared" si="150"/>
        <v>202332</v>
      </c>
      <c r="B8510" s="5" t="str">
        <f>"23085061720"</f>
        <v>23085061720</v>
      </c>
      <c r="C8510" s="6">
        <v>0</v>
      </c>
      <c r="D8510" s="6">
        <v>0</v>
      </c>
      <c r="E8510" s="6">
        <v>0</v>
      </c>
      <c r="F8510" s="11" t="s">
        <v>7</v>
      </c>
    </row>
    <row r="8511" spans="1:6">
      <c r="A8511" s="5" t="str">
        <f t="shared" si="150"/>
        <v>202332</v>
      </c>
      <c r="B8511" s="5" t="str">
        <f>"23085062411"</f>
        <v>23085062411</v>
      </c>
      <c r="C8511" s="6">
        <v>0</v>
      </c>
      <c r="D8511" s="6">
        <v>0</v>
      </c>
      <c r="E8511" s="6">
        <v>0</v>
      </c>
      <c r="F8511" s="11" t="s">
        <v>7</v>
      </c>
    </row>
    <row r="8512" spans="1:6">
      <c r="A8512" s="5" t="str">
        <f t="shared" si="150"/>
        <v>202332</v>
      </c>
      <c r="B8512" s="5" t="str">
        <f>"23085060925"</f>
        <v>23085060925</v>
      </c>
      <c r="C8512" s="6">
        <v>0</v>
      </c>
      <c r="D8512" s="6">
        <v>0</v>
      </c>
      <c r="E8512" s="6">
        <v>0</v>
      </c>
      <c r="F8512" s="11" t="s">
        <v>7</v>
      </c>
    </row>
    <row r="8513" spans="1:6">
      <c r="A8513" s="5" t="str">
        <f t="shared" si="150"/>
        <v>202332</v>
      </c>
      <c r="B8513" s="5" t="str">
        <f>"23085060920"</f>
        <v>23085060920</v>
      </c>
      <c r="C8513" s="6">
        <v>0</v>
      </c>
      <c r="D8513" s="6">
        <v>0</v>
      </c>
      <c r="E8513" s="6">
        <v>0</v>
      </c>
      <c r="F8513" s="11" t="s">
        <v>7</v>
      </c>
    </row>
    <row r="8514" spans="1:6">
      <c r="A8514" s="5" t="str">
        <f t="shared" si="150"/>
        <v>202332</v>
      </c>
      <c r="B8514" s="5" t="str">
        <f>"23085062016"</f>
        <v>23085062016</v>
      </c>
      <c r="C8514" s="6">
        <v>0</v>
      </c>
      <c r="D8514" s="6">
        <v>0</v>
      </c>
      <c r="E8514" s="6">
        <v>0</v>
      </c>
      <c r="F8514" s="11" t="s">
        <v>7</v>
      </c>
    </row>
    <row r="8515" spans="1:6">
      <c r="A8515" s="5" t="str">
        <f t="shared" si="150"/>
        <v>202332</v>
      </c>
      <c r="B8515" s="5" t="str">
        <f>"23085061407"</f>
        <v>23085061407</v>
      </c>
      <c r="C8515" s="6">
        <v>0</v>
      </c>
      <c r="D8515" s="6">
        <v>0</v>
      </c>
      <c r="E8515" s="6">
        <v>0</v>
      </c>
      <c r="F8515" s="11" t="s">
        <v>7</v>
      </c>
    </row>
    <row r="8516" spans="1:6">
      <c r="A8516" s="5" t="str">
        <f t="shared" si="150"/>
        <v>202332</v>
      </c>
      <c r="B8516" s="5" t="str">
        <f>"23085061405"</f>
        <v>23085061405</v>
      </c>
      <c r="C8516" s="6">
        <v>0</v>
      </c>
      <c r="D8516" s="6">
        <v>0</v>
      </c>
      <c r="E8516" s="6">
        <v>0</v>
      </c>
      <c r="F8516" s="11" t="s">
        <v>7</v>
      </c>
    </row>
    <row r="8517" spans="1:6">
      <c r="A8517" s="5" t="str">
        <f t="shared" si="150"/>
        <v>202332</v>
      </c>
      <c r="B8517" s="5" t="str">
        <f>"23085063204"</f>
        <v>23085063204</v>
      </c>
      <c r="C8517" s="6">
        <v>0</v>
      </c>
      <c r="D8517" s="6">
        <v>0</v>
      </c>
      <c r="E8517" s="6">
        <v>0</v>
      </c>
      <c r="F8517" s="11" t="s">
        <v>7</v>
      </c>
    </row>
    <row r="8518" spans="1:6">
      <c r="A8518" s="5" t="str">
        <f t="shared" si="150"/>
        <v>202332</v>
      </c>
      <c r="B8518" s="5" t="str">
        <f>"23085063303"</f>
        <v>23085063303</v>
      </c>
      <c r="C8518" s="6">
        <v>0</v>
      </c>
      <c r="D8518" s="6">
        <v>0</v>
      </c>
      <c r="E8518" s="6">
        <v>0</v>
      </c>
      <c r="F8518" s="11" t="s">
        <v>7</v>
      </c>
    </row>
    <row r="8519" spans="1:6">
      <c r="A8519" s="5" t="str">
        <f t="shared" si="150"/>
        <v>202332</v>
      </c>
      <c r="B8519" s="5" t="str">
        <f>"23085061209"</f>
        <v>23085061209</v>
      </c>
      <c r="C8519" s="6">
        <v>0</v>
      </c>
      <c r="D8519" s="6">
        <v>0</v>
      </c>
      <c r="E8519" s="6">
        <v>0</v>
      </c>
      <c r="F8519" s="11" t="s">
        <v>7</v>
      </c>
    </row>
    <row r="8520" spans="1:6">
      <c r="A8520" s="5" t="str">
        <f t="shared" si="150"/>
        <v>202332</v>
      </c>
      <c r="B8520" s="5" t="str">
        <f>"23085063317"</f>
        <v>23085063317</v>
      </c>
      <c r="C8520" s="6">
        <v>0</v>
      </c>
      <c r="D8520" s="6">
        <v>0</v>
      </c>
      <c r="E8520" s="6">
        <v>0</v>
      </c>
      <c r="F8520" s="11" t="s">
        <v>7</v>
      </c>
    </row>
    <row r="8521" spans="1:6">
      <c r="A8521" s="5" t="str">
        <f t="shared" si="150"/>
        <v>202332</v>
      </c>
      <c r="B8521" s="5" t="str">
        <f>"23085062003"</f>
        <v>23085062003</v>
      </c>
      <c r="C8521" s="6">
        <v>0</v>
      </c>
      <c r="D8521" s="6">
        <v>0</v>
      </c>
      <c r="E8521" s="6">
        <v>0</v>
      </c>
      <c r="F8521" s="11" t="s">
        <v>7</v>
      </c>
    </row>
    <row r="8522" spans="1:6">
      <c r="A8522" s="5" t="str">
        <f t="shared" si="150"/>
        <v>202332</v>
      </c>
      <c r="B8522" s="5" t="str">
        <f>"23085061028"</f>
        <v>23085061028</v>
      </c>
      <c r="C8522" s="6">
        <v>0</v>
      </c>
      <c r="D8522" s="6">
        <v>0</v>
      </c>
      <c r="E8522" s="6">
        <v>0</v>
      </c>
      <c r="F8522" s="11" t="s">
        <v>7</v>
      </c>
    </row>
    <row r="8523" spans="1:6">
      <c r="A8523" s="5" t="str">
        <f t="shared" si="150"/>
        <v>202332</v>
      </c>
      <c r="B8523" s="5" t="str">
        <f>"23085062324"</f>
        <v>23085062324</v>
      </c>
      <c r="C8523" s="6">
        <v>0</v>
      </c>
      <c r="D8523" s="6">
        <v>0</v>
      </c>
      <c r="E8523" s="6">
        <v>0</v>
      </c>
      <c r="F8523" s="11" t="s">
        <v>7</v>
      </c>
    </row>
    <row r="8524" spans="1:6">
      <c r="A8524" s="5" t="str">
        <f t="shared" si="150"/>
        <v>202332</v>
      </c>
      <c r="B8524" s="5" t="str">
        <f>"23085063021"</f>
        <v>23085063021</v>
      </c>
      <c r="C8524" s="6">
        <v>0</v>
      </c>
      <c r="D8524" s="6">
        <v>0</v>
      </c>
      <c r="E8524" s="6">
        <v>0</v>
      </c>
      <c r="F8524" s="11" t="s">
        <v>7</v>
      </c>
    </row>
    <row r="8525" spans="1:6">
      <c r="A8525" s="5" t="str">
        <f t="shared" si="150"/>
        <v>202332</v>
      </c>
      <c r="B8525" s="5" t="str">
        <f>"23085061729"</f>
        <v>23085061729</v>
      </c>
      <c r="C8525" s="6">
        <v>0</v>
      </c>
      <c r="D8525" s="6">
        <v>0</v>
      </c>
      <c r="E8525" s="6">
        <v>0</v>
      </c>
      <c r="F8525" s="11" t="s">
        <v>7</v>
      </c>
    </row>
    <row r="8526" spans="1:6">
      <c r="A8526" s="5" t="str">
        <f t="shared" si="150"/>
        <v>202332</v>
      </c>
      <c r="B8526" s="5" t="str">
        <f>"23085063124"</f>
        <v>23085063124</v>
      </c>
      <c r="C8526" s="6">
        <v>0</v>
      </c>
      <c r="D8526" s="6">
        <v>0</v>
      </c>
      <c r="E8526" s="6">
        <v>0</v>
      </c>
      <c r="F8526" s="11" t="s">
        <v>7</v>
      </c>
    </row>
    <row r="8527" spans="1:6">
      <c r="A8527" s="5" t="str">
        <f t="shared" si="150"/>
        <v>202332</v>
      </c>
      <c r="B8527" s="5" t="str">
        <f>"23085063225"</f>
        <v>23085063225</v>
      </c>
      <c r="C8527" s="6">
        <v>0</v>
      </c>
      <c r="D8527" s="6">
        <v>0</v>
      </c>
      <c r="E8527" s="6">
        <v>0</v>
      </c>
      <c r="F8527" s="11" t="s">
        <v>7</v>
      </c>
    </row>
    <row r="8528" spans="1:6">
      <c r="A8528" s="5" t="str">
        <f t="shared" si="150"/>
        <v>202332</v>
      </c>
      <c r="B8528" s="5" t="str">
        <f>"23085061320"</f>
        <v>23085061320</v>
      </c>
      <c r="C8528" s="6">
        <v>0</v>
      </c>
      <c r="D8528" s="6">
        <v>0</v>
      </c>
      <c r="E8528" s="6">
        <v>0</v>
      </c>
      <c r="F8528" s="11" t="s">
        <v>7</v>
      </c>
    </row>
    <row r="8529" spans="1:6">
      <c r="A8529" s="5" t="str">
        <f t="shared" si="150"/>
        <v>202332</v>
      </c>
      <c r="B8529" s="5" t="str">
        <f>"23085061725"</f>
        <v>23085061725</v>
      </c>
      <c r="C8529" s="6">
        <v>0</v>
      </c>
      <c r="D8529" s="6">
        <v>0</v>
      </c>
      <c r="E8529" s="6">
        <v>0</v>
      </c>
      <c r="F8529" s="11" t="s">
        <v>7</v>
      </c>
    </row>
    <row r="8530" spans="1:6">
      <c r="A8530" s="5" t="str">
        <f t="shared" si="150"/>
        <v>202332</v>
      </c>
      <c r="B8530" s="5" t="str">
        <f>"23085063518"</f>
        <v>23085063518</v>
      </c>
      <c r="C8530" s="6">
        <v>0</v>
      </c>
      <c r="D8530" s="6">
        <v>0</v>
      </c>
      <c r="E8530" s="6">
        <v>0</v>
      </c>
      <c r="F8530" s="11" t="s">
        <v>7</v>
      </c>
    </row>
    <row r="8531" spans="1:6">
      <c r="A8531" s="5" t="str">
        <f t="shared" si="150"/>
        <v>202332</v>
      </c>
      <c r="B8531" s="5" t="str">
        <f>"23085062326"</f>
        <v>23085062326</v>
      </c>
      <c r="C8531" s="6">
        <v>0</v>
      </c>
      <c r="D8531" s="6">
        <v>0</v>
      </c>
      <c r="E8531" s="6">
        <v>0</v>
      </c>
      <c r="F8531" s="11" t="s">
        <v>7</v>
      </c>
    </row>
    <row r="8532" spans="1:6">
      <c r="A8532" s="5" t="str">
        <f t="shared" si="150"/>
        <v>202332</v>
      </c>
      <c r="B8532" s="5" t="str">
        <f>"23085062828"</f>
        <v>23085062828</v>
      </c>
      <c r="C8532" s="6">
        <v>0</v>
      </c>
      <c r="D8532" s="6">
        <v>0</v>
      </c>
      <c r="E8532" s="6">
        <v>0</v>
      </c>
      <c r="F8532" s="11" t="s">
        <v>7</v>
      </c>
    </row>
    <row r="8533" spans="1:6">
      <c r="A8533" s="5" t="str">
        <f t="shared" si="150"/>
        <v>202332</v>
      </c>
      <c r="B8533" s="5" t="str">
        <f>"23085063415"</f>
        <v>23085063415</v>
      </c>
      <c r="C8533" s="6">
        <v>0</v>
      </c>
      <c r="D8533" s="6">
        <v>0</v>
      </c>
      <c r="E8533" s="6">
        <v>0</v>
      </c>
      <c r="F8533" s="11" t="s">
        <v>7</v>
      </c>
    </row>
    <row r="8534" spans="1:6">
      <c r="A8534" s="5" t="str">
        <f t="shared" si="150"/>
        <v>202332</v>
      </c>
      <c r="B8534" s="5" t="str">
        <f>"23085063123"</f>
        <v>23085063123</v>
      </c>
      <c r="C8534" s="6">
        <v>0</v>
      </c>
      <c r="D8534" s="6">
        <v>0</v>
      </c>
      <c r="E8534" s="6">
        <v>0</v>
      </c>
      <c r="F8534" s="11" t="s">
        <v>7</v>
      </c>
    </row>
    <row r="8535" spans="1:6">
      <c r="A8535" s="5" t="str">
        <f t="shared" si="150"/>
        <v>202332</v>
      </c>
      <c r="B8535" s="5" t="str">
        <f>"23085062902"</f>
        <v>23085062902</v>
      </c>
      <c r="C8535" s="6">
        <v>0</v>
      </c>
      <c r="D8535" s="6">
        <v>0</v>
      </c>
      <c r="E8535" s="6">
        <v>0</v>
      </c>
      <c r="F8535" s="11" t="s">
        <v>7</v>
      </c>
    </row>
    <row r="8536" spans="1:6">
      <c r="A8536" s="5" t="str">
        <f t="shared" si="150"/>
        <v>202332</v>
      </c>
      <c r="B8536" s="5" t="str">
        <f>"23085062703"</f>
        <v>23085062703</v>
      </c>
      <c r="C8536" s="6">
        <v>0</v>
      </c>
      <c r="D8536" s="6">
        <v>0</v>
      </c>
      <c r="E8536" s="6">
        <v>0</v>
      </c>
      <c r="F8536" s="11" t="s">
        <v>7</v>
      </c>
    </row>
    <row r="8537" spans="1:6">
      <c r="A8537" s="5" t="str">
        <f t="shared" si="150"/>
        <v>202332</v>
      </c>
      <c r="B8537" s="5" t="str">
        <f>"23085062115"</f>
        <v>23085062115</v>
      </c>
      <c r="C8537" s="6">
        <v>0</v>
      </c>
      <c r="D8537" s="6">
        <v>0</v>
      </c>
      <c r="E8537" s="6">
        <v>0</v>
      </c>
      <c r="F8537" s="11" t="s">
        <v>7</v>
      </c>
    </row>
    <row r="8538" spans="1:6">
      <c r="A8538" s="5" t="str">
        <f t="shared" si="150"/>
        <v>202332</v>
      </c>
      <c r="B8538" s="5" t="str">
        <f>"23085062817"</f>
        <v>23085062817</v>
      </c>
      <c r="C8538" s="6">
        <v>0</v>
      </c>
      <c r="D8538" s="6">
        <v>0</v>
      </c>
      <c r="E8538" s="6">
        <v>0</v>
      </c>
      <c r="F8538" s="11" t="s">
        <v>7</v>
      </c>
    </row>
    <row r="8539" spans="1:6">
      <c r="A8539" s="5" t="str">
        <f t="shared" si="150"/>
        <v>202332</v>
      </c>
      <c r="B8539" s="5" t="str">
        <f>"23085063501"</f>
        <v>23085063501</v>
      </c>
      <c r="C8539" s="6">
        <v>0</v>
      </c>
      <c r="D8539" s="6">
        <v>0</v>
      </c>
      <c r="E8539" s="6">
        <v>0</v>
      </c>
      <c r="F8539" s="11" t="s">
        <v>7</v>
      </c>
    </row>
    <row r="8540" spans="1:6">
      <c r="A8540" s="5" t="str">
        <f t="shared" si="150"/>
        <v>202332</v>
      </c>
      <c r="B8540" s="5" t="str">
        <f>"23085062018"</f>
        <v>23085062018</v>
      </c>
      <c r="C8540" s="6">
        <v>0</v>
      </c>
      <c r="D8540" s="6">
        <v>0</v>
      </c>
      <c r="E8540" s="6">
        <v>0</v>
      </c>
      <c r="F8540" s="11" t="s">
        <v>7</v>
      </c>
    </row>
    <row r="8541" spans="1:6">
      <c r="A8541" s="5" t="str">
        <f t="shared" si="150"/>
        <v>202332</v>
      </c>
      <c r="B8541" s="5" t="str">
        <f>"23085063428"</f>
        <v>23085063428</v>
      </c>
      <c r="C8541" s="6">
        <v>0</v>
      </c>
      <c r="D8541" s="6">
        <v>0</v>
      </c>
      <c r="E8541" s="6">
        <v>0</v>
      </c>
      <c r="F8541" s="11" t="s">
        <v>7</v>
      </c>
    </row>
    <row r="8542" spans="1:6">
      <c r="A8542" s="5" t="str">
        <f t="shared" si="150"/>
        <v>202332</v>
      </c>
      <c r="B8542" s="5" t="str">
        <f>"23085063510"</f>
        <v>23085063510</v>
      </c>
      <c r="C8542" s="6">
        <v>0</v>
      </c>
      <c r="D8542" s="6">
        <v>0</v>
      </c>
      <c r="E8542" s="6">
        <v>0</v>
      </c>
      <c r="F8542" s="11" t="s">
        <v>7</v>
      </c>
    </row>
    <row r="8543" spans="1:6">
      <c r="A8543" s="5" t="str">
        <f t="shared" si="150"/>
        <v>202332</v>
      </c>
      <c r="B8543" s="5" t="str">
        <f>"23085061015"</f>
        <v>23085061015</v>
      </c>
      <c r="C8543" s="6">
        <v>0</v>
      </c>
      <c r="D8543" s="6">
        <v>0</v>
      </c>
      <c r="E8543" s="6">
        <v>0</v>
      </c>
      <c r="F8543" s="11" t="s">
        <v>7</v>
      </c>
    </row>
    <row r="8544" spans="1:6">
      <c r="A8544" s="5" t="str">
        <f t="shared" si="150"/>
        <v>202332</v>
      </c>
      <c r="B8544" s="5" t="str">
        <f>"23085062810"</f>
        <v>23085062810</v>
      </c>
      <c r="C8544" s="6">
        <v>0</v>
      </c>
      <c r="D8544" s="6">
        <v>0</v>
      </c>
      <c r="E8544" s="6">
        <v>0</v>
      </c>
      <c r="F8544" s="11" t="s">
        <v>7</v>
      </c>
    </row>
    <row r="8545" spans="1:6">
      <c r="A8545" s="5" t="str">
        <f t="shared" si="150"/>
        <v>202332</v>
      </c>
      <c r="B8545" s="5" t="str">
        <f>"23085061022"</f>
        <v>23085061022</v>
      </c>
      <c r="C8545" s="6">
        <v>0</v>
      </c>
      <c r="D8545" s="6">
        <v>0</v>
      </c>
      <c r="E8545" s="6">
        <v>0</v>
      </c>
      <c r="F8545" s="11" t="s">
        <v>7</v>
      </c>
    </row>
    <row r="8546" spans="1:6">
      <c r="A8546" s="5" t="str">
        <f t="shared" si="150"/>
        <v>202332</v>
      </c>
      <c r="B8546" s="5" t="str">
        <f>"23085063111"</f>
        <v>23085063111</v>
      </c>
      <c r="C8546" s="6">
        <v>0</v>
      </c>
      <c r="D8546" s="6">
        <v>0</v>
      </c>
      <c r="E8546" s="6">
        <v>0</v>
      </c>
      <c r="F8546" s="11" t="s">
        <v>7</v>
      </c>
    </row>
    <row r="8547" spans="1:6">
      <c r="A8547" s="5" t="str">
        <f t="shared" si="150"/>
        <v>202332</v>
      </c>
      <c r="B8547" s="5" t="str">
        <f>"23085062212"</f>
        <v>23085062212</v>
      </c>
      <c r="C8547" s="6">
        <v>0</v>
      </c>
      <c r="D8547" s="6">
        <v>0</v>
      </c>
      <c r="E8547" s="6">
        <v>0</v>
      </c>
      <c r="F8547" s="11" t="s">
        <v>7</v>
      </c>
    </row>
    <row r="8548" spans="1:6">
      <c r="A8548" s="5" t="str">
        <f t="shared" si="150"/>
        <v>202332</v>
      </c>
      <c r="B8548" s="5" t="str">
        <f>"23085061303"</f>
        <v>23085061303</v>
      </c>
      <c r="C8548" s="6">
        <v>0</v>
      </c>
      <c r="D8548" s="6">
        <v>0</v>
      </c>
      <c r="E8548" s="6">
        <v>0</v>
      </c>
      <c r="F8548" s="11" t="s">
        <v>7</v>
      </c>
    </row>
    <row r="8549" spans="1:6">
      <c r="A8549" s="5" t="str">
        <f t="shared" si="150"/>
        <v>202332</v>
      </c>
      <c r="B8549" s="5" t="str">
        <f>"23085062626"</f>
        <v>23085062626</v>
      </c>
      <c r="C8549" s="6">
        <v>0</v>
      </c>
      <c r="D8549" s="6">
        <v>0</v>
      </c>
      <c r="E8549" s="6">
        <v>0</v>
      </c>
      <c r="F8549" s="11" t="s">
        <v>7</v>
      </c>
    </row>
    <row r="8550" spans="1:6">
      <c r="A8550" s="5" t="str">
        <f t="shared" si="150"/>
        <v>202332</v>
      </c>
      <c r="B8550" s="5" t="str">
        <f>"23085061409"</f>
        <v>23085061409</v>
      </c>
      <c r="C8550" s="6">
        <v>0</v>
      </c>
      <c r="D8550" s="6">
        <v>0</v>
      </c>
      <c r="E8550" s="6">
        <v>0</v>
      </c>
      <c r="F8550" s="11" t="s">
        <v>7</v>
      </c>
    </row>
    <row r="8551" spans="1:6">
      <c r="A8551" s="5" t="str">
        <f t="shared" si="150"/>
        <v>202332</v>
      </c>
      <c r="B8551" s="5" t="str">
        <f>"23085061107"</f>
        <v>23085061107</v>
      </c>
      <c r="C8551" s="6">
        <v>0</v>
      </c>
      <c r="D8551" s="6">
        <v>0</v>
      </c>
      <c r="E8551" s="6">
        <v>0</v>
      </c>
      <c r="F8551" s="11" t="s">
        <v>7</v>
      </c>
    </row>
    <row r="8552" spans="1:6">
      <c r="A8552" s="5" t="str">
        <f t="shared" si="150"/>
        <v>202332</v>
      </c>
      <c r="B8552" s="5" t="str">
        <f>"23085061604"</f>
        <v>23085061604</v>
      </c>
      <c r="C8552" s="6">
        <v>0</v>
      </c>
      <c r="D8552" s="6">
        <v>0</v>
      </c>
      <c r="E8552" s="6">
        <v>0</v>
      </c>
      <c r="F8552" s="11" t="s">
        <v>7</v>
      </c>
    </row>
    <row r="8553" spans="1:6">
      <c r="A8553" s="5" t="str">
        <f t="shared" si="150"/>
        <v>202332</v>
      </c>
      <c r="B8553" s="5" t="str">
        <f>"23085062726"</f>
        <v>23085062726</v>
      </c>
      <c r="C8553" s="6">
        <v>0</v>
      </c>
      <c r="D8553" s="6">
        <v>0</v>
      </c>
      <c r="E8553" s="6">
        <v>0</v>
      </c>
      <c r="F8553" s="11" t="s">
        <v>7</v>
      </c>
    </row>
    <row r="8554" spans="1:6">
      <c r="A8554" s="5" t="str">
        <f t="shared" si="150"/>
        <v>202332</v>
      </c>
      <c r="B8554" s="5" t="str">
        <f>"23085062629"</f>
        <v>23085062629</v>
      </c>
      <c r="C8554" s="6">
        <v>0</v>
      </c>
      <c r="D8554" s="6">
        <v>0</v>
      </c>
      <c r="E8554" s="6">
        <v>0</v>
      </c>
      <c r="F8554" s="11" t="s">
        <v>7</v>
      </c>
    </row>
    <row r="8555" spans="1:6">
      <c r="A8555" s="5" t="str">
        <f t="shared" ref="A8555:A8618" si="151">"202332"</f>
        <v>202332</v>
      </c>
      <c r="B8555" s="5" t="str">
        <f>"23085063210"</f>
        <v>23085063210</v>
      </c>
      <c r="C8555" s="6">
        <v>0</v>
      </c>
      <c r="D8555" s="6">
        <v>0</v>
      </c>
      <c r="E8555" s="6">
        <v>0</v>
      </c>
      <c r="F8555" s="11" t="s">
        <v>7</v>
      </c>
    </row>
    <row r="8556" spans="1:6">
      <c r="A8556" s="5" t="str">
        <f t="shared" si="151"/>
        <v>202332</v>
      </c>
      <c r="B8556" s="5" t="str">
        <f>"23085063122"</f>
        <v>23085063122</v>
      </c>
      <c r="C8556" s="6">
        <v>0</v>
      </c>
      <c r="D8556" s="6">
        <v>0</v>
      </c>
      <c r="E8556" s="6">
        <v>0</v>
      </c>
      <c r="F8556" s="11" t="s">
        <v>7</v>
      </c>
    </row>
    <row r="8557" spans="1:6">
      <c r="A8557" s="5" t="str">
        <f t="shared" si="151"/>
        <v>202332</v>
      </c>
      <c r="B8557" s="5" t="str">
        <f>"23085060929"</f>
        <v>23085060929</v>
      </c>
      <c r="C8557" s="6">
        <v>0</v>
      </c>
      <c r="D8557" s="6">
        <v>0</v>
      </c>
      <c r="E8557" s="6">
        <v>0</v>
      </c>
      <c r="F8557" s="11" t="s">
        <v>7</v>
      </c>
    </row>
    <row r="8558" spans="1:6">
      <c r="A8558" s="5" t="str">
        <f t="shared" si="151"/>
        <v>202332</v>
      </c>
      <c r="B8558" s="5" t="str">
        <f>"23085061103"</f>
        <v>23085061103</v>
      </c>
      <c r="C8558" s="6">
        <v>0</v>
      </c>
      <c r="D8558" s="6">
        <v>0</v>
      </c>
      <c r="E8558" s="6">
        <v>0</v>
      </c>
      <c r="F8558" s="11" t="s">
        <v>7</v>
      </c>
    </row>
    <row r="8559" spans="1:6">
      <c r="A8559" s="5" t="str">
        <f t="shared" si="151"/>
        <v>202332</v>
      </c>
      <c r="B8559" s="5" t="str">
        <f>"23085063422"</f>
        <v>23085063422</v>
      </c>
      <c r="C8559" s="6">
        <v>0</v>
      </c>
      <c r="D8559" s="6">
        <v>0</v>
      </c>
      <c r="E8559" s="6">
        <v>0</v>
      </c>
      <c r="F8559" s="11" t="s">
        <v>7</v>
      </c>
    </row>
    <row r="8560" spans="1:6">
      <c r="A8560" s="5" t="str">
        <f t="shared" si="151"/>
        <v>202332</v>
      </c>
      <c r="B8560" s="5" t="str">
        <f>"23085063311"</f>
        <v>23085063311</v>
      </c>
      <c r="C8560" s="6">
        <v>0</v>
      </c>
      <c r="D8560" s="6">
        <v>0</v>
      </c>
      <c r="E8560" s="6">
        <v>0</v>
      </c>
      <c r="F8560" s="11" t="s">
        <v>7</v>
      </c>
    </row>
    <row r="8561" spans="1:6">
      <c r="A8561" s="5" t="str">
        <f t="shared" si="151"/>
        <v>202332</v>
      </c>
      <c r="B8561" s="5" t="str">
        <f>"23085062323"</f>
        <v>23085062323</v>
      </c>
      <c r="C8561" s="6">
        <v>0</v>
      </c>
      <c r="D8561" s="6">
        <v>0</v>
      </c>
      <c r="E8561" s="6">
        <v>0</v>
      </c>
      <c r="F8561" s="11" t="s">
        <v>7</v>
      </c>
    </row>
    <row r="8562" spans="1:6">
      <c r="A8562" s="5" t="str">
        <f t="shared" si="151"/>
        <v>202332</v>
      </c>
      <c r="B8562" s="5" t="str">
        <f>"23085061814"</f>
        <v>23085061814</v>
      </c>
      <c r="C8562" s="6">
        <v>0</v>
      </c>
      <c r="D8562" s="6">
        <v>0</v>
      </c>
      <c r="E8562" s="6">
        <v>0</v>
      </c>
      <c r="F8562" s="11" t="s">
        <v>7</v>
      </c>
    </row>
    <row r="8563" spans="1:6">
      <c r="A8563" s="5" t="str">
        <f t="shared" si="151"/>
        <v>202332</v>
      </c>
      <c r="B8563" s="5" t="str">
        <f>"23085061929"</f>
        <v>23085061929</v>
      </c>
      <c r="C8563" s="6">
        <v>0</v>
      </c>
      <c r="D8563" s="6">
        <v>0</v>
      </c>
      <c r="E8563" s="6">
        <v>0</v>
      </c>
      <c r="F8563" s="11" t="s">
        <v>7</v>
      </c>
    </row>
    <row r="8564" spans="1:6">
      <c r="A8564" s="5" t="str">
        <f t="shared" si="151"/>
        <v>202332</v>
      </c>
      <c r="B8564" s="5" t="str">
        <f>"23085063320"</f>
        <v>23085063320</v>
      </c>
      <c r="C8564" s="6">
        <v>0</v>
      </c>
      <c r="D8564" s="6">
        <v>0</v>
      </c>
      <c r="E8564" s="6">
        <v>0</v>
      </c>
      <c r="F8564" s="11" t="s">
        <v>7</v>
      </c>
    </row>
    <row r="8565" spans="1:6">
      <c r="A8565" s="5" t="str">
        <f t="shared" si="151"/>
        <v>202332</v>
      </c>
      <c r="B8565" s="5" t="str">
        <f>"23085062309"</f>
        <v>23085062309</v>
      </c>
      <c r="C8565" s="6">
        <v>0</v>
      </c>
      <c r="D8565" s="6">
        <v>0</v>
      </c>
      <c r="E8565" s="6">
        <v>0</v>
      </c>
      <c r="F8565" s="11" t="s">
        <v>7</v>
      </c>
    </row>
    <row r="8566" spans="1:6">
      <c r="A8566" s="5" t="str">
        <f t="shared" si="151"/>
        <v>202332</v>
      </c>
      <c r="B8566" s="5" t="str">
        <f>"23085062407"</f>
        <v>23085062407</v>
      </c>
      <c r="C8566" s="6">
        <v>0</v>
      </c>
      <c r="D8566" s="6">
        <v>0</v>
      </c>
      <c r="E8566" s="6">
        <v>0</v>
      </c>
      <c r="F8566" s="11" t="s">
        <v>7</v>
      </c>
    </row>
    <row r="8567" spans="1:6">
      <c r="A8567" s="5" t="str">
        <f t="shared" si="151"/>
        <v>202332</v>
      </c>
      <c r="B8567" s="5" t="str">
        <f>"23085062103"</f>
        <v>23085062103</v>
      </c>
      <c r="C8567" s="6">
        <v>0</v>
      </c>
      <c r="D8567" s="6">
        <v>0</v>
      </c>
      <c r="E8567" s="6">
        <v>0</v>
      </c>
      <c r="F8567" s="11" t="s">
        <v>7</v>
      </c>
    </row>
    <row r="8568" spans="1:6">
      <c r="A8568" s="5" t="str">
        <f t="shared" si="151"/>
        <v>202332</v>
      </c>
      <c r="B8568" s="5" t="str">
        <f>"23085062919"</f>
        <v>23085062919</v>
      </c>
      <c r="C8568" s="6">
        <v>0</v>
      </c>
      <c r="D8568" s="6">
        <v>0</v>
      </c>
      <c r="E8568" s="6">
        <v>0</v>
      </c>
      <c r="F8568" s="11" t="s">
        <v>7</v>
      </c>
    </row>
    <row r="8569" spans="1:6">
      <c r="A8569" s="5" t="str">
        <f t="shared" si="151"/>
        <v>202332</v>
      </c>
      <c r="B8569" s="5" t="str">
        <f>"23085061528"</f>
        <v>23085061528</v>
      </c>
      <c r="C8569" s="6">
        <v>0</v>
      </c>
      <c r="D8569" s="6">
        <v>0</v>
      </c>
      <c r="E8569" s="6">
        <v>0</v>
      </c>
      <c r="F8569" s="11" t="s">
        <v>7</v>
      </c>
    </row>
    <row r="8570" spans="1:6">
      <c r="A8570" s="5" t="str">
        <f t="shared" si="151"/>
        <v>202332</v>
      </c>
      <c r="B8570" s="5" t="str">
        <f>"23085062823"</f>
        <v>23085062823</v>
      </c>
      <c r="C8570" s="6">
        <v>0</v>
      </c>
      <c r="D8570" s="6">
        <v>0</v>
      </c>
      <c r="E8570" s="6">
        <v>0</v>
      </c>
      <c r="F8570" s="11" t="s">
        <v>7</v>
      </c>
    </row>
    <row r="8571" spans="1:6">
      <c r="A8571" s="5" t="str">
        <f t="shared" si="151"/>
        <v>202332</v>
      </c>
      <c r="B8571" s="5" t="str">
        <f>"23085061503"</f>
        <v>23085061503</v>
      </c>
      <c r="C8571" s="6">
        <v>0</v>
      </c>
      <c r="D8571" s="6">
        <v>0</v>
      </c>
      <c r="E8571" s="6">
        <v>0</v>
      </c>
      <c r="F8571" s="11" t="s">
        <v>7</v>
      </c>
    </row>
    <row r="8572" spans="1:6">
      <c r="A8572" s="5" t="str">
        <f t="shared" si="151"/>
        <v>202332</v>
      </c>
      <c r="B8572" s="5" t="str">
        <f>"23085063212"</f>
        <v>23085063212</v>
      </c>
      <c r="C8572" s="6">
        <v>0</v>
      </c>
      <c r="D8572" s="6">
        <v>0</v>
      </c>
      <c r="E8572" s="6">
        <v>0</v>
      </c>
      <c r="F8572" s="11" t="s">
        <v>7</v>
      </c>
    </row>
    <row r="8573" spans="1:6">
      <c r="A8573" s="5" t="str">
        <f t="shared" si="151"/>
        <v>202332</v>
      </c>
      <c r="B8573" s="5" t="str">
        <f>"23085061006"</f>
        <v>23085061006</v>
      </c>
      <c r="C8573" s="6">
        <v>0</v>
      </c>
      <c r="D8573" s="6">
        <v>0</v>
      </c>
      <c r="E8573" s="6">
        <v>0</v>
      </c>
      <c r="F8573" s="11" t="s">
        <v>7</v>
      </c>
    </row>
    <row r="8574" spans="1:6">
      <c r="A8574" s="5" t="str">
        <f t="shared" si="151"/>
        <v>202332</v>
      </c>
      <c r="B8574" s="5" t="str">
        <f>"23085063125"</f>
        <v>23085063125</v>
      </c>
      <c r="C8574" s="6">
        <v>0</v>
      </c>
      <c r="D8574" s="6">
        <v>0</v>
      </c>
      <c r="E8574" s="6">
        <v>0</v>
      </c>
      <c r="F8574" s="11" t="s">
        <v>7</v>
      </c>
    </row>
    <row r="8575" spans="1:6">
      <c r="A8575" s="5" t="str">
        <f t="shared" si="151"/>
        <v>202332</v>
      </c>
      <c r="B8575" s="5" t="str">
        <f>"23085061817"</f>
        <v>23085061817</v>
      </c>
      <c r="C8575" s="6">
        <v>0</v>
      </c>
      <c r="D8575" s="6">
        <v>0</v>
      </c>
      <c r="E8575" s="6">
        <v>0</v>
      </c>
      <c r="F8575" s="11" t="s">
        <v>7</v>
      </c>
    </row>
    <row r="8576" spans="1:6">
      <c r="A8576" s="5" t="str">
        <f t="shared" si="151"/>
        <v>202332</v>
      </c>
      <c r="B8576" s="5" t="str">
        <f>"23085062829"</f>
        <v>23085062829</v>
      </c>
      <c r="C8576" s="6">
        <v>0</v>
      </c>
      <c r="D8576" s="6">
        <v>0</v>
      </c>
      <c r="E8576" s="6">
        <v>0</v>
      </c>
      <c r="F8576" s="11" t="s">
        <v>7</v>
      </c>
    </row>
    <row r="8577" spans="1:6">
      <c r="A8577" s="5" t="str">
        <f t="shared" si="151"/>
        <v>202332</v>
      </c>
      <c r="B8577" s="5" t="str">
        <f>"23085061912"</f>
        <v>23085061912</v>
      </c>
      <c r="C8577" s="6">
        <v>0</v>
      </c>
      <c r="D8577" s="6">
        <v>0</v>
      </c>
      <c r="E8577" s="6">
        <v>0</v>
      </c>
      <c r="F8577" s="11" t="s">
        <v>7</v>
      </c>
    </row>
    <row r="8578" spans="1:6">
      <c r="A8578" s="5" t="str">
        <f t="shared" si="151"/>
        <v>202332</v>
      </c>
      <c r="B8578" s="5" t="str">
        <f>"23085062106"</f>
        <v>23085062106</v>
      </c>
      <c r="C8578" s="6">
        <v>0</v>
      </c>
      <c r="D8578" s="6">
        <v>0</v>
      </c>
      <c r="E8578" s="6">
        <v>0</v>
      </c>
      <c r="F8578" s="11" t="s">
        <v>7</v>
      </c>
    </row>
    <row r="8579" spans="1:6">
      <c r="A8579" s="5" t="str">
        <f t="shared" si="151"/>
        <v>202332</v>
      </c>
      <c r="B8579" s="5" t="str">
        <f>"23085063020"</f>
        <v>23085063020</v>
      </c>
      <c r="C8579" s="6">
        <v>0</v>
      </c>
      <c r="D8579" s="6">
        <v>0</v>
      </c>
      <c r="E8579" s="6">
        <v>0</v>
      </c>
      <c r="F8579" s="11" t="s">
        <v>7</v>
      </c>
    </row>
    <row r="8580" spans="1:6">
      <c r="A8580" s="5" t="str">
        <f t="shared" si="151"/>
        <v>202332</v>
      </c>
      <c r="B8580" s="5" t="str">
        <f>"23085062720"</f>
        <v>23085062720</v>
      </c>
      <c r="C8580" s="6">
        <v>0</v>
      </c>
      <c r="D8580" s="6">
        <v>0</v>
      </c>
      <c r="E8580" s="6">
        <v>0</v>
      </c>
      <c r="F8580" s="11" t="s">
        <v>7</v>
      </c>
    </row>
    <row r="8581" spans="1:6">
      <c r="A8581" s="5" t="str">
        <f t="shared" si="151"/>
        <v>202332</v>
      </c>
      <c r="B8581" s="5" t="str">
        <f>"23085062002"</f>
        <v>23085062002</v>
      </c>
      <c r="C8581" s="6">
        <v>0</v>
      </c>
      <c r="D8581" s="6">
        <v>0</v>
      </c>
      <c r="E8581" s="6">
        <v>0</v>
      </c>
      <c r="F8581" s="11" t="s">
        <v>7</v>
      </c>
    </row>
    <row r="8582" spans="1:6">
      <c r="A8582" s="5" t="str">
        <f t="shared" si="151"/>
        <v>202332</v>
      </c>
      <c r="B8582" s="5" t="str">
        <f>"23085062609"</f>
        <v>23085062609</v>
      </c>
      <c r="C8582" s="6">
        <v>0</v>
      </c>
      <c r="D8582" s="6">
        <v>0</v>
      </c>
      <c r="E8582" s="6">
        <v>0</v>
      </c>
      <c r="F8582" s="11" t="s">
        <v>7</v>
      </c>
    </row>
    <row r="8583" spans="1:6">
      <c r="A8583" s="5" t="str">
        <f t="shared" si="151"/>
        <v>202332</v>
      </c>
      <c r="B8583" s="5" t="str">
        <f>"23085062925"</f>
        <v>23085062925</v>
      </c>
      <c r="C8583" s="6">
        <v>0</v>
      </c>
      <c r="D8583" s="6">
        <v>0</v>
      </c>
      <c r="E8583" s="6">
        <v>0</v>
      </c>
      <c r="F8583" s="11" t="s">
        <v>7</v>
      </c>
    </row>
    <row r="8584" spans="1:6">
      <c r="A8584" s="5" t="str">
        <f t="shared" si="151"/>
        <v>202332</v>
      </c>
      <c r="B8584" s="5" t="str">
        <f>"23085061525"</f>
        <v>23085061525</v>
      </c>
      <c r="C8584" s="6">
        <v>0</v>
      </c>
      <c r="D8584" s="6">
        <v>0</v>
      </c>
      <c r="E8584" s="6">
        <v>0</v>
      </c>
      <c r="F8584" s="11" t="s">
        <v>7</v>
      </c>
    </row>
    <row r="8585" spans="1:6">
      <c r="A8585" s="5" t="str">
        <f t="shared" si="151"/>
        <v>202332</v>
      </c>
      <c r="B8585" s="5" t="str">
        <f>"23085062529"</f>
        <v>23085062529</v>
      </c>
      <c r="C8585" s="6">
        <v>0</v>
      </c>
      <c r="D8585" s="6">
        <v>0</v>
      </c>
      <c r="E8585" s="6">
        <v>0</v>
      </c>
      <c r="F8585" s="11" t="s">
        <v>7</v>
      </c>
    </row>
    <row r="8586" spans="1:6">
      <c r="A8586" s="5" t="str">
        <f t="shared" si="151"/>
        <v>202332</v>
      </c>
      <c r="B8586" s="5" t="str">
        <f>"23085063030"</f>
        <v>23085063030</v>
      </c>
      <c r="C8586" s="6">
        <v>0</v>
      </c>
      <c r="D8586" s="6">
        <v>0</v>
      </c>
      <c r="E8586" s="6">
        <v>0</v>
      </c>
      <c r="F8586" s="11" t="s">
        <v>7</v>
      </c>
    </row>
    <row r="8587" spans="1:6">
      <c r="A8587" s="5" t="str">
        <f t="shared" si="151"/>
        <v>202332</v>
      </c>
      <c r="B8587" s="5" t="str">
        <f>"23085062405"</f>
        <v>23085062405</v>
      </c>
      <c r="C8587" s="6">
        <v>0</v>
      </c>
      <c r="D8587" s="6">
        <v>0</v>
      </c>
      <c r="E8587" s="6">
        <v>0</v>
      </c>
      <c r="F8587" s="11" t="s">
        <v>7</v>
      </c>
    </row>
    <row r="8588" spans="1:6">
      <c r="A8588" s="5" t="str">
        <f t="shared" si="151"/>
        <v>202332</v>
      </c>
      <c r="B8588" s="5" t="str">
        <f>"23085063216"</f>
        <v>23085063216</v>
      </c>
      <c r="C8588" s="6">
        <v>0</v>
      </c>
      <c r="D8588" s="6">
        <v>0</v>
      </c>
      <c r="E8588" s="6">
        <v>0</v>
      </c>
      <c r="F8588" s="11" t="s">
        <v>7</v>
      </c>
    </row>
    <row r="8589" spans="1:6">
      <c r="A8589" s="5" t="str">
        <f t="shared" si="151"/>
        <v>202332</v>
      </c>
      <c r="B8589" s="5" t="str">
        <f>"23085061029"</f>
        <v>23085061029</v>
      </c>
      <c r="C8589" s="6">
        <v>0</v>
      </c>
      <c r="D8589" s="6">
        <v>0</v>
      </c>
      <c r="E8589" s="6">
        <v>0</v>
      </c>
      <c r="F8589" s="11" t="s">
        <v>7</v>
      </c>
    </row>
    <row r="8590" spans="1:6">
      <c r="A8590" s="5" t="str">
        <f t="shared" si="151"/>
        <v>202332</v>
      </c>
      <c r="B8590" s="5" t="str">
        <f>"23085061424"</f>
        <v>23085061424</v>
      </c>
      <c r="C8590" s="6">
        <v>0</v>
      </c>
      <c r="D8590" s="6">
        <v>0</v>
      </c>
      <c r="E8590" s="6">
        <v>0</v>
      </c>
      <c r="F8590" s="11" t="s">
        <v>7</v>
      </c>
    </row>
    <row r="8591" spans="1:6">
      <c r="A8591" s="5" t="str">
        <f t="shared" si="151"/>
        <v>202332</v>
      </c>
      <c r="B8591" s="5" t="str">
        <f>"23085062105"</f>
        <v>23085062105</v>
      </c>
      <c r="C8591" s="6">
        <v>0</v>
      </c>
      <c r="D8591" s="6">
        <v>0</v>
      </c>
      <c r="E8591" s="6">
        <v>0</v>
      </c>
      <c r="F8591" s="11" t="s">
        <v>7</v>
      </c>
    </row>
    <row r="8592" spans="1:6">
      <c r="A8592" s="5" t="str">
        <f t="shared" si="151"/>
        <v>202332</v>
      </c>
      <c r="B8592" s="5" t="str">
        <f>"23085062628"</f>
        <v>23085062628</v>
      </c>
      <c r="C8592" s="6">
        <v>0</v>
      </c>
      <c r="D8592" s="6">
        <v>0</v>
      </c>
      <c r="E8592" s="6">
        <v>0</v>
      </c>
      <c r="F8592" s="11" t="s">
        <v>7</v>
      </c>
    </row>
    <row r="8593" spans="1:6">
      <c r="A8593" s="5" t="str">
        <f t="shared" si="151"/>
        <v>202332</v>
      </c>
      <c r="B8593" s="5" t="str">
        <f>"23085062918"</f>
        <v>23085062918</v>
      </c>
      <c r="C8593" s="6">
        <v>0</v>
      </c>
      <c r="D8593" s="6">
        <v>0</v>
      </c>
      <c r="E8593" s="6">
        <v>0</v>
      </c>
      <c r="F8593" s="11" t="s">
        <v>7</v>
      </c>
    </row>
    <row r="8594" spans="1:6">
      <c r="A8594" s="5" t="str">
        <f t="shared" si="151"/>
        <v>202332</v>
      </c>
      <c r="B8594" s="5" t="str">
        <f>"23085062513"</f>
        <v>23085062513</v>
      </c>
      <c r="C8594" s="6">
        <v>0</v>
      </c>
      <c r="D8594" s="6">
        <v>0</v>
      </c>
      <c r="E8594" s="6">
        <v>0</v>
      </c>
      <c r="F8594" s="11" t="s">
        <v>7</v>
      </c>
    </row>
    <row r="8595" spans="1:6">
      <c r="A8595" s="5" t="str">
        <f t="shared" si="151"/>
        <v>202332</v>
      </c>
      <c r="B8595" s="5" t="str">
        <f>"23085063507"</f>
        <v>23085063507</v>
      </c>
      <c r="C8595" s="6">
        <v>0</v>
      </c>
      <c r="D8595" s="6">
        <v>0</v>
      </c>
      <c r="E8595" s="6">
        <v>0</v>
      </c>
      <c r="F8595" s="11" t="s">
        <v>7</v>
      </c>
    </row>
    <row r="8596" spans="1:6">
      <c r="A8596" s="5" t="str">
        <f t="shared" si="151"/>
        <v>202332</v>
      </c>
      <c r="B8596" s="5" t="str">
        <f>"23085063519"</f>
        <v>23085063519</v>
      </c>
      <c r="C8596" s="6">
        <v>0</v>
      </c>
      <c r="D8596" s="6">
        <v>0</v>
      </c>
      <c r="E8596" s="6">
        <v>0</v>
      </c>
      <c r="F8596" s="11" t="s">
        <v>7</v>
      </c>
    </row>
    <row r="8597" spans="1:6">
      <c r="A8597" s="5" t="str">
        <f t="shared" si="151"/>
        <v>202332</v>
      </c>
      <c r="B8597" s="5" t="str">
        <f>"23085062110"</f>
        <v>23085062110</v>
      </c>
      <c r="C8597" s="6">
        <v>0</v>
      </c>
      <c r="D8597" s="6">
        <v>0</v>
      </c>
      <c r="E8597" s="6">
        <v>0</v>
      </c>
      <c r="F8597" s="11" t="s">
        <v>7</v>
      </c>
    </row>
    <row r="8598" spans="1:6">
      <c r="A8598" s="5" t="str">
        <f t="shared" si="151"/>
        <v>202332</v>
      </c>
      <c r="B8598" s="5" t="str">
        <f>"23085062010"</f>
        <v>23085062010</v>
      </c>
      <c r="C8598" s="6">
        <v>0</v>
      </c>
      <c r="D8598" s="6">
        <v>0</v>
      </c>
      <c r="E8598" s="6">
        <v>0</v>
      </c>
      <c r="F8598" s="11" t="s">
        <v>7</v>
      </c>
    </row>
    <row r="8599" spans="1:6">
      <c r="A8599" s="5" t="str">
        <f t="shared" si="151"/>
        <v>202332</v>
      </c>
      <c r="B8599" s="5" t="str">
        <f>"23085062929"</f>
        <v>23085062929</v>
      </c>
      <c r="C8599" s="6">
        <v>0</v>
      </c>
      <c r="D8599" s="6">
        <v>0</v>
      </c>
      <c r="E8599" s="6">
        <v>0</v>
      </c>
      <c r="F8599" s="11" t="s">
        <v>7</v>
      </c>
    </row>
    <row r="8600" spans="1:6">
      <c r="A8600" s="5" t="str">
        <f t="shared" si="151"/>
        <v>202332</v>
      </c>
      <c r="B8600" s="5" t="str">
        <f>"23085062117"</f>
        <v>23085062117</v>
      </c>
      <c r="C8600" s="6">
        <v>0</v>
      </c>
      <c r="D8600" s="6">
        <v>0</v>
      </c>
      <c r="E8600" s="6">
        <v>0</v>
      </c>
      <c r="F8600" s="11" t="s">
        <v>7</v>
      </c>
    </row>
    <row r="8601" spans="1:6">
      <c r="A8601" s="5" t="str">
        <f t="shared" si="151"/>
        <v>202332</v>
      </c>
      <c r="B8601" s="5" t="str">
        <f>"23085062527"</f>
        <v>23085062527</v>
      </c>
      <c r="C8601" s="6">
        <v>0</v>
      </c>
      <c r="D8601" s="6">
        <v>0</v>
      </c>
      <c r="E8601" s="6">
        <v>0</v>
      </c>
      <c r="F8601" s="11" t="s">
        <v>7</v>
      </c>
    </row>
    <row r="8602" spans="1:6">
      <c r="A8602" s="5" t="str">
        <f t="shared" si="151"/>
        <v>202332</v>
      </c>
      <c r="B8602" s="5" t="str">
        <f>"23085061230"</f>
        <v>23085061230</v>
      </c>
      <c r="C8602" s="6">
        <v>0</v>
      </c>
      <c r="D8602" s="6">
        <v>0</v>
      </c>
      <c r="E8602" s="6">
        <v>0</v>
      </c>
      <c r="F8602" s="11" t="s">
        <v>7</v>
      </c>
    </row>
    <row r="8603" spans="1:6">
      <c r="A8603" s="5" t="str">
        <f t="shared" si="151"/>
        <v>202332</v>
      </c>
      <c r="B8603" s="5" t="str">
        <f>"23085061401"</f>
        <v>23085061401</v>
      </c>
      <c r="C8603" s="6">
        <v>0</v>
      </c>
      <c r="D8603" s="6">
        <v>0</v>
      </c>
      <c r="E8603" s="6">
        <v>0</v>
      </c>
      <c r="F8603" s="11" t="s">
        <v>7</v>
      </c>
    </row>
    <row r="8604" spans="1:6">
      <c r="A8604" s="5" t="str">
        <f t="shared" si="151"/>
        <v>202332</v>
      </c>
      <c r="B8604" s="5" t="str">
        <f>"23085061423"</f>
        <v>23085061423</v>
      </c>
      <c r="C8604" s="6">
        <v>0</v>
      </c>
      <c r="D8604" s="6">
        <v>0</v>
      </c>
      <c r="E8604" s="6">
        <v>0</v>
      </c>
      <c r="F8604" s="11" t="s">
        <v>7</v>
      </c>
    </row>
    <row r="8605" spans="1:6">
      <c r="A8605" s="5" t="str">
        <f t="shared" si="151"/>
        <v>202332</v>
      </c>
      <c r="B8605" s="5" t="str">
        <f>"23085063314"</f>
        <v>23085063314</v>
      </c>
      <c r="C8605" s="6">
        <v>0</v>
      </c>
      <c r="D8605" s="6">
        <v>0</v>
      </c>
      <c r="E8605" s="6">
        <v>0</v>
      </c>
      <c r="F8605" s="11" t="s">
        <v>7</v>
      </c>
    </row>
    <row r="8606" spans="1:6">
      <c r="A8606" s="5" t="str">
        <f t="shared" si="151"/>
        <v>202332</v>
      </c>
      <c r="B8606" s="5" t="str">
        <f>"23085061030"</f>
        <v>23085061030</v>
      </c>
      <c r="C8606" s="6">
        <v>0</v>
      </c>
      <c r="D8606" s="6">
        <v>0</v>
      </c>
      <c r="E8606" s="6">
        <v>0</v>
      </c>
      <c r="F8606" s="11" t="s">
        <v>7</v>
      </c>
    </row>
    <row r="8607" spans="1:6">
      <c r="A8607" s="5" t="str">
        <f t="shared" si="151"/>
        <v>202332</v>
      </c>
      <c r="B8607" s="5" t="str">
        <f>"23085061727"</f>
        <v>23085061727</v>
      </c>
      <c r="C8607" s="6">
        <v>0</v>
      </c>
      <c r="D8607" s="6">
        <v>0</v>
      </c>
      <c r="E8607" s="6">
        <v>0</v>
      </c>
      <c r="F8607" s="11" t="s">
        <v>7</v>
      </c>
    </row>
    <row r="8608" spans="1:6">
      <c r="A8608" s="5" t="str">
        <f t="shared" si="151"/>
        <v>202332</v>
      </c>
      <c r="B8608" s="5" t="str">
        <f>"23085062718"</f>
        <v>23085062718</v>
      </c>
      <c r="C8608" s="6">
        <v>0</v>
      </c>
      <c r="D8608" s="6">
        <v>0</v>
      </c>
      <c r="E8608" s="6">
        <v>0</v>
      </c>
      <c r="F8608" s="11" t="s">
        <v>7</v>
      </c>
    </row>
    <row r="8609" spans="1:6">
      <c r="A8609" s="5" t="str">
        <f t="shared" si="151"/>
        <v>202332</v>
      </c>
      <c r="B8609" s="5" t="str">
        <f>"23085061826"</f>
        <v>23085061826</v>
      </c>
      <c r="C8609" s="6">
        <v>0</v>
      </c>
      <c r="D8609" s="6">
        <v>0</v>
      </c>
      <c r="E8609" s="6">
        <v>0</v>
      </c>
      <c r="F8609" s="11" t="s">
        <v>7</v>
      </c>
    </row>
    <row r="8610" spans="1:6">
      <c r="A8610" s="5" t="str">
        <f t="shared" si="151"/>
        <v>202332</v>
      </c>
      <c r="B8610" s="5" t="str">
        <f>"23085062930"</f>
        <v>23085062930</v>
      </c>
      <c r="C8610" s="6">
        <v>0</v>
      </c>
      <c r="D8610" s="6">
        <v>0</v>
      </c>
      <c r="E8610" s="6">
        <v>0</v>
      </c>
      <c r="F8610" s="11" t="s">
        <v>7</v>
      </c>
    </row>
    <row r="8611" spans="1:6">
      <c r="A8611" s="5" t="str">
        <f t="shared" si="151"/>
        <v>202332</v>
      </c>
      <c r="B8611" s="5" t="str">
        <f>"23085062724"</f>
        <v>23085062724</v>
      </c>
      <c r="C8611" s="6">
        <v>0</v>
      </c>
      <c r="D8611" s="6">
        <v>0</v>
      </c>
      <c r="E8611" s="6">
        <v>0</v>
      </c>
      <c r="F8611" s="11" t="s">
        <v>7</v>
      </c>
    </row>
    <row r="8612" spans="1:6">
      <c r="A8612" s="5" t="str">
        <f t="shared" si="151"/>
        <v>202332</v>
      </c>
      <c r="B8612" s="5" t="str">
        <f>"23085061524"</f>
        <v>23085061524</v>
      </c>
      <c r="C8612" s="6">
        <v>0</v>
      </c>
      <c r="D8612" s="6">
        <v>0</v>
      </c>
      <c r="E8612" s="6">
        <v>0</v>
      </c>
      <c r="F8612" s="11" t="s">
        <v>7</v>
      </c>
    </row>
    <row r="8613" spans="1:6">
      <c r="A8613" s="5" t="str">
        <f t="shared" si="151"/>
        <v>202332</v>
      </c>
      <c r="B8613" s="5" t="str">
        <f>"23085063127"</f>
        <v>23085063127</v>
      </c>
      <c r="C8613" s="6">
        <v>0</v>
      </c>
      <c r="D8613" s="6">
        <v>0</v>
      </c>
      <c r="E8613" s="6">
        <v>0</v>
      </c>
      <c r="F8613" s="11" t="s">
        <v>7</v>
      </c>
    </row>
    <row r="8614" spans="1:6">
      <c r="A8614" s="5" t="str">
        <f t="shared" si="151"/>
        <v>202332</v>
      </c>
      <c r="B8614" s="5" t="str">
        <f>"23085061818"</f>
        <v>23085061818</v>
      </c>
      <c r="C8614" s="6">
        <v>0</v>
      </c>
      <c r="D8614" s="6">
        <v>0</v>
      </c>
      <c r="E8614" s="6">
        <v>0</v>
      </c>
      <c r="F8614" s="11" t="s">
        <v>7</v>
      </c>
    </row>
    <row r="8615" spans="1:6">
      <c r="A8615" s="5" t="str">
        <f t="shared" si="151"/>
        <v>202332</v>
      </c>
      <c r="B8615" s="5" t="str">
        <f>"23085061127"</f>
        <v>23085061127</v>
      </c>
      <c r="C8615" s="6">
        <v>0</v>
      </c>
      <c r="D8615" s="6">
        <v>0</v>
      </c>
      <c r="E8615" s="6">
        <v>0</v>
      </c>
      <c r="F8615" s="11" t="s">
        <v>7</v>
      </c>
    </row>
    <row r="8616" spans="1:6">
      <c r="A8616" s="5" t="str">
        <f t="shared" si="151"/>
        <v>202332</v>
      </c>
      <c r="B8616" s="5" t="str">
        <f>"23085061708"</f>
        <v>23085061708</v>
      </c>
      <c r="C8616" s="6">
        <v>0</v>
      </c>
      <c r="D8616" s="6">
        <v>0</v>
      </c>
      <c r="E8616" s="6">
        <v>0</v>
      </c>
      <c r="F8616" s="11" t="s">
        <v>7</v>
      </c>
    </row>
    <row r="8617" spans="1:6">
      <c r="A8617" s="5" t="str">
        <f t="shared" si="151"/>
        <v>202332</v>
      </c>
      <c r="B8617" s="5" t="str">
        <f>"23085062714"</f>
        <v>23085062714</v>
      </c>
      <c r="C8617" s="6">
        <v>0</v>
      </c>
      <c r="D8617" s="6">
        <v>0</v>
      </c>
      <c r="E8617" s="6">
        <v>0</v>
      </c>
      <c r="F8617" s="11" t="s">
        <v>7</v>
      </c>
    </row>
    <row r="8618" spans="1:6">
      <c r="A8618" s="5" t="str">
        <f t="shared" si="151"/>
        <v>202332</v>
      </c>
      <c r="B8618" s="5" t="str">
        <f>"23085061813"</f>
        <v>23085061813</v>
      </c>
      <c r="C8618" s="6">
        <v>0</v>
      </c>
      <c r="D8618" s="6">
        <v>0</v>
      </c>
      <c r="E8618" s="6">
        <v>0</v>
      </c>
      <c r="F8618" s="11" t="s">
        <v>7</v>
      </c>
    </row>
    <row r="8619" spans="1:6">
      <c r="A8619" s="5" t="str">
        <f t="shared" ref="A8619:A8635" si="152">"202332"</f>
        <v>202332</v>
      </c>
      <c r="B8619" s="5" t="str">
        <f>"23085061901"</f>
        <v>23085061901</v>
      </c>
      <c r="C8619" s="6">
        <v>0</v>
      </c>
      <c r="D8619" s="6">
        <v>0</v>
      </c>
      <c r="E8619" s="6">
        <v>0</v>
      </c>
      <c r="F8619" s="11" t="s">
        <v>7</v>
      </c>
    </row>
    <row r="8620" spans="1:6">
      <c r="A8620" s="5" t="str">
        <f t="shared" si="152"/>
        <v>202332</v>
      </c>
      <c r="B8620" s="5" t="str">
        <f>"23085062120"</f>
        <v>23085062120</v>
      </c>
      <c r="C8620" s="6">
        <v>0</v>
      </c>
      <c r="D8620" s="6">
        <v>0</v>
      </c>
      <c r="E8620" s="6">
        <v>0</v>
      </c>
      <c r="F8620" s="11" t="s">
        <v>7</v>
      </c>
    </row>
    <row r="8621" spans="1:6">
      <c r="A8621" s="5" t="str">
        <f t="shared" si="152"/>
        <v>202332</v>
      </c>
      <c r="B8621" s="5" t="str">
        <f>"23085061728"</f>
        <v>23085061728</v>
      </c>
      <c r="C8621" s="6">
        <v>0</v>
      </c>
      <c r="D8621" s="6">
        <v>0</v>
      </c>
      <c r="E8621" s="6">
        <v>0</v>
      </c>
      <c r="F8621" s="11" t="s">
        <v>7</v>
      </c>
    </row>
    <row r="8622" spans="1:6">
      <c r="A8622" s="5" t="str">
        <f t="shared" si="152"/>
        <v>202332</v>
      </c>
      <c r="B8622" s="5" t="str">
        <f>"23085063515"</f>
        <v>23085063515</v>
      </c>
      <c r="C8622" s="6">
        <v>0</v>
      </c>
      <c r="D8622" s="6">
        <v>0</v>
      </c>
      <c r="E8622" s="6">
        <v>0</v>
      </c>
      <c r="F8622" s="11" t="s">
        <v>7</v>
      </c>
    </row>
    <row r="8623" spans="1:6">
      <c r="A8623" s="5" t="str">
        <f t="shared" si="152"/>
        <v>202332</v>
      </c>
      <c r="B8623" s="5" t="str">
        <f>"23085062418"</f>
        <v>23085062418</v>
      </c>
      <c r="C8623" s="6">
        <v>0</v>
      </c>
      <c r="D8623" s="6">
        <v>0</v>
      </c>
      <c r="E8623" s="6">
        <v>0</v>
      </c>
      <c r="F8623" s="11" t="s">
        <v>7</v>
      </c>
    </row>
    <row r="8624" spans="1:6">
      <c r="A8624" s="5" t="str">
        <f t="shared" si="152"/>
        <v>202332</v>
      </c>
      <c r="B8624" s="5" t="str">
        <f>"23085063414"</f>
        <v>23085063414</v>
      </c>
      <c r="C8624" s="6">
        <v>0</v>
      </c>
      <c r="D8624" s="6">
        <v>0</v>
      </c>
      <c r="E8624" s="6">
        <v>0</v>
      </c>
      <c r="F8624" s="11" t="s">
        <v>7</v>
      </c>
    </row>
    <row r="8625" spans="1:6">
      <c r="A8625" s="5" t="str">
        <f t="shared" si="152"/>
        <v>202332</v>
      </c>
      <c r="B8625" s="5" t="str">
        <f>"23085063023"</f>
        <v>23085063023</v>
      </c>
      <c r="C8625" s="6">
        <v>0</v>
      </c>
      <c r="D8625" s="6">
        <v>0</v>
      </c>
      <c r="E8625" s="6">
        <v>0</v>
      </c>
      <c r="F8625" s="11" t="s">
        <v>7</v>
      </c>
    </row>
    <row r="8626" spans="1:6">
      <c r="A8626" s="5" t="str">
        <f t="shared" si="152"/>
        <v>202332</v>
      </c>
      <c r="B8626" s="5" t="str">
        <f>"23085061824"</f>
        <v>23085061824</v>
      </c>
      <c r="C8626" s="6">
        <v>0</v>
      </c>
      <c r="D8626" s="6">
        <v>0</v>
      </c>
      <c r="E8626" s="6">
        <v>0</v>
      </c>
      <c r="F8626" s="11" t="s">
        <v>7</v>
      </c>
    </row>
    <row r="8627" spans="1:6">
      <c r="A8627" s="5" t="str">
        <f t="shared" si="152"/>
        <v>202332</v>
      </c>
      <c r="B8627" s="5" t="str">
        <f>"23085061027"</f>
        <v>23085061027</v>
      </c>
      <c r="C8627" s="6">
        <v>0</v>
      </c>
      <c r="D8627" s="6">
        <v>0</v>
      </c>
      <c r="E8627" s="6">
        <v>0</v>
      </c>
      <c r="F8627" s="11" t="s">
        <v>7</v>
      </c>
    </row>
    <row r="8628" spans="1:6">
      <c r="A8628" s="5" t="str">
        <f t="shared" si="152"/>
        <v>202332</v>
      </c>
      <c r="B8628" s="5" t="str">
        <f>"23085061717"</f>
        <v>23085061717</v>
      </c>
      <c r="C8628" s="6">
        <v>0</v>
      </c>
      <c r="D8628" s="6">
        <v>0</v>
      </c>
      <c r="E8628" s="6">
        <v>0</v>
      </c>
      <c r="F8628" s="11" t="s">
        <v>7</v>
      </c>
    </row>
    <row r="8629" spans="1:6">
      <c r="A8629" s="5" t="str">
        <f t="shared" si="152"/>
        <v>202332</v>
      </c>
      <c r="B8629" s="5" t="str">
        <f>"23085062525"</f>
        <v>23085062525</v>
      </c>
      <c r="C8629" s="6">
        <v>0</v>
      </c>
      <c r="D8629" s="6">
        <v>0</v>
      </c>
      <c r="E8629" s="6">
        <v>0</v>
      </c>
      <c r="F8629" s="11" t="s">
        <v>7</v>
      </c>
    </row>
    <row r="8630" spans="1:6">
      <c r="A8630" s="5" t="str">
        <f t="shared" si="152"/>
        <v>202332</v>
      </c>
      <c r="B8630" s="5" t="str">
        <f>"23085061914"</f>
        <v>23085061914</v>
      </c>
      <c r="C8630" s="6">
        <v>0</v>
      </c>
      <c r="D8630" s="6">
        <v>0</v>
      </c>
      <c r="E8630" s="6">
        <v>0</v>
      </c>
      <c r="F8630" s="11" t="s">
        <v>7</v>
      </c>
    </row>
    <row r="8631" spans="1:6">
      <c r="A8631" s="5" t="str">
        <f t="shared" si="152"/>
        <v>202332</v>
      </c>
      <c r="B8631" s="5" t="str">
        <f>"23085061705"</f>
        <v>23085061705</v>
      </c>
      <c r="C8631" s="6">
        <v>0</v>
      </c>
      <c r="D8631" s="6">
        <v>0</v>
      </c>
      <c r="E8631" s="6">
        <v>0</v>
      </c>
      <c r="F8631" s="11" t="s">
        <v>7</v>
      </c>
    </row>
    <row r="8632" spans="1:6">
      <c r="A8632" s="5" t="str">
        <f t="shared" si="152"/>
        <v>202332</v>
      </c>
      <c r="B8632" s="5" t="str">
        <f>"23085063016"</f>
        <v>23085063016</v>
      </c>
      <c r="C8632" s="6">
        <v>0</v>
      </c>
      <c r="D8632" s="6">
        <v>0</v>
      </c>
      <c r="E8632" s="6">
        <v>0</v>
      </c>
      <c r="F8632" s="11" t="s">
        <v>7</v>
      </c>
    </row>
    <row r="8633" spans="1:6">
      <c r="A8633" s="5" t="str">
        <f t="shared" si="152"/>
        <v>202332</v>
      </c>
      <c r="B8633" s="5" t="str">
        <f>"23085061124"</f>
        <v>23085061124</v>
      </c>
      <c r="C8633" s="6">
        <v>0</v>
      </c>
      <c r="D8633" s="6">
        <v>0</v>
      </c>
      <c r="E8633" s="6">
        <v>0</v>
      </c>
      <c r="F8633" s="11" t="s">
        <v>7</v>
      </c>
    </row>
    <row r="8634" spans="1:6">
      <c r="A8634" s="5" t="str">
        <f t="shared" si="152"/>
        <v>202332</v>
      </c>
      <c r="B8634" s="5" t="str">
        <f>"23085061724"</f>
        <v>23085061724</v>
      </c>
      <c r="C8634" s="6">
        <v>0</v>
      </c>
      <c r="D8634" s="6">
        <v>0</v>
      </c>
      <c r="E8634" s="6">
        <v>0</v>
      </c>
      <c r="F8634" s="11" t="s">
        <v>7</v>
      </c>
    </row>
    <row r="8635" spans="1:6">
      <c r="A8635" s="5" t="str">
        <f t="shared" si="152"/>
        <v>202332</v>
      </c>
      <c r="B8635" s="5" t="str">
        <f>"23085062924"</f>
        <v>23085062924</v>
      </c>
      <c r="C8635" s="6">
        <v>0</v>
      </c>
      <c r="D8635" s="6">
        <v>0</v>
      </c>
      <c r="E8635" s="6">
        <v>0</v>
      </c>
      <c r="F8635" s="11" t="s">
        <v>7</v>
      </c>
    </row>
    <row r="8636" spans="1:6">
      <c r="A8636" s="5" t="str">
        <f t="shared" ref="A8636:A8699" si="153">"202333"</f>
        <v>202333</v>
      </c>
      <c r="B8636" s="5" t="str">
        <f>"23085063622"</f>
        <v>23085063622</v>
      </c>
      <c r="C8636" s="6">
        <v>121.5</v>
      </c>
      <c r="D8636" s="6">
        <v>116</v>
      </c>
      <c r="E8636" s="6">
        <v>237.5</v>
      </c>
      <c r="F8636" s="11"/>
    </row>
    <row r="8637" spans="1:6">
      <c r="A8637" s="5" t="str">
        <f t="shared" si="153"/>
        <v>202333</v>
      </c>
      <c r="B8637" s="5" t="str">
        <f>"23085063606"</f>
        <v>23085063606</v>
      </c>
      <c r="C8637" s="6">
        <v>118.5</v>
      </c>
      <c r="D8637" s="6">
        <v>114.5</v>
      </c>
      <c r="E8637" s="6">
        <v>233</v>
      </c>
      <c r="F8637" s="11"/>
    </row>
    <row r="8638" spans="1:6">
      <c r="A8638" s="5" t="str">
        <f t="shared" si="153"/>
        <v>202333</v>
      </c>
      <c r="B8638" s="5" t="str">
        <f>"23085063527"</f>
        <v>23085063527</v>
      </c>
      <c r="C8638" s="6">
        <v>111</v>
      </c>
      <c r="D8638" s="6">
        <v>121</v>
      </c>
      <c r="E8638" s="6">
        <v>232</v>
      </c>
      <c r="F8638" s="11"/>
    </row>
    <row r="8639" spans="1:6">
      <c r="A8639" s="5" t="str">
        <f t="shared" si="153"/>
        <v>202333</v>
      </c>
      <c r="B8639" s="5" t="str">
        <f>"23085063814"</f>
        <v>23085063814</v>
      </c>
      <c r="C8639" s="6">
        <v>115.5</v>
      </c>
      <c r="D8639" s="6">
        <v>113</v>
      </c>
      <c r="E8639" s="6">
        <v>228.5</v>
      </c>
      <c r="F8639" s="11"/>
    </row>
    <row r="8640" spans="1:6">
      <c r="A8640" s="5" t="str">
        <f t="shared" si="153"/>
        <v>202333</v>
      </c>
      <c r="B8640" s="5" t="str">
        <f>"23085063717"</f>
        <v>23085063717</v>
      </c>
      <c r="C8640" s="6">
        <v>114</v>
      </c>
      <c r="D8640" s="6">
        <v>112.5</v>
      </c>
      <c r="E8640" s="6">
        <v>226.5</v>
      </c>
      <c r="F8640" s="11"/>
    </row>
    <row r="8641" spans="1:6">
      <c r="A8641" s="5" t="str">
        <f t="shared" si="153"/>
        <v>202333</v>
      </c>
      <c r="B8641" s="5" t="str">
        <f>"23085063708"</f>
        <v>23085063708</v>
      </c>
      <c r="C8641" s="6">
        <v>108</v>
      </c>
      <c r="D8641" s="6">
        <v>116.5</v>
      </c>
      <c r="E8641" s="6">
        <v>224.5</v>
      </c>
      <c r="F8641" s="11"/>
    </row>
    <row r="8642" spans="1:6">
      <c r="A8642" s="5" t="str">
        <f t="shared" si="153"/>
        <v>202333</v>
      </c>
      <c r="B8642" s="5" t="str">
        <f>"23085063601"</f>
        <v>23085063601</v>
      </c>
      <c r="C8642" s="6">
        <v>114</v>
      </c>
      <c r="D8642" s="6">
        <v>110.5</v>
      </c>
      <c r="E8642" s="6">
        <v>224.5</v>
      </c>
      <c r="F8642" s="11"/>
    </row>
    <row r="8643" spans="1:6">
      <c r="A8643" s="5" t="str">
        <f t="shared" si="153"/>
        <v>202333</v>
      </c>
      <c r="B8643" s="5" t="str">
        <f>"23085063718"</f>
        <v>23085063718</v>
      </c>
      <c r="C8643" s="6">
        <v>112.5</v>
      </c>
      <c r="D8643" s="6">
        <v>110</v>
      </c>
      <c r="E8643" s="6">
        <v>222.5</v>
      </c>
      <c r="F8643" s="11"/>
    </row>
    <row r="8644" spans="1:6">
      <c r="A8644" s="5" t="str">
        <f t="shared" si="153"/>
        <v>202333</v>
      </c>
      <c r="B8644" s="5" t="str">
        <f>"23085063707"</f>
        <v>23085063707</v>
      </c>
      <c r="C8644" s="6">
        <v>109.5</v>
      </c>
      <c r="D8644" s="6">
        <v>112.5</v>
      </c>
      <c r="E8644" s="6">
        <v>222</v>
      </c>
      <c r="F8644" s="11"/>
    </row>
    <row r="8645" spans="1:6">
      <c r="A8645" s="5" t="str">
        <f t="shared" si="153"/>
        <v>202333</v>
      </c>
      <c r="B8645" s="5" t="str">
        <f>"23085063625"</f>
        <v>23085063625</v>
      </c>
      <c r="C8645" s="6">
        <v>106.5</v>
      </c>
      <c r="D8645" s="6">
        <v>113.5</v>
      </c>
      <c r="E8645" s="6">
        <v>220</v>
      </c>
      <c r="F8645" s="11"/>
    </row>
    <row r="8646" spans="1:6">
      <c r="A8646" s="5" t="str">
        <f t="shared" si="153"/>
        <v>202333</v>
      </c>
      <c r="B8646" s="5" t="str">
        <f>"23085063704"</f>
        <v>23085063704</v>
      </c>
      <c r="C8646" s="6">
        <v>109.5</v>
      </c>
      <c r="D8646" s="6">
        <v>110.5</v>
      </c>
      <c r="E8646" s="6">
        <v>220</v>
      </c>
      <c r="F8646" s="11"/>
    </row>
    <row r="8647" spans="1:6">
      <c r="A8647" s="5" t="str">
        <f t="shared" si="153"/>
        <v>202333</v>
      </c>
      <c r="B8647" s="5" t="str">
        <f>"23085063530"</f>
        <v>23085063530</v>
      </c>
      <c r="C8647" s="6">
        <v>103.5</v>
      </c>
      <c r="D8647" s="6">
        <v>114.5</v>
      </c>
      <c r="E8647" s="6">
        <v>218</v>
      </c>
      <c r="F8647" s="11"/>
    </row>
    <row r="8648" spans="1:6">
      <c r="A8648" s="5" t="str">
        <f t="shared" si="153"/>
        <v>202333</v>
      </c>
      <c r="B8648" s="5" t="str">
        <f>"23085063618"</f>
        <v>23085063618</v>
      </c>
      <c r="C8648" s="6">
        <v>100.5</v>
      </c>
      <c r="D8648" s="6">
        <v>116</v>
      </c>
      <c r="E8648" s="6">
        <v>216.5</v>
      </c>
      <c r="F8648" s="11"/>
    </row>
    <row r="8649" spans="1:6">
      <c r="A8649" s="5" t="str">
        <f t="shared" si="153"/>
        <v>202333</v>
      </c>
      <c r="B8649" s="5" t="str">
        <f>"23085063528"</f>
        <v>23085063528</v>
      </c>
      <c r="C8649" s="6">
        <v>105</v>
      </c>
      <c r="D8649" s="6">
        <v>111</v>
      </c>
      <c r="E8649" s="6">
        <v>216</v>
      </c>
      <c r="F8649" s="11"/>
    </row>
    <row r="8650" spans="1:6">
      <c r="A8650" s="5" t="str">
        <f t="shared" si="153"/>
        <v>202333</v>
      </c>
      <c r="B8650" s="5" t="str">
        <f>"23085063614"</f>
        <v>23085063614</v>
      </c>
      <c r="C8650" s="6">
        <v>94.5</v>
      </c>
      <c r="D8650" s="6">
        <v>120</v>
      </c>
      <c r="E8650" s="6">
        <v>214.5</v>
      </c>
      <c r="F8650" s="11"/>
    </row>
    <row r="8651" spans="1:6">
      <c r="A8651" s="5" t="str">
        <f t="shared" si="153"/>
        <v>202333</v>
      </c>
      <c r="B8651" s="5" t="str">
        <f>"23085063806"</f>
        <v>23085063806</v>
      </c>
      <c r="C8651" s="6">
        <v>103.5</v>
      </c>
      <c r="D8651" s="6">
        <v>111</v>
      </c>
      <c r="E8651" s="6">
        <v>214.5</v>
      </c>
      <c r="F8651" s="11"/>
    </row>
    <row r="8652" spans="1:6">
      <c r="A8652" s="5" t="str">
        <f t="shared" si="153"/>
        <v>202333</v>
      </c>
      <c r="B8652" s="5" t="str">
        <f>"23085063602"</f>
        <v>23085063602</v>
      </c>
      <c r="C8652" s="6">
        <v>103.5</v>
      </c>
      <c r="D8652" s="6">
        <v>110</v>
      </c>
      <c r="E8652" s="6">
        <v>213.5</v>
      </c>
      <c r="F8652" s="11"/>
    </row>
    <row r="8653" spans="1:6">
      <c r="A8653" s="5" t="str">
        <f t="shared" si="153"/>
        <v>202333</v>
      </c>
      <c r="B8653" s="5" t="str">
        <f>"23085063620"</f>
        <v>23085063620</v>
      </c>
      <c r="C8653" s="6">
        <v>97.5</v>
      </c>
      <c r="D8653" s="6">
        <v>114.5</v>
      </c>
      <c r="E8653" s="6">
        <v>212</v>
      </c>
      <c r="F8653" s="11"/>
    </row>
    <row r="8654" spans="1:6">
      <c r="A8654" s="5" t="str">
        <f t="shared" si="153"/>
        <v>202333</v>
      </c>
      <c r="B8654" s="5" t="str">
        <f>"23085063805"</f>
        <v>23085063805</v>
      </c>
      <c r="C8654" s="6">
        <v>99</v>
      </c>
      <c r="D8654" s="6">
        <v>112.5</v>
      </c>
      <c r="E8654" s="6">
        <v>211.5</v>
      </c>
      <c r="F8654" s="11"/>
    </row>
    <row r="8655" spans="1:6">
      <c r="A8655" s="5" t="str">
        <f t="shared" si="153"/>
        <v>202333</v>
      </c>
      <c r="B8655" s="5" t="str">
        <f>"23085063705"</f>
        <v>23085063705</v>
      </c>
      <c r="C8655" s="6">
        <v>109.5</v>
      </c>
      <c r="D8655" s="6">
        <v>101</v>
      </c>
      <c r="E8655" s="6">
        <v>210.5</v>
      </c>
      <c r="F8655" s="11"/>
    </row>
    <row r="8656" spans="1:6">
      <c r="A8656" s="5" t="str">
        <f t="shared" si="153"/>
        <v>202333</v>
      </c>
      <c r="B8656" s="5" t="str">
        <f>"23085063803"</f>
        <v>23085063803</v>
      </c>
      <c r="C8656" s="6">
        <v>94.5</v>
      </c>
      <c r="D8656" s="6">
        <v>116</v>
      </c>
      <c r="E8656" s="6">
        <v>210.5</v>
      </c>
      <c r="F8656" s="11"/>
    </row>
    <row r="8657" spans="1:6">
      <c r="A8657" s="5" t="str">
        <f t="shared" si="153"/>
        <v>202333</v>
      </c>
      <c r="B8657" s="5" t="str">
        <f>"23085063701"</f>
        <v>23085063701</v>
      </c>
      <c r="C8657" s="6">
        <v>97.5</v>
      </c>
      <c r="D8657" s="6">
        <v>113</v>
      </c>
      <c r="E8657" s="6">
        <v>210.5</v>
      </c>
      <c r="F8657" s="11"/>
    </row>
    <row r="8658" spans="1:6">
      <c r="A8658" s="5" t="str">
        <f t="shared" si="153"/>
        <v>202333</v>
      </c>
      <c r="B8658" s="5" t="str">
        <f>"23085063728"</f>
        <v>23085063728</v>
      </c>
      <c r="C8658" s="6">
        <v>99</v>
      </c>
      <c r="D8658" s="6">
        <v>110</v>
      </c>
      <c r="E8658" s="6">
        <v>209</v>
      </c>
      <c r="F8658" s="11"/>
    </row>
    <row r="8659" spans="1:6">
      <c r="A8659" s="5" t="str">
        <f t="shared" si="153"/>
        <v>202333</v>
      </c>
      <c r="B8659" s="5" t="str">
        <f>"23085063720"</f>
        <v>23085063720</v>
      </c>
      <c r="C8659" s="6">
        <v>97.5</v>
      </c>
      <c r="D8659" s="6">
        <v>111</v>
      </c>
      <c r="E8659" s="6">
        <v>208.5</v>
      </c>
      <c r="F8659" s="11"/>
    </row>
    <row r="8660" spans="1:6">
      <c r="A8660" s="5" t="str">
        <f t="shared" si="153"/>
        <v>202333</v>
      </c>
      <c r="B8660" s="5" t="str">
        <f>"23085063809"</f>
        <v>23085063809</v>
      </c>
      <c r="C8660" s="6">
        <v>88.5</v>
      </c>
      <c r="D8660" s="6">
        <v>117.5</v>
      </c>
      <c r="E8660" s="6">
        <v>206</v>
      </c>
      <c r="F8660" s="11"/>
    </row>
    <row r="8661" spans="1:6">
      <c r="A8661" s="5" t="str">
        <f t="shared" si="153"/>
        <v>202333</v>
      </c>
      <c r="B8661" s="5" t="str">
        <f>"23085063612"</f>
        <v>23085063612</v>
      </c>
      <c r="C8661" s="6">
        <v>88.5</v>
      </c>
      <c r="D8661" s="6">
        <v>117</v>
      </c>
      <c r="E8661" s="6">
        <v>205.5</v>
      </c>
      <c r="F8661" s="11"/>
    </row>
    <row r="8662" spans="1:6">
      <c r="A8662" s="5" t="str">
        <f t="shared" si="153"/>
        <v>202333</v>
      </c>
      <c r="B8662" s="5" t="str">
        <f>"23085063714"</f>
        <v>23085063714</v>
      </c>
      <c r="C8662" s="6">
        <v>91.5</v>
      </c>
      <c r="D8662" s="6">
        <v>114</v>
      </c>
      <c r="E8662" s="6">
        <v>205.5</v>
      </c>
      <c r="F8662" s="11"/>
    </row>
    <row r="8663" spans="1:6">
      <c r="A8663" s="5" t="str">
        <f t="shared" si="153"/>
        <v>202333</v>
      </c>
      <c r="B8663" s="5" t="str">
        <f>"23085063808"</f>
        <v>23085063808</v>
      </c>
      <c r="C8663" s="6">
        <v>105</v>
      </c>
      <c r="D8663" s="6">
        <v>99</v>
      </c>
      <c r="E8663" s="6">
        <v>204</v>
      </c>
      <c r="F8663" s="11"/>
    </row>
    <row r="8664" spans="1:6">
      <c r="A8664" s="5" t="str">
        <f t="shared" si="153"/>
        <v>202333</v>
      </c>
      <c r="B8664" s="5" t="str">
        <f>"23085063624"</f>
        <v>23085063624</v>
      </c>
      <c r="C8664" s="6">
        <v>90</v>
      </c>
      <c r="D8664" s="6">
        <v>114</v>
      </c>
      <c r="E8664" s="6">
        <v>204</v>
      </c>
      <c r="F8664" s="11"/>
    </row>
    <row r="8665" spans="1:6">
      <c r="A8665" s="5" t="str">
        <f t="shared" si="153"/>
        <v>202333</v>
      </c>
      <c r="B8665" s="5" t="str">
        <f>"23085063628"</f>
        <v>23085063628</v>
      </c>
      <c r="C8665" s="6">
        <v>85.5</v>
      </c>
      <c r="D8665" s="6">
        <v>118</v>
      </c>
      <c r="E8665" s="6">
        <v>203.5</v>
      </c>
      <c r="F8665" s="11"/>
    </row>
    <row r="8666" spans="1:6">
      <c r="A8666" s="5" t="str">
        <f t="shared" si="153"/>
        <v>202333</v>
      </c>
      <c r="B8666" s="5" t="str">
        <f>"23085063729"</f>
        <v>23085063729</v>
      </c>
      <c r="C8666" s="6">
        <v>91.5</v>
      </c>
      <c r="D8666" s="6">
        <v>111.5</v>
      </c>
      <c r="E8666" s="6">
        <v>203</v>
      </c>
      <c r="F8666" s="11"/>
    </row>
    <row r="8667" spans="1:6">
      <c r="A8667" s="5" t="str">
        <f t="shared" si="153"/>
        <v>202333</v>
      </c>
      <c r="B8667" s="5" t="str">
        <f>"23085063726"</f>
        <v>23085063726</v>
      </c>
      <c r="C8667" s="6">
        <v>100.5</v>
      </c>
      <c r="D8667" s="6">
        <v>102</v>
      </c>
      <c r="E8667" s="6">
        <v>202.5</v>
      </c>
      <c r="F8667" s="11"/>
    </row>
    <row r="8668" spans="1:6">
      <c r="A8668" s="5" t="str">
        <f t="shared" si="153"/>
        <v>202333</v>
      </c>
      <c r="B8668" s="5" t="str">
        <f>"23085063710"</f>
        <v>23085063710</v>
      </c>
      <c r="C8668" s="6">
        <v>85.5</v>
      </c>
      <c r="D8668" s="6">
        <v>115</v>
      </c>
      <c r="E8668" s="6">
        <v>200.5</v>
      </c>
      <c r="F8668" s="11"/>
    </row>
    <row r="8669" spans="1:6">
      <c r="A8669" s="5" t="str">
        <f t="shared" si="153"/>
        <v>202333</v>
      </c>
      <c r="B8669" s="5" t="str">
        <f>"23085063524"</f>
        <v>23085063524</v>
      </c>
      <c r="C8669" s="6">
        <v>79.5</v>
      </c>
      <c r="D8669" s="6">
        <v>120.5</v>
      </c>
      <c r="E8669" s="6">
        <v>200</v>
      </c>
      <c r="F8669" s="11"/>
    </row>
    <row r="8670" spans="1:6">
      <c r="A8670" s="5" t="str">
        <f t="shared" si="153"/>
        <v>202333</v>
      </c>
      <c r="B8670" s="5" t="str">
        <f>"23085063722"</f>
        <v>23085063722</v>
      </c>
      <c r="C8670" s="6">
        <v>90</v>
      </c>
      <c r="D8670" s="6">
        <v>109</v>
      </c>
      <c r="E8670" s="6">
        <v>199</v>
      </c>
      <c r="F8670" s="11"/>
    </row>
    <row r="8671" spans="1:6">
      <c r="A8671" s="5" t="str">
        <f t="shared" si="153"/>
        <v>202333</v>
      </c>
      <c r="B8671" s="5" t="str">
        <f>"23085063706"</f>
        <v>23085063706</v>
      </c>
      <c r="C8671" s="6">
        <v>79.5</v>
      </c>
      <c r="D8671" s="6">
        <v>117.5</v>
      </c>
      <c r="E8671" s="6">
        <v>197</v>
      </c>
      <c r="F8671" s="11"/>
    </row>
    <row r="8672" spans="1:6">
      <c r="A8672" s="5" t="str">
        <f t="shared" si="153"/>
        <v>202333</v>
      </c>
      <c r="B8672" s="5" t="str">
        <f>"23085063609"</f>
        <v>23085063609</v>
      </c>
      <c r="C8672" s="6">
        <v>91.5</v>
      </c>
      <c r="D8672" s="6">
        <v>105.5</v>
      </c>
      <c r="E8672" s="6">
        <v>197</v>
      </c>
      <c r="F8672" s="11"/>
    </row>
    <row r="8673" spans="1:6">
      <c r="A8673" s="5" t="str">
        <f t="shared" si="153"/>
        <v>202333</v>
      </c>
      <c r="B8673" s="5" t="str">
        <f>"23085063715"</f>
        <v>23085063715</v>
      </c>
      <c r="C8673" s="6">
        <v>105</v>
      </c>
      <c r="D8673" s="6">
        <v>91.5</v>
      </c>
      <c r="E8673" s="6">
        <v>196.5</v>
      </c>
      <c r="F8673" s="11"/>
    </row>
    <row r="8674" spans="1:6">
      <c r="A8674" s="5" t="str">
        <f t="shared" si="153"/>
        <v>202333</v>
      </c>
      <c r="B8674" s="5" t="str">
        <f>"23085063626"</f>
        <v>23085063626</v>
      </c>
      <c r="C8674" s="6">
        <v>99</v>
      </c>
      <c r="D8674" s="6">
        <v>95.5</v>
      </c>
      <c r="E8674" s="6">
        <v>194.5</v>
      </c>
      <c r="F8674" s="11"/>
    </row>
    <row r="8675" spans="1:6">
      <c r="A8675" s="5" t="str">
        <f t="shared" si="153"/>
        <v>202333</v>
      </c>
      <c r="B8675" s="5" t="str">
        <f>"23085063712"</f>
        <v>23085063712</v>
      </c>
      <c r="C8675" s="6">
        <v>85.5</v>
      </c>
      <c r="D8675" s="6">
        <v>108.5</v>
      </c>
      <c r="E8675" s="6">
        <v>194</v>
      </c>
      <c r="F8675" s="11"/>
    </row>
    <row r="8676" spans="1:6">
      <c r="A8676" s="5" t="str">
        <f t="shared" si="153"/>
        <v>202333</v>
      </c>
      <c r="B8676" s="5" t="str">
        <f>"23085063605"</f>
        <v>23085063605</v>
      </c>
      <c r="C8676" s="6">
        <v>81</v>
      </c>
      <c r="D8676" s="6">
        <v>113</v>
      </c>
      <c r="E8676" s="6">
        <v>194</v>
      </c>
      <c r="F8676" s="11"/>
    </row>
    <row r="8677" spans="1:6">
      <c r="A8677" s="5" t="str">
        <f t="shared" si="153"/>
        <v>202333</v>
      </c>
      <c r="B8677" s="5" t="str">
        <f>"23085063730"</f>
        <v>23085063730</v>
      </c>
      <c r="C8677" s="6">
        <v>85.5</v>
      </c>
      <c r="D8677" s="6">
        <v>107.5</v>
      </c>
      <c r="E8677" s="6">
        <v>193</v>
      </c>
      <c r="F8677" s="11"/>
    </row>
    <row r="8678" spans="1:6">
      <c r="A8678" s="5" t="str">
        <f t="shared" si="153"/>
        <v>202333</v>
      </c>
      <c r="B8678" s="5" t="str">
        <f>"23085063716"</f>
        <v>23085063716</v>
      </c>
      <c r="C8678" s="6">
        <v>82.5</v>
      </c>
      <c r="D8678" s="6">
        <v>110</v>
      </c>
      <c r="E8678" s="6">
        <v>192.5</v>
      </c>
      <c r="F8678" s="11"/>
    </row>
    <row r="8679" spans="1:6">
      <c r="A8679" s="5" t="str">
        <f t="shared" si="153"/>
        <v>202333</v>
      </c>
      <c r="B8679" s="5" t="str">
        <f>"23085063610"</f>
        <v>23085063610</v>
      </c>
      <c r="C8679" s="6">
        <v>75</v>
      </c>
      <c r="D8679" s="6">
        <v>115.5</v>
      </c>
      <c r="E8679" s="6">
        <v>190.5</v>
      </c>
      <c r="F8679" s="11"/>
    </row>
    <row r="8680" spans="1:6">
      <c r="A8680" s="5" t="str">
        <f t="shared" si="153"/>
        <v>202333</v>
      </c>
      <c r="B8680" s="5" t="str">
        <f>"23085063804"</f>
        <v>23085063804</v>
      </c>
      <c r="C8680" s="6">
        <v>81</v>
      </c>
      <c r="D8680" s="6">
        <v>107</v>
      </c>
      <c r="E8680" s="6">
        <v>188</v>
      </c>
      <c r="F8680" s="11"/>
    </row>
    <row r="8681" spans="1:6">
      <c r="A8681" s="5" t="str">
        <f t="shared" si="153"/>
        <v>202333</v>
      </c>
      <c r="B8681" s="5" t="str">
        <f>"23085063815"</f>
        <v>23085063815</v>
      </c>
      <c r="C8681" s="6">
        <v>87</v>
      </c>
      <c r="D8681" s="6">
        <v>101</v>
      </c>
      <c r="E8681" s="6">
        <v>188</v>
      </c>
      <c r="F8681" s="11"/>
    </row>
    <row r="8682" spans="1:6">
      <c r="A8682" s="5" t="str">
        <f t="shared" si="153"/>
        <v>202333</v>
      </c>
      <c r="B8682" s="5" t="str">
        <f>"23085063702"</f>
        <v>23085063702</v>
      </c>
      <c r="C8682" s="6">
        <v>72</v>
      </c>
      <c r="D8682" s="6">
        <v>115.5</v>
      </c>
      <c r="E8682" s="6">
        <v>187.5</v>
      </c>
      <c r="F8682" s="11"/>
    </row>
    <row r="8683" spans="1:6">
      <c r="A8683" s="5" t="str">
        <f t="shared" si="153"/>
        <v>202333</v>
      </c>
      <c r="B8683" s="5" t="str">
        <f>"23085063807"</f>
        <v>23085063807</v>
      </c>
      <c r="C8683" s="6">
        <v>75</v>
      </c>
      <c r="D8683" s="6">
        <v>111.5</v>
      </c>
      <c r="E8683" s="6">
        <v>186.5</v>
      </c>
      <c r="F8683" s="11"/>
    </row>
    <row r="8684" spans="1:6">
      <c r="A8684" s="5" t="str">
        <f t="shared" si="153"/>
        <v>202333</v>
      </c>
      <c r="B8684" s="5" t="str">
        <f>"23085063604"</f>
        <v>23085063604</v>
      </c>
      <c r="C8684" s="6">
        <v>70.5</v>
      </c>
      <c r="D8684" s="6">
        <v>114</v>
      </c>
      <c r="E8684" s="6">
        <v>184.5</v>
      </c>
      <c r="F8684" s="11"/>
    </row>
    <row r="8685" spans="1:6">
      <c r="A8685" s="5" t="str">
        <f t="shared" si="153"/>
        <v>202333</v>
      </c>
      <c r="B8685" s="5" t="str">
        <f>"23085063617"</f>
        <v>23085063617</v>
      </c>
      <c r="C8685" s="6">
        <v>70.5</v>
      </c>
      <c r="D8685" s="6">
        <v>113</v>
      </c>
      <c r="E8685" s="6">
        <v>183.5</v>
      </c>
      <c r="F8685" s="11"/>
    </row>
    <row r="8686" spans="1:6">
      <c r="A8686" s="5" t="str">
        <f t="shared" si="153"/>
        <v>202333</v>
      </c>
      <c r="B8686" s="5" t="str">
        <f>"23085063525"</f>
        <v>23085063525</v>
      </c>
      <c r="C8686" s="6">
        <v>78</v>
      </c>
      <c r="D8686" s="6">
        <v>104.5</v>
      </c>
      <c r="E8686" s="6">
        <v>182.5</v>
      </c>
      <c r="F8686" s="11"/>
    </row>
    <row r="8687" spans="1:6">
      <c r="A8687" s="5" t="str">
        <f t="shared" si="153"/>
        <v>202333</v>
      </c>
      <c r="B8687" s="5" t="str">
        <f>"23085063817"</f>
        <v>23085063817</v>
      </c>
      <c r="C8687" s="6">
        <v>73.5</v>
      </c>
      <c r="D8687" s="6">
        <v>107</v>
      </c>
      <c r="E8687" s="6">
        <v>180.5</v>
      </c>
      <c r="F8687" s="11"/>
    </row>
    <row r="8688" spans="1:6">
      <c r="A8688" s="5" t="str">
        <f t="shared" si="153"/>
        <v>202333</v>
      </c>
      <c r="B8688" s="5" t="str">
        <f>"23085063813"</f>
        <v>23085063813</v>
      </c>
      <c r="C8688" s="6">
        <v>97.5</v>
      </c>
      <c r="D8688" s="6">
        <v>79.5</v>
      </c>
      <c r="E8688" s="6">
        <v>177</v>
      </c>
      <c r="F8688" s="11"/>
    </row>
    <row r="8689" spans="1:6">
      <c r="A8689" s="5" t="str">
        <f t="shared" si="153"/>
        <v>202333</v>
      </c>
      <c r="B8689" s="5" t="str">
        <f>"23085063719"</f>
        <v>23085063719</v>
      </c>
      <c r="C8689" s="6">
        <v>64.5</v>
      </c>
      <c r="D8689" s="6">
        <v>112.5</v>
      </c>
      <c r="E8689" s="6">
        <v>177</v>
      </c>
      <c r="F8689" s="11"/>
    </row>
    <row r="8690" spans="1:6">
      <c r="A8690" s="5" t="str">
        <f t="shared" si="153"/>
        <v>202333</v>
      </c>
      <c r="B8690" s="5" t="str">
        <f>"23085063723"</f>
        <v>23085063723</v>
      </c>
      <c r="C8690" s="6">
        <v>63</v>
      </c>
      <c r="D8690" s="6">
        <v>113.5</v>
      </c>
      <c r="E8690" s="6">
        <v>176.5</v>
      </c>
      <c r="F8690" s="11"/>
    </row>
    <row r="8691" spans="1:6">
      <c r="A8691" s="5" t="str">
        <f t="shared" si="153"/>
        <v>202333</v>
      </c>
      <c r="B8691" s="5" t="str">
        <f>"23085063724"</f>
        <v>23085063724</v>
      </c>
      <c r="C8691" s="6">
        <v>69</v>
      </c>
      <c r="D8691" s="6">
        <v>107</v>
      </c>
      <c r="E8691" s="6">
        <v>176</v>
      </c>
      <c r="F8691" s="11"/>
    </row>
    <row r="8692" spans="1:6">
      <c r="A8692" s="5" t="str">
        <f t="shared" si="153"/>
        <v>202333</v>
      </c>
      <c r="B8692" s="5" t="str">
        <f>"23085063711"</f>
        <v>23085063711</v>
      </c>
      <c r="C8692" s="6">
        <v>79.5</v>
      </c>
      <c r="D8692" s="6">
        <v>88</v>
      </c>
      <c r="E8692" s="6">
        <v>167.5</v>
      </c>
      <c r="F8692" s="11"/>
    </row>
    <row r="8693" spans="1:6">
      <c r="A8693" s="5" t="str">
        <f t="shared" si="153"/>
        <v>202333</v>
      </c>
      <c r="B8693" s="5" t="str">
        <f>"23085063725"</f>
        <v>23085063725</v>
      </c>
      <c r="C8693" s="6">
        <v>73.5</v>
      </c>
      <c r="D8693" s="6">
        <v>92.5</v>
      </c>
      <c r="E8693" s="6">
        <v>166</v>
      </c>
      <c r="F8693" s="11"/>
    </row>
    <row r="8694" spans="1:6">
      <c r="A8694" s="5" t="str">
        <f t="shared" si="153"/>
        <v>202333</v>
      </c>
      <c r="B8694" s="5" t="str">
        <f>"23085063721"</f>
        <v>23085063721</v>
      </c>
      <c r="C8694" s="6">
        <v>67.5</v>
      </c>
      <c r="D8694" s="6">
        <v>89</v>
      </c>
      <c r="E8694" s="6">
        <v>156.5</v>
      </c>
      <c r="F8694" s="11"/>
    </row>
    <row r="8695" spans="1:6">
      <c r="A8695" s="5" t="str">
        <f t="shared" si="153"/>
        <v>202333</v>
      </c>
      <c r="B8695" s="5" t="str">
        <f>"23085063627"</f>
        <v>23085063627</v>
      </c>
      <c r="C8695" s="6">
        <v>73.5</v>
      </c>
      <c r="D8695" s="6">
        <v>45</v>
      </c>
      <c r="E8695" s="6">
        <v>118.5</v>
      </c>
      <c r="F8695" s="11"/>
    </row>
    <row r="8696" spans="1:6">
      <c r="A8696" s="5" t="str">
        <f t="shared" si="153"/>
        <v>202333</v>
      </c>
      <c r="B8696" s="5" t="str">
        <f>"23085063529"</f>
        <v>23085063529</v>
      </c>
      <c r="C8696" s="6">
        <v>0</v>
      </c>
      <c r="D8696" s="6">
        <v>0</v>
      </c>
      <c r="E8696" s="6">
        <v>0</v>
      </c>
      <c r="F8696" s="11" t="s">
        <v>7</v>
      </c>
    </row>
    <row r="8697" spans="1:6">
      <c r="A8697" s="5" t="str">
        <f t="shared" si="153"/>
        <v>202333</v>
      </c>
      <c r="B8697" s="5" t="str">
        <f>"23085063608"</f>
        <v>23085063608</v>
      </c>
      <c r="C8697" s="6">
        <v>0</v>
      </c>
      <c r="D8697" s="6">
        <v>0</v>
      </c>
      <c r="E8697" s="6">
        <v>0</v>
      </c>
      <c r="F8697" s="11" t="s">
        <v>7</v>
      </c>
    </row>
    <row r="8698" spans="1:6">
      <c r="A8698" s="5" t="str">
        <f t="shared" si="153"/>
        <v>202333</v>
      </c>
      <c r="B8698" s="5" t="str">
        <f>"23085063703"</f>
        <v>23085063703</v>
      </c>
      <c r="C8698" s="6">
        <v>0</v>
      </c>
      <c r="D8698" s="6">
        <v>0</v>
      </c>
      <c r="E8698" s="6">
        <v>0</v>
      </c>
      <c r="F8698" s="11" t="s">
        <v>7</v>
      </c>
    </row>
    <row r="8699" spans="1:6">
      <c r="A8699" s="5" t="str">
        <f t="shared" si="153"/>
        <v>202333</v>
      </c>
      <c r="B8699" s="5" t="str">
        <f>"23085063802"</f>
        <v>23085063802</v>
      </c>
      <c r="C8699" s="6">
        <v>0</v>
      </c>
      <c r="D8699" s="6">
        <v>0</v>
      </c>
      <c r="E8699" s="6">
        <v>0</v>
      </c>
      <c r="F8699" s="11" t="s">
        <v>7</v>
      </c>
    </row>
    <row r="8700" spans="1:6">
      <c r="A8700" s="5" t="str">
        <f t="shared" ref="A8700:A8721" si="154">"202333"</f>
        <v>202333</v>
      </c>
      <c r="B8700" s="5" t="str">
        <f>"23085063709"</f>
        <v>23085063709</v>
      </c>
      <c r="C8700" s="6">
        <v>0</v>
      </c>
      <c r="D8700" s="6">
        <v>0</v>
      </c>
      <c r="E8700" s="6">
        <v>0</v>
      </c>
      <c r="F8700" s="11" t="s">
        <v>7</v>
      </c>
    </row>
    <row r="8701" spans="1:6">
      <c r="A8701" s="5" t="str">
        <f t="shared" si="154"/>
        <v>202333</v>
      </c>
      <c r="B8701" s="5" t="str">
        <f>"23085063629"</f>
        <v>23085063629</v>
      </c>
      <c r="C8701" s="6">
        <v>0</v>
      </c>
      <c r="D8701" s="6">
        <v>0</v>
      </c>
      <c r="E8701" s="6">
        <v>0</v>
      </c>
      <c r="F8701" s="11" t="s">
        <v>7</v>
      </c>
    </row>
    <row r="8702" spans="1:6">
      <c r="A8702" s="5" t="str">
        <f t="shared" si="154"/>
        <v>202333</v>
      </c>
      <c r="B8702" s="5" t="str">
        <f>"23085063615"</f>
        <v>23085063615</v>
      </c>
      <c r="C8702" s="6">
        <v>0</v>
      </c>
      <c r="D8702" s="6">
        <v>0</v>
      </c>
      <c r="E8702" s="6">
        <v>0</v>
      </c>
      <c r="F8702" s="11" t="s">
        <v>7</v>
      </c>
    </row>
    <row r="8703" spans="1:6">
      <c r="A8703" s="5" t="str">
        <f t="shared" si="154"/>
        <v>202333</v>
      </c>
      <c r="B8703" s="5" t="str">
        <f>"23085063613"</f>
        <v>23085063613</v>
      </c>
      <c r="C8703" s="6">
        <v>0</v>
      </c>
      <c r="D8703" s="6">
        <v>0</v>
      </c>
      <c r="E8703" s="6">
        <v>0</v>
      </c>
      <c r="F8703" s="11" t="s">
        <v>7</v>
      </c>
    </row>
    <row r="8704" spans="1:6">
      <c r="A8704" s="5" t="str">
        <f t="shared" si="154"/>
        <v>202333</v>
      </c>
      <c r="B8704" s="5" t="str">
        <f>"23085063607"</f>
        <v>23085063607</v>
      </c>
      <c r="C8704" s="6">
        <v>0</v>
      </c>
      <c r="D8704" s="6">
        <v>0</v>
      </c>
      <c r="E8704" s="6">
        <v>0</v>
      </c>
      <c r="F8704" s="11" t="s">
        <v>7</v>
      </c>
    </row>
    <row r="8705" spans="1:6">
      <c r="A8705" s="5" t="str">
        <f t="shared" si="154"/>
        <v>202333</v>
      </c>
      <c r="B8705" s="5" t="str">
        <f>"23085063801"</f>
        <v>23085063801</v>
      </c>
      <c r="C8705" s="6">
        <v>0</v>
      </c>
      <c r="D8705" s="6">
        <v>0</v>
      </c>
      <c r="E8705" s="6">
        <v>0</v>
      </c>
      <c r="F8705" s="11" t="s">
        <v>7</v>
      </c>
    </row>
    <row r="8706" spans="1:6">
      <c r="A8706" s="5" t="str">
        <f t="shared" si="154"/>
        <v>202333</v>
      </c>
      <c r="B8706" s="5" t="str">
        <f>"23085063623"</f>
        <v>23085063623</v>
      </c>
      <c r="C8706" s="6">
        <v>0</v>
      </c>
      <c r="D8706" s="6">
        <v>0</v>
      </c>
      <c r="E8706" s="6">
        <v>0</v>
      </c>
      <c r="F8706" s="11" t="s">
        <v>7</v>
      </c>
    </row>
    <row r="8707" spans="1:6">
      <c r="A8707" s="5" t="str">
        <f t="shared" si="154"/>
        <v>202333</v>
      </c>
      <c r="B8707" s="5" t="str">
        <f>"23085063526"</f>
        <v>23085063526</v>
      </c>
      <c r="C8707" s="6">
        <v>0</v>
      </c>
      <c r="D8707" s="6">
        <v>0</v>
      </c>
      <c r="E8707" s="6">
        <v>0</v>
      </c>
      <c r="F8707" s="11" t="s">
        <v>7</v>
      </c>
    </row>
    <row r="8708" spans="1:6">
      <c r="A8708" s="5" t="str">
        <f t="shared" si="154"/>
        <v>202333</v>
      </c>
      <c r="B8708" s="5" t="str">
        <f>"23085063603"</f>
        <v>23085063603</v>
      </c>
      <c r="C8708" s="6">
        <v>0</v>
      </c>
      <c r="D8708" s="6">
        <v>0</v>
      </c>
      <c r="E8708" s="6">
        <v>0</v>
      </c>
      <c r="F8708" s="11" t="s">
        <v>7</v>
      </c>
    </row>
    <row r="8709" spans="1:6">
      <c r="A8709" s="5" t="str">
        <f t="shared" si="154"/>
        <v>202333</v>
      </c>
      <c r="B8709" s="5" t="str">
        <f>"23085063810"</f>
        <v>23085063810</v>
      </c>
      <c r="C8709" s="6">
        <v>0</v>
      </c>
      <c r="D8709" s="6">
        <v>0</v>
      </c>
      <c r="E8709" s="6">
        <v>0</v>
      </c>
      <c r="F8709" s="11" t="s">
        <v>7</v>
      </c>
    </row>
    <row r="8710" spans="1:6">
      <c r="A8710" s="5" t="str">
        <f t="shared" si="154"/>
        <v>202333</v>
      </c>
      <c r="B8710" s="5" t="str">
        <f>"23085063630"</f>
        <v>23085063630</v>
      </c>
      <c r="C8710" s="6">
        <v>0</v>
      </c>
      <c r="D8710" s="6">
        <v>0</v>
      </c>
      <c r="E8710" s="6">
        <v>0</v>
      </c>
      <c r="F8710" s="11" t="s">
        <v>7</v>
      </c>
    </row>
    <row r="8711" spans="1:6">
      <c r="A8711" s="5" t="str">
        <f t="shared" si="154"/>
        <v>202333</v>
      </c>
      <c r="B8711" s="5" t="str">
        <f>"23085063616"</f>
        <v>23085063616</v>
      </c>
      <c r="C8711" s="6">
        <v>0</v>
      </c>
      <c r="D8711" s="6">
        <v>0</v>
      </c>
      <c r="E8711" s="6">
        <v>0</v>
      </c>
      <c r="F8711" s="11" t="s">
        <v>7</v>
      </c>
    </row>
    <row r="8712" spans="1:6">
      <c r="A8712" s="5" t="str">
        <f t="shared" si="154"/>
        <v>202333</v>
      </c>
      <c r="B8712" s="5" t="str">
        <f>"23085063812"</f>
        <v>23085063812</v>
      </c>
      <c r="C8712" s="6">
        <v>0</v>
      </c>
      <c r="D8712" s="6">
        <v>0</v>
      </c>
      <c r="E8712" s="6">
        <v>0</v>
      </c>
      <c r="F8712" s="11" t="s">
        <v>7</v>
      </c>
    </row>
    <row r="8713" spans="1:6">
      <c r="A8713" s="5" t="str">
        <f t="shared" si="154"/>
        <v>202333</v>
      </c>
      <c r="B8713" s="5" t="str">
        <f>"23085063713"</f>
        <v>23085063713</v>
      </c>
      <c r="C8713" s="6">
        <v>0</v>
      </c>
      <c r="D8713" s="6">
        <v>0</v>
      </c>
      <c r="E8713" s="6">
        <v>0</v>
      </c>
      <c r="F8713" s="11" t="s">
        <v>7</v>
      </c>
    </row>
    <row r="8714" spans="1:6">
      <c r="A8714" s="5" t="str">
        <f t="shared" si="154"/>
        <v>202333</v>
      </c>
      <c r="B8714" s="5" t="str">
        <f>"23085063811"</f>
        <v>23085063811</v>
      </c>
      <c r="C8714" s="6">
        <v>0</v>
      </c>
      <c r="D8714" s="6">
        <v>0</v>
      </c>
      <c r="E8714" s="6">
        <v>0</v>
      </c>
      <c r="F8714" s="11" t="s">
        <v>7</v>
      </c>
    </row>
    <row r="8715" spans="1:6">
      <c r="A8715" s="5" t="str">
        <f t="shared" si="154"/>
        <v>202333</v>
      </c>
      <c r="B8715" s="5" t="str">
        <f>"23085063819"</f>
        <v>23085063819</v>
      </c>
      <c r="C8715" s="6">
        <v>0</v>
      </c>
      <c r="D8715" s="6">
        <v>0</v>
      </c>
      <c r="E8715" s="6">
        <v>0</v>
      </c>
      <c r="F8715" s="11" t="s">
        <v>7</v>
      </c>
    </row>
    <row r="8716" spans="1:6">
      <c r="A8716" s="5" t="str">
        <f t="shared" si="154"/>
        <v>202333</v>
      </c>
      <c r="B8716" s="5" t="str">
        <f>"23085063611"</f>
        <v>23085063611</v>
      </c>
      <c r="C8716" s="6">
        <v>0</v>
      </c>
      <c r="D8716" s="6">
        <v>0</v>
      </c>
      <c r="E8716" s="6">
        <v>0</v>
      </c>
      <c r="F8716" s="11" t="s">
        <v>7</v>
      </c>
    </row>
    <row r="8717" spans="1:6">
      <c r="A8717" s="5" t="str">
        <f t="shared" si="154"/>
        <v>202333</v>
      </c>
      <c r="B8717" s="5" t="str">
        <f>"23085063816"</f>
        <v>23085063816</v>
      </c>
      <c r="C8717" s="6">
        <v>0</v>
      </c>
      <c r="D8717" s="6">
        <v>0</v>
      </c>
      <c r="E8717" s="6">
        <v>0</v>
      </c>
      <c r="F8717" s="11" t="s">
        <v>7</v>
      </c>
    </row>
    <row r="8718" spans="1:6">
      <c r="A8718" s="5" t="str">
        <f t="shared" si="154"/>
        <v>202333</v>
      </c>
      <c r="B8718" s="5" t="str">
        <f>"23085063727"</f>
        <v>23085063727</v>
      </c>
      <c r="C8718" s="6">
        <v>0</v>
      </c>
      <c r="D8718" s="6">
        <v>0</v>
      </c>
      <c r="E8718" s="6">
        <v>0</v>
      </c>
      <c r="F8718" s="11" t="s">
        <v>7</v>
      </c>
    </row>
    <row r="8719" spans="1:6">
      <c r="A8719" s="5" t="str">
        <f t="shared" si="154"/>
        <v>202333</v>
      </c>
      <c r="B8719" s="5" t="str">
        <f>"23085063818"</f>
        <v>23085063818</v>
      </c>
      <c r="C8719" s="6">
        <v>0</v>
      </c>
      <c r="D8719" s="6">
        <v>0</v>
      </c>
      <c r="E8719" s="6">
        <v>0</v>
      </c>
      <c r="F8719" s="11" t="s">
        <v>7</v>
      </c>
    </row>
    <row r="8720" spans="1:6">
      <c r="A8720" s="5" t="str">
        <f t="shared" si="154"/>
        <v>202333</v>
      </c>
      <c r="B8720" s="5" t="str">
        <f>"23085063619"</f>
        <v>23085063619</v>
      </c>
      <c r="C8720" s="6">
        <v>0</v>
      </c>
      <c r="D8720" s="6">
        <v>0</v>
      </c>
      <c r="E8720" s="6">
        <v>0</v>
      </c>
      <c r="F8720" s="11" t="s">
        <v>7</v>
      </c>
    </row>
    <row r="8721" spans="1:6">
      <c r="A8721" s="5" t="str">
        <f t="shared" si="154"/>
        <v>202333</v>
      </c>
      <c r="B8721" s="5" t="str">
        <f>"23085063621"</f>
        <v>23085063621</v>
      </c>
      <c r="C8721" s="6">
        <v>0</v>
      </c>
      <c r="D8721" s="6">
        <v>0</v>
      </c>
      <c r="E8721" s="6">
        <v>0</v>
      </c>
      <c r="F8721" s="11" t="s">
        <v>7</v>
      </c>
    </row>
    <row r="8722" spans="1:6">
      <c r="A8722" s="5" t="str">
        <f t="shared" ref="A8722:A8785" si="155">"202334"</f>
        <v>202334</v>
      </c>
      <c r="B8722" s="5" t="str">
        <f>"23085064219"</f>
        <v>23085064219</v>
      </c>
      <c r="C8722" s="6">
        <v>121.5</v>
      </c>
      <c r="D8722" s="6">
        <v>122</v>
      </c>
      <c r="E8722" s="6">
        <v>243.5</v>
      </c>
      <c r="F8722" s="11"/>
    </row>
    <row r="8723" spans="1:6">
      <c r="A8723" s="5" t="str">
        <f t="shared" si="155"/>
        <v>202334</v>
      </c>
      <c r="B8723" s="5" t="str">
        <f>"23085064018"</f>
        <v>23085064018</v>
      </c>
      <c r="C8723" s="6">
        <v>114</v>
      </c>
      <c r="D8723" s="6">
        <v>120</v>
      </c>
      <c r="E8723" s="6">
        <v>234</v>
      </c>
      <c r="F8723" s="11"/>
    </row>
    <row r="8724" spans="1:6">
      <c r="A8724" s="5" t="str">
        <f t="shared" si="155"/>
        <v>202334</v>
      </c>
      <c r="B8724" s="5" t="str">
        <f>"23085064317"</f>
        <v>23085064317</v>
      </c>
      <c r="C8724" s="6">
        <v>114</v>
      </c>
      <c r="D8724" s="6">
        <v>120</v>
      </c>
      <c r="E8724" s="6">
        <v>234</v>
      </c>
      <c r="F8724" s="11"/>
    </row>
    <row r="8725" spans="1:6">
      <c r="A8725" s="5" t="str">
        <f t="shared" si="155"/>
        <v>202334</v>
      </c>
      <c r="B8725" s="5" t="str">
        <f>"23085064312"</f>
        <v>23085064312</v>
      </c>
      <c r="C8725" s="6">
        <v>120</v>
      </c>
      <c r="D8725" s="6">
        <v>113</v>
      </c>
      <c r="E8725" s="6">
        <v>233</v>
      </c>
      <c r="F8725" s="11"/>
    </row>
    <row r="8726" spans="1:6">
      <c r="A8726" s="5" t="str">
        <f t="shared" si="155"/>
        <v>202334</v>
      </c>
      <c r="B8726" s="5" t="str">
        <f>"23085064216"</f>
        <v>23085064216</v>
      </c>
      <c r="C8726" s="6">
        <v>109.5</v>
      </c>
      <c r="D8726" s="6">
        <v>123</v>
      </c>
      <c r="E8726" s="6">
        <v>232.5</v>
      </c>
      <c r="F8726" s="11"/>
    </row>
    <row r="8727" spans="1:6">
      <c r="A8727" s="5" t="str">
        <f t="shared" si="155"/>
        <v>202334</v>
      </c>
      <c r="B8727" s="5" t="str">
        <f>"23085064024"</f>
        <v>23085064024</v>
      </c>
      <c r="C8727" s="6">
        <v>118.5</v>
      </c>
      <c r="D8727" s="6">
        <v>113.5</v>
      </c>
      <c r="E8727" s="6">
        <v>232</v>
      </c>
      <c r="F8727" s="11"/>
    </row>
    <row r="8728" spans="1:6">
      <c r="A8728" s="5" t="str">
        <f t="shared" si="155"/>
        <v>202334</v>
      </c>
      <c r="B8728" s="5" t="str">
        <f>"23085064020"</f>
        <v>23085064020</v>
      </c>
      <c r="C8728" s="6">
        <v>118.5</v>
      </c>
      <c r="D8728" s="6">
        <v>112.5</v>
      </c>
      <c r="E8728" s="6">
        <v>231</v>
      </c>
      <c r="F8728" s="11"/>
    </row>
    <row r="8729" spans="1:6">
      <c r="A8729" s="5" t="str">
        <f t="shared" si="155"/>
        <v>202334</v>
      </c>
      <c r="B8729" s="5" t="str">
        <f>"23085064221"</f>
        <v>23085064221</v>
      </c>
      <c r="C8729" s="6">
        <v>112.5</v>
      </c>
      <c r="D8729" s="6">
        <v>118.5</v>
      </c>
      <c r="E8729" s="6">
        <v>231</v>
      </c>
      <c r="F8729" s="11"/>
    </row>
    <row r="8730" spans="1:6">
      <c r="A8730" s="5" t="str">
        <f t="shared" si="155"/>
        <v>202334</v>
      </c>
      <c r="B8730" s="5" t="str">
        <f>"23085064207"</f>
        <v>23085064207</v>
      </c>
      <c r="C8730" s="6">
        <v>114</v>
      </c>
      <c r="D8730" s="6">
        <v>117</v>
      </c>
      <c r="E8730" s="6">
        <v>231</v>
      </c>
      <c r="F8730" s="11"/>
    </row>
    <row r="8731" spans="1:6">
      <c r="A8731" s="5" t="str">
        <f t="shared" si="155"/>
        <v>202334</v>
      </c>
      <c r="B8731" s="5" t="str">
        <f>"23085064101"</f>
        <v>23085064101</v>
      </c>
      <c r="C8731" s="6">
        <v>111</v>
      </c>
      <c r="D8731" s="6">
        <v>120</v>
      </c>
      <c r="E8731" s="6">
        <v>231</v>
      </c>
      <c r="F8731" s="11"/>
    </row>
    <row r="8732" spans="1:6">
      <c r="A8732" s="5" t="str">
        <f t="shared" si="155"/>
        <v>202334</v>
      </c>
      <c r="B8732" s="5" t="str">
        <f>"23085064314"</f>
        <v>23085064314</v>
      </c>
      <c r="C8732" s="6">
        <v>112.5</v>
      </c>
      <c r="D8732" s="6">
        <v>116.5</v>
      </c>
      <c r="E8732" s="6">
        <v>229</v>
      </c>
      <c r="F8732" s="11"/>
    </row>
    <row r="8733" spans="1:6">
      <c r="A8733" s="5" t="str">
        <f t="shared" si="155"/>
        <v>202334</v>
      </c>
      <c r="B8733" s="5" t="str">
        <f>"23085063907"</f>
        <v>23085063907</v>
      </c>
      <c r="C8733" s="6">
        <v>108</v>
      </c>
      <c r="D8733" s="6">
        <v>120</v>
      </c>
      <c r="E8733" s="6">
        <v>228</v>
      </c>
      <c r="F8733" s="11"/>
    </row>
    <row r="8734" spans="1:6">
      <c r="A8734" s="5" t="str">
        <f t="shared" si="155"/>
        <v>202334</v>
      </c>
      <c r="B8734" s="5" t="str">
        <f>"23085064130"</f>
        <v>23085064130</v>
      </c>
      <c r="C8734" s="6">
        <v>111</v>
      </c>
      <c r="D8734" s="6">
        <v>115.5</v>
      </c>
      <c r="E8734" s="6">
        <v>226.5</v>
      </c>
      <c r="F8734" s="11"/>
    </row>
    <row r="8735" spans="1:6">
      <c r="A8735" s="5" t="str">
        <f t="shared" si="155"/>
        <v>202334</v>
      </c>
      <c r="B8735" s="5" t="str">
        <f>"23085064001"</f>
        <v>23085064001</v>
      </c>
      <c r="C8735" s="6">
        <v>108</v>
      </c>
      <c r="D8735" s="6">
        <v>118.5</v>
      </c>
      <c r="E8735" s="6">
        <v>226.5</v>
      </c>
      <c r="F8735" s="11"/>
    </row>
    <row r="8736" spans="1:6">
      <c r="A8736" s="5" t="str">
        <f t="shared" si="155"/>
        <v>202334</v>
      </c>
      <c r="B8736" s="5" t="str">
        <f>"23085063916"</f>
        <v>23085063916</v>
      </c>
      <c r="C8736" s="6">
        <v>112.5</v>
      </c>
      <c r="D8736" s="6">
        <v>114</v>
      </c>
      <c r="E8736" s="6">
        <v>226.5</v>
      </c>
      <c r="F8736" s="11"/>
    </row>
    <row r="8737" spans="1:6">
      <c r="A8737" s="5" t="str">
        <f t="shared" si="155"/>
        <v>202334</v>
      </c>
      <c r="B8737" s="5" t="str">
        <f>"23085063909"</f>
        <v>23085063909</v>
      </c>
      <c r="C8737" s="6">
        <v>105</v>
      </c>
      <c r="D8737" s="6">
        <v>121.5</v>
      </c>
      <c r="E8737" s="6">
        <v>226.5</v>
      </c>
      <c r="F8737" s="11"/>
    </row>
    <row r="8738" spans="1:6">
      <c r="A8738" s="5" t="str">
        <f t="shared" si="155"/>
        <v>202334</v>
      </c>
      <c r="B8738" s="5" t="str">
        <f>"23085064203"</f>
        <v>23085064203</v>
      </c>
      <c r="C8738" s="6">
        <v>114</v>
      </c>
      <c r="D8738" s="6">
        <v>112.5</v>
      </c>
      <c r="E8738" s="6">
        <v>226.5</v>
      </c>
      <c r="F8738" s="11"/>
    </row>
    <row r="8739" spans="1:6">
      <c r="A8739" s="5" t="str">
        <f t="shared" si="155"/>
        <v>202334</v>
      </c>
      <c r="B8739" s="5" t="str">
        <f>"23085064108"</f>
        <v>23085064108</v>
      </c>
      <c r="C8739" s="6">
        <v>109.5</v>
      </c>
      <c r="D8739" s="6">
        <v>116.5</v>
      </c>
      <c r="E8739" s="6">
        <v>226</v>
      </c>
      <c r="F8739" s="11"/>
    </row>
    <row r="8740" spans="1:6">
      <c r="A8740" s="5" t="str">
        <f t="shared" si="155"/>
        <v>202334</v>
      </c>
      <c r="B8740" s="5" t="str">
        <f>"23085064122"</f>
        <v>23085064122</v>
      </c>
      <c r="C8740" s="6">
        <v>105</v>
      </c>
      <c r="D8740" s="6">
        <v>120.5</v>
      </c>
      <c r="E8740" s="6">
        <v>225.5</v>
      </c>
      <c r="F8740" s="11"/>
    </row>
    <row r="8741" spans="1:6">
      <c r="A8741" s="5" t="str">
        <f t="shared" si="155"/>
        <v>202334</v>
      </c>
      <c r="B8741" s="5" t="str">
        <f>"23085063829"</f>
        <v>23085063829</v>
      </c>
      <c r="C8741" s="6">
        <v>108</v>
      </c>
      <c r="D8741" s="6">
        <v>117</v>
      </c>
      <c r="E8741" s="6">
        <v>225</v>
      </c>
      <c r="F8741" s="11"/>
    </row>
    <row r="8742" spans="1:6">
      <c r="A8742" s="5" t="str">
        <f t="shared" si="155"/>
        <v>202334</v>
      </c>
      <c r="B8742" s="5" t="str">
        <f>"23085064114"</f>
        <v>23085064114</v>
      </c>
      <c r="C8742" s="6">
        <v>106.5</v>
      </c>
      <c r="D8742" s="6">
        <v>118</v>
      </c>
      <c r="E8742" s="6">
        <v>224.5</v>
      </c>
      <c r="F8742" s="11"/>
    </row>
    <row r="8743" spans="1:6">
      <c r="A8743" s="5" t="str">
        <f t="shared" si="155"/>
        <v>202334</v>
      </c>
      <c r="B8743" s="5" t="str">
        <f>"23085063911"</f>
        <v>23085063911</v>
      </c>
      <c r="C8743" s="6">
        <v>114</v>
      </c>
      <c r="D8743" s="6">
        <v>110</v>
      </c>
      <c r="E8743" s="6">
        <v>224</v>
      </c>
      <c r="F8743" s="11"/>
    </row>
    <row r="8744" spans="1:6">
      <c r="A8744" s="5" t="str">
        <f t="shared" si="155"/>
        <v>202334</v>
      </c>
      <c r="B8744" s="5" t="str">
        <f>"23085064025"</f>
        <v>23085064025</v>
      </c>
      <c r="C8744" s="6">
        <v>106.5</v>
      </c>
      <c r="D8744" s="6">
        <v>116.5</v>
      </c>
      <c r="E8744" s="6">
        <v>223</v>
      </c>
      <c r="F8744" s="11"/>
    </row>
    <row r="8745" spans="1:6">
      <c r="A8745" s="5" t="str">
        <f t="shared" si="155"/>
        <v>202334</v>
      </c>
      <c r="B8745" s="5" t="str">
        <f>"23085064224"</f>
        <v>23085064224</v>
      </c>
      <c r="C8745" s="6">
        <v>103.5</v>
      </c>
      <c r="D8745" s="6">
        <v>119</v>
      </c>
      <c r="E8745" s="6">
        <v>222.5</v>
      </c>
      <c r="F8745" s="11"/>
    </row>
    <row r="8746" spans="1:6">
      <c r="A8746" s="5" t="str">
        <f t="shared" si="155"/>
        <v>202334</v>
      </c>
      <c r="B8746" s="5" t="str">
        <f>"23085064311"</f>
        <v>23085064311</v>
      </c>
      <c r="C8746" s="6">
        <v>111</v>
      </c>
      <c r="D8746" s="6">
        <v>111</v>
      </c>
      <c r="E8746" s="6">
        <v>222</v>
      </c>
      <c r="F8746" s="11"/>
    </row>
    <row r="8747" spans="1:6">
      <c r="A8747" s="5" t="str">
        <f t="shared" si="155"/>
        <v>202334</v>
      </c>
      <c r="B8747" s="5" t="str">
        <f>"23085064323"</f>
        <v>23085064323</v>
      </c>
      <c r="C8747" s="6">
        <v>105</v>
      </c>
      <c r="D8747" s="6">
        <v>116.5</v>
      </c>
      <c r="E8747" s="6">
        <v>221.5</v>
      </c>
      <c r="F8747" s="11"/>
    </row>
    <row r="8748" spans="1:6">
      <c r="A8748" s="5" t="str">
        <f t="shared" si="155"/>
        <v>202334</v>
      </c>
      <c r="B8748" s="5" t="str">
        <f>"23085064309"</f>
        <v>23085064309</v>
      </c>
      <c r="C8748" s="6">
        <v>108</v>
      </c>
      <c r="D8748" s="6">
        <v>113</v>
      </c>
      <c r="E8748" s="6">
        <v>221</v>
      </c>
      <c r="F8748" s="11"/>
    </row>
    <row r="8749" spans="1:6">
      <c r="A8749" s="5" t="str">
        <f t="shared" si="155"/>
        <v>202334</v>
      </c>
      <c r="B8749" s="5" t="str">
        <f>"23085063929"</f>
        <v>23085063929</v>
      </c>
      <c r="C8749" s="6">
        <v>112.5</v>
      </c>
      <c r="D8749" s="6">
        <v>108.5</v>
      </c>
      <c r="E8749" s="6">
        <v>221</v>
      </c>
      <c r="F8749" s="11"/>
    </row>
    <row r="8750" spans="1:6">
      <c r="A8750" s="5" t="str">
        <f t="shared" si="155"/>
        <v>202334</v>
      </c>
      <c r="B8750" s="5" t="str">
        <f>"23085064127"</f>
        <v>23085064127</v>
      </c>
      <c r="C8750" s="6">
        <v>105</v>
      </c>
      <c r="D8750" s="6">
        <v>116</v>
      </c>
      <c r="E8750" s="6">
        <v>221</v>
      </c>
      <c r="F8750" s="11"/>
    </row>
    <row r="8751" spans="1:6">
      <c r="A8751" s="5" t="str">
        <f t="shared" si="155"/>
        <v>202334</v>
      </c>
      <c r="B8751" s="5" t="str">
        <f>"23085064121"</f>
        <v>23085064121</v>
      </c>
      <c r="C8751" s="6">
        <v>106.5</v>
      </c>
      <c r="D8751" s="6">
        <v>114</v>
      </c>
      <c r="E8751" s="6">
        <v>220.5</v>
      </c>
      <c r="F8751" s="11"/>
    </row>
    <row r="8752" spans="1:6">
      <c r="A8752" s="5" t="str">
        <f t="shared" si="155"/>
        <v>202334</v>
      </c>
      <c r="B8752" s="5" t="str">
        <f>"23085063830"</f>
        <v>23085063830</v>
      </c>
      <c r="C8752" s="6">
        <v>109.5</v>
      </c>
      <c r="D8752" s="6">
        <v>111</v>
      </c>
      <c r="E8752" s="6">
        <v>220.5</v>
      </c>
      <c r="F8752" s="11"/>
    </row>
    <row r="8753" spans="1:6">
      <c r="A8753" s="5" t="str">
        <f t="shared" si="155"/>
        <v>202334</v>
      </c>
      <c r="B8753" s="5" t="str">
        <f>"23085063923"</f>
        <v>23085063923</v>
      </c>
      <c r="C8753" s="6">
        <v>105</v>
      </c>
      <c r="D8753" s="6">
        <v>115.5</v>
      </c>
      <c r="E8753" s="6">
        <v>220.5</v>
      </c>
      <c r="F8753" s="11"/>
    </row>
    <row r="8754" spans="1:6">
      <c r="A8754" s="5" t="str">
        <f t="shared" si="155"/>
        <v>202334</v>
      </c>
      <c r="B8754" s="5" t="str">
        <f>"23085064210"</f>
        <v>23085064210</v>
      </c>
      <c r="C8754" s="6">
        <v>106.5</v>
      </c>
      <c r="D8754" s="6">
        <v>113.5</v>
      </c>
      <c r="E8754" s="6">
        <v>220</v>
      </c>
      <c r="F8754" s="11"/>
    </row>
    <row r="8755" spans="1:6">
      <c r="A8755" s="5" t="str">
        <f t="shared" si="155"/>
        <v>202334</v>
      </c>
      <c r="B8755" s="5" t="str">
        <f>"23085064125"</f>
        <v>23085064125</v>
      </c>
      <c r="C8755" s="6">
        <v>100.5</v>
      </c>
      <c r="D8755" s="6">
        <v>119.5</v>
      </c>
      <c r="E8755" s="6">
        <v>220</v>
      </c>
      <c r="F8755" s="11"/>
    </row>
    <row r="8756" spans="1:6">
      <c r="A8756" s="5" t="str">
        <f t="shared" si="155"/>
        <v>202334</v>
      </c>
      <c r="B8756" s="5" t="str">
        <f>"23085064008"</f>
        <v>23085064008</v>
      </c>
      <c r="C8756" s="6">
        <v>102</v>
      </c>
      <c r="D8756" s="6">
        <v>117.5</v>
      </c>
      <c r="E8756" s="6">
        <v>219.5</v>
      </c>
      <c r="F8756" s="11"/>
    </row>
    <row r="8757" spans="1:6">
      <c r="A8757" s="5" t="str">
        <f t="shared" si="155"/>
        <v>202334</v>
      </c>
      <c r="B8757" s="5" t="str">
        <f>"23085063903"</f>
        <v>23085063903</v>
      </c>
      <c r="C8757" s="6">
        <v>99</v>
      </c>
      <c r="D8757" s="6">
        <v>120.5</v>
      </c>
      <c r="E8757" s="6">
        <v>219.5</v>
      </c>
      <c r="F8757" s="11"/>
    </row>
    <row r="8758" spans="1:6">
      <c r="A8758" s="5" t="str">
        <f t="shared" si="155"/>
        <v>202334</v>
      </c>
      <c r="B8758" s="5" t="str">
        <f>"23085064215"</f>
        <v>23085064215</v>
      </c>
      <c r="C8758" s="6">
        <v>106.5</v>
      </c>
      <c r="D8758" s="6">
        <v>113</v>
      </c>
      <c r="E8758" s="6">
        <v>219.5</v>
      </c>
      <c r="F8758" s="11"/>
    </row>
    <row r="8759" spans="1:6">
      <c r="A8759" s="5" t="str">
        <f t="shared" si="155"/>
        <v>202334</v>
      </c>
      <c r="B8759" s="5" t="str">
        <f>"23085063906"</f>
        <v>23085063906</v>
      </c>
      <c r="C8759" s="6">
        <v>99</v>
      </c>
      <c r="D8759" s="6">
        <v>119.5</v>
      </c>
      <c r="E8759" s="6">
        <v>218.5</v>
      </c>
      <c r="F8759" s="11"/>
    </row>
    <row r="8760" spans="1:6">
      <c r="A8760" s="5" t="str">
        <f t="shared" si="155"/>
        <v>202334</v>
      </c>
      <c r="B8760" s="5" t="str">
        <f>"23085064218"</f>
        <v>23085064218</v>
      </c>
      <c r="C8760" s="6">
        <v>103.5</v>
      </c>
      <c r="D8760" s="6">
        <v>115</v>
      </c>
      <c r="E8760" s="6">
        <v>218.5</v>
      </c>
      <c r="F8760" s="11"/>
    </row>
    <row r="8761" spans="1:6">
      <c r="A8761" s="5" t="str">
        <f t="shared" si="155"/>
        <v>202334</v>
      </c>
      <c r="B8761" s="5" t="str">
        <f>"23085064128"</f>
        <v>23085064128</v>
      </c>
      <c r="C8761" s="6">
        <v>103.5</v>
      </c>
      <c r="D8761" s="6">
        <v>114</v>
      </c>
      <c r="E8761" s="6">
        <v>217.5</v>
      </c>
      <c r="F8761" s="11"/>
    </row>
    <row r="8762" spans="1:6">
      <c r="A8762" s="5" t="str">
        <f t="shared" si="155"/>
        <v>202334</v>
      </c>
      <c r="B8762" s="5" t="str">
        <f>"23085063823"</f>
        <v>23085063823</v>
      </c>
      <c r="C8762" s="6">
        <v>105</v>
      </c>
      <c r="D8762" s="6">
        <v>112.5</v>
      </c>
      <c r="E8762" s="6">
        <v>217.5</v>
      </c>
      <c r="F8762" s="11"/>
    </row>
    <row r="8763" spans="1:6">
      <c r="A8763" s="5" t="str">
        <f t="shared" si="155"/>
        <v>202334</v>
      </c>
      <c r="B8763" s="5" t="str">
        <f>"23085063919"</f>
        <v>23085063919</v>
      </c>
      <c r="C8763" s="6">
        <v>105</v>
      </c>
      <c r="D8763" s="6">
        <v>112.5</v>
      </c>
      <c r="E8763" s="6">
        <v>217.5</v>
      </c>
      <c r="F8763" s="11"/>
    </row>
    <row r="8764" spans="1:6">
      <c r="A8764" s="5" t="str">
        <f t="shared" si="155"/>
        <v>202334</v>
      </c>
      <c r="B8764" s="5" t="str">
        <f>"23085063822"</f>
        <v>23085063822</v>
      </c>
      <c r="C8764" s="6">
        <v>106.5</v>
      </c>
      <c r="D8764" s="6">
        <v>111</v>
      </c>
      <c r="E8764" s="6">
        <v>217.5</v>
      </c>
      <c r="F8764" s="11"/>
    </row>
    <row r="8765" spans="1:6">
      <c r="A8765" s="5" t="str">
        <f t="shared" si="155"/>
        <v>202334</v>
      </c>
      <c r="B8765" s="5" t="str">
        <f>"23085064129"</f>
        <v>23085064129</v>
      </c>
      <c r="C8765" s="6">
        <v>111</v>
      </c>
      <c r="D8765" s="6">
        <v>106</v>
      </c>
      <c r="E8765" s="6">
        <v>217</v>
      </c>
      <c r="F8765" s="11"/>
    </row>
    <row r="8766" spans="1:6">
      <c r="A8766" s="5" t="str">
        <f t="shared" si="155"/>
        <v>202334</v>
      </c>
      <c r="B8766" s="5" t="str">
        <f>"23085063917"</f>
        <v>23085063917</v>
      </c>
      <c r="C8766" s="6">
        <v>99</v>
      </c>
      <c r="D8766" s="6">
        <v>118</v>
      </c>
      <c r="E8766" s="6">
        <v>217</v>
      </c>
      <c r="F8766" s="11"/>
    </row>
    <row r="8767" spans="1:6">
      <c r="A8767" s="5" t="str">
        <f t="shared" si="155"/>
        <v>202334</v>
      </c>
      <c r="B8767" s="5" t="str">
        <f>"23085064306"</f>
        <v>23085064306</v>
      </c>
      <c r="C8767" s="6">
        <v>96</v>
      </c>
      <c r="D8767" s="6">
        <v>120.5</v>
      </c>
      <c r="E8767" s="6">
        <v>216.5</v>
      </c>
      <c r="F8767" s="11"/>
    </row>
    <row r="8768" spans="1:6">
      <c r="A8768" s="5" t="str">
        <f t="shared" si="155"/>
        <v>202334</v>
      </c>
      <c r="B8768" s="5" t="str">
        <f>"23085064315"</f>
        <v>23085064315</v>
      </c>
      <c r="C8768" s="6">
        <v>106.5</v>
      </c>
      <c r="D8768" s="6">
        <v>110</v>
      </c>
      <c r="E8768" s="6">
        <v>216.5</v>
      </c>
      <c r="F8768" s="11"/>
    </row>
    <row r="8769" spans="1:6">
      <c r="A8769" s="5" t="str">
        <f t="shared" si="155"/>
        <v>202334</v>
      </c>
      <c r="B8769" s="5" t="str">
        <f>"23085064007"</f>
        <v>23085064007</v>
      </c>
      <c r="C8769" s="6">
        <v>99</v>
      </c>
      <c r="D8769" s="6">
        <v>117</v>
      </c>
      <c r="E8769" s="6">
        <v>216</v>
      </c>
      <c r="F8769" s="11"/>
    </row>
    <row r="8770" spans="1:6">
      <c r="A8770" s="5" t="str">
        <f t="shared" si="155"/>
        <v>202334</v>
      </c>
      <c r="B8770" s="5" t="str">
        <f>"23085064313"</f>
        <v>23085064313</v>
      </c>
      <c r="C8770" s="6">
        <v>100.5</v>
      </c>
      <c r="D8770" s="6">
        <v>114.5</v>
      </c>
      <c r="E8770" s="6">
        <v>215</v>
      </c>
      <c r="F8770" s="11"/>
    </row>
    <row r="8771" spans="1:6">
      <c r="A8771" s="5" t="str">
        <f t="shared" si="155"/>
        <v>202334</v>
      </c>
      <c r="B8771" s="5" t="str">
        <f>"23085063928"</f>
        <v>23085063928</v>
      </c>
      <c r="C8771" s="6">
        <v>105</v>
      </c>
      <c r="D8771" s="6">
        <v>110</v>
      </c>
      <c r="E8771" s="6">
        <v>215</v>
      </c>
      <c r="F8771" s="11"/>
    </row>
    <row r="8772" spans="1:6">
      <c r="A8772" s="5" t="str">
        <f t="shared" si="155"/>
        <v>202334</v>
      </c>
      <c r="B8772" s="5" t="str">
        <f>"23085064211"</f>
        <v>23085064211</v>
      </c>
      <c r="C8772" s="6">
        <v>97.5</v>
      </c>
      <c r="D8772" s="6">
        <v>117.5</v>
      </c>
      <c r="E8772" s="6">
        <v>215</v>
      </c>
      <c r="F8772" s="11"/>
    </row>
    <row r="8773" spans="1:6">
      <c r="A8773" s="5" t="str">
        <f t="shared" si="155"/>
        <v>202334</v>
      </c>
      <c r="B8773" s="5" t="str">
        <f>"23085064206"</f>
        <v>23085064206</v>
      </c>
      <c r="C8773" s="6">
        <v>103.5</v>
      </c>
      <c r="D8773" s="6">
        <v>111.5</v>
      </c>
      <c r="E8773" s="6">
        <v>215</v>
      </c>
      <c r="F8773" s="11"/>
    </row>
    <row r="8774" spans="1:6">
      <c r="A8774" s="5" t="str">
        <f t="shared" si="155"/>
        <v>202334</v>
      </c>
      <c r="B8774" s="5" t="str">
        <f>"23085064113"</f>
        <v>23085064113</v>
      </c>
      <c r="C8774" s="6">
        <v>109.5</v>
      </c>
      <c r="D8774" s="6">
        <v>105.5</v>
      </c>
      <c r="E8774" s="6">
        <v>215</v>
      </c>
      <c r="F8774" s="11"/>
    </row>
    <row r="8775" spans="1:6">
      <c r="A8775" s="5" t="str">
        <f t="shared" si="155"/>
        <v>202334</v>
      </c>
      <c r="B8775" s="5" t="str">
        <f>"23085064028"</f>
        <v>23085064028</v>
      </c>
      <c r="C8775" s="6">
        <v>100.5</v>
      </c>
      <c r="D8775" s="6">
        <v>114</v>
      </c>
      <c r="E8775" s="6">
        <v>214.5</v>
      </c>
      <c r="F8775" s="11"/>
    </row>
    <row r="8776" spans="1:6">
      <c r="A8776" s="5" t="str">
        <f t="shared" si="155"/>
        <v>202334</v>
      </c>
      <c r="B8776" s="5" t="str">
        <f>"23085064030"</f>
        <v>23085064030</v>
      </c>
      <c r="C8776" s="6">
        <v>100.5</v>
      </c>
      <c r="D8776" s="6">
        <v>114</v>
      </c>
      <c r="E8776" s="6">
        <v>214.5</v>
      </c>
      <c r="F8776" s="11"/>
    </row>
    <row r="8777" spans="1:6">
      <c r="A8777" s="5" t="str">
        <f t="shared" si="155"/>
        <v>202334</v>
      </c>
      <c r="B8777" s="5" t="str">
        <f>"23085063824"</f>
        <v>23085063824</v>
      </c>
      <c r="C8777" s="6">
        <v>109.5</v>
      </c>
      <c r="D8777" s="6">
        <v>105</v>
      </c>
      <c r="E8777" s="6">
        <v>214.5</v>
      </c>
      <c r="F8777" s="11"/>
    </row>
    <row r="8778" spans="1:6">
      <c r="A8778" s="5" t="str">
        <f t="shared" si="155"/>
        <v>202334</v>
      </c>
      <c r="B8778" s="5" t="str">
        <f>"23085063912"</f>
        <v>23085063912</v>
      </c>
      <c r="C8778" s="6">
        <v>102</v>
      </c>
      <c r="D8778" s="6">
        <v>111.5</v>
      </c>
      <c r="E8778" s="6">
        <v>213.5</v>
      </c>
      <c r="F8778" s="11"/>
    </row>
    <row r="8779" spans="1:6">
      <c r="A8779" s="5" t="str">
        <f t="shared" si="155"/>
        <v>202334</v>
      </c>
      <c r="B8779" s="5" t="str">
        <f>"23085063901"</f>
        <v>23085063901</v>
      </c>
      <c r="C8779" s="6">
        <v>103.5</v>
      </c>
      <c r="D8779" s="6">
        <v>109.5</v>
      </c>
      <c r="E8779" s="6">
        <v>213</v>
      </c>
      <c r="F8779" s="11"/>
    </row>
    <row r="8780" spans="1:6">
      <c r="A8780" s="5" t="str">
        <f t="shared" si="155"/>
        <v>202334</v>
      </c>
      <c r="B8780" s="5" t="str">
        <f>"23085063904"</f>
        <v>23085063904</v>
      </c>
      <c r="C8780" s="6">
        <v>112.5</v>
      </c>
      <c r="D8780" s="6">
        <v>100</v>
      </c>
      <c r="E8780" s="6">
        <v>212.5</v>
      </c>
      <c r="F8780" s="11"/>
    </row>
    <row r="8781" spans="1:6">
      <c r="A8781" s="5" t="str">
        <f t="shared" si="155"/>
        <v>202334</v>
      </c>
      <c r="B8781" s="5" t="str">
        <f>"23085064021"</f>
        <v>23085064021</v>
      </c>
      <c r="C8781" s="6">
        <v>100.5</v>
      </c>
      <c r="D8781" s="6">
        <v>112</v>
      </c>
      <c r="E8781" s="6">
        <v>212.5</v>
      </c>
      <c r="F8781" s="11"/>
    </row>
    <row r="8782" spans="1:6">
      <c r="A8782" s="5" t="str">
        <f t="shared" si="155"/>
        <v>202334</v>
      </c>
      <c r="B8782" s="5" t="str">
        <f>"23085064013"</f>
        <v>23085064013</v>
      </c>
      <c r="C8782" s="6">
        <v>103.5</v>
      </c>
      <c r="D8782" s="6">
        <v>108.5</v>
      </c>
      <c r="E8782" s="6">
        <v>212</v>
      </c>
      <c r="F8782" s="11"/>
    </row>
    <row r="8783" spans="1:6">
      <c r="A8783" s="5" t="str">
        <f t="shared" si="155"/>
        <v>202334</v>
      </c>
      <c r="B8783" s="5" t="str">
        <f>"23085064201"</f>
        <v>23085064201</v>
      </c>
      <c r="C8783" s="6">
        <v>97.5</v>
      </c>
      <c r="D8783" s="6">
        <v>114.5</v>
      </c>
      <c r="E8783" s="6">
        <v>212</v>
      </c>
      <c r="F8783" s="11"/>
    </row>
    <row r="8784" spans="1:6">
      <c r="A8784" s="5" t="str">
        <f t="shared" si="155"/>
        <v>202334</v>
      </c>
      <c r="B8784" s="5" t="str">
        <f>"23085064202"</f>
        <v>23085064202</v>
      </c>
      <c r="C8784" s="6">
        <v>100.5</v>
      </c>
      <c r="D8784" s="6">
        <v>111</v>
      </c>
      <c r="E8784" s="6">
        <v>211.5</v>
      </c>
      <c r="F8784" s="11"/>
    </row>
    <row r="8785" spans="1:6">
      <c r="A8785" s="5" t="str">
        <f t="shared" si="155"/>
        <v>202334</v>
      </c>
      <c r="B8785" s="5" t="str">
        <f>"23085063826"</f>
        <v>23085063826</v>
      </c>
      <c r="C8785" s="6">
        <v>93</v>
      </c>
      <c r="D8785" s="6">
        <v>118</v>
      </c>
      <c r="E8785" s="6">
        <v>211</v>
      </c>
      <c r="F8785" s="11"/>
    </row>
    <row r="8786" spans="1:6">
      <c r="A8786" s="5" t="str">
        <f t="shared" ref="A8786:A8849" si="156">"202334"</f>
        <v>202334</v>
      </c>
      <c r="B8786" s="5" t="str">
        <f>"23085063921"</f>
        <v>23085063921</v>
      </c>
      <c r="C8786" s="6">
        <v>108</v>
      </c>
      <c r="D8786" s="6">
        <v>102</v>
      </c>
      <c r="E8786" s="6">
        <v>210</v>
      </c>
      <c r="F8786" s="11"/>
    </row>
    <row r="8787" spans="1:6">
      <c r="A8787" s="5" t="str">
        <f t="shared" si="156"/>
        <v>202334</v>
      </c>
      <c r="B8787" s="5" t="str">
        <f>"23085063913"</f>
        <v>23085063913</v>
      </c>
      <c r="C8787" s="6">
        <v>96</v>
      </c>
      <c r="D8787" s="6">
        <v>114</v>
      </c>
      <c r="E8787" s="6">
        <v>210</v>
      </c>
      <c r="F8787" s="11"/>
    </row>
    <row r="8788" spans="1:6">
      <c r="A8788" s="5" t="str">
        <f t="shared" si="156"/>
        <v>202334</v>
      </c>
      <c r="B8788" s="5" t="str">
        <f>"23085064111"</f>
        <v>23085064111</v>
      </c>
      <c r="C8788" s="6">
        <v>99</v>
      </c>
      <c r="D8788" s="6">
        <v>110.5</v>
      </c>
      <c r="E8788" s="6">
        <v>209.5</v>
      </c>
      <c r="F8788" s="11"/>
    </row>
    <row r="8789" spans="1:6">
      <c r="A8789" s="5" t="str">
        <f t="shared" si="156"/>
        <v>202334</v>
      </c>
      <c r="B8789" s="5" t="str">
        <f>"23085064217"</f>
        <v>23085064217</v>
      </c>
      <c r="C8789" s="6">
        <v>93</v>
      </c>
      <c r="D8789" s="6">
        <v>116.5</v>
      </c>
      <c r="E8789" s="6">
        <v>209.5</v>
      </c>
      <c r="F8789" s="11"/>
    </row>
    <row r="8790" spans="1:6">
      <c r="A8790" s="5" t="str">
        <f t="shared" si="156"/>
        <v>202334</v>
      </c>
      <c r="B8790" s="5" t="str">
        <f>"23085063820"</f>
        <v>23085063820</v>
      </c>
      <c r="C8790" s="6">
        <v>100.5</v>
      </c>
      <c r="D8790" s="6">
        <v>108.5</v>
      </c>
      <c r="E8790" s="6">
        <v>209</v>
      </c>
      <c r="F8790" s="11"/>
    </row>
    <row r="8791" spans="1:6">
      <c r="A8791" s="5" t="str">
        <f t="shared" si="156"/>
        <v>202334</v>
      </c>
      <c r="B8791" s="5" t="str">
        <f>"23085064305"</f>
        <v>23085064305</v>
      </c>
      <c r="C8791" s="6">
        <v>102</v>
      </c>
      <c r="D8791" s="6">
        <v>107</v>
      </c>
      <c r="E8791" s="6">
        <v>209</v>
      </c>
      <c r="F8791" s="11"/>
    </row>
    <row r="8792" spans="1:6">
      <c r="A8792" s="5" t="str">
        <f t="shared" si="156"/>
        <v>202334</v>
      </c>
      <c r="B8792" s="5" t="str">
        <f>"23085064230"</f>
        <v>23085064230</v>
      </c>
      <c r="C8792" s="6">
        <v>90</v>
      </c>
      <c r="D8792" s="6">
        <v>117.5</v>
      </c>
      <c r="E8792" s="6">
        <v>207.5</v>
      </c>
      <c r="F8792" s="11"/>
    </row>
    <row r="8793" spans="1:6">
      <c r="A8793" s="5" t="str">
        <f t="shared" si="156"/>
        <v>202334</v>
      </c>
      <c r="B8793" s="5" t="str">
        <f>"23085064229"</f>
        <v>23085064229</v>
      </c>
      <c r="C8793" s="6">
        <v>94.5</v>
      </c>
      <c r="D8793" s="6">
        <v>112</v>
      </c>
      <c r="E8793" s="6">
        <v>206.5</v>
      </c>
      <c r="F8793" s="11"/>
    </row>
    <row r="8794" spans="1:6">
      <c r="A8794" s="5" t="str">
        <f t="shared" si="156"/>
        <v>202334</v>
      </c>
      <c r="B8794" s="5" t="str">
        <f>"23085063918"</f>
        <v>23085063918</v>
      </c>
      <c r="C8794" s="6">
        <v>94.5</v>
      </c>
      <c r="D8794" s="6">
        <v>112</v>
      </c>
      <c r="E8794" s="6">
        <v>206.5</v>
      </c>
      <c r="F8794" s="11"/>
    </row>
    <row r="8795" spans="1:6">
      <c r="A8795" s="5" t="str">
        <f t="shared" si="156"/>
        <v>202334</v>
      </c>
      <c r="B8795" s="5" t="str">
        <f>"23085063920"</f>
        <v>23085063920</v>
      </c>
      <c r="C8795" s="6">
        <v>88.5</v>
      </c>
      <c r="D8795" s="6">
        <v>118</v>
      </c>
      <c r="E8795" s="6">
        <v>206.5</v>
      </c>
      <c r="F8795" s="11"/>
    </row>
    <row r="8796" spans="1:6">
      <c r="A8796" s="5" t="str">
        <f t="shared" si="156"/>
        <v>202334</v>
      </c>
      <c r="B8796" s="5" t="str">
        <f>"23085064119"</f>
        <v>23085064119</v>
      </c>
      <c r="C8796" s="6">
        <v>99</v>
      </c>
      <c r="D8796" s="6">
        <v>107.5</v>
      </c>
      <c r="E8796" s="6">
        <v>206.5</v>
      </c>
      <c r="F8796" s="11"/>
    </row>
    <row r="8797" spans="1:6">
      <c r="A8797" s="5" t="str">
        <f t="shared" si="156"/>
        <v>202334</v>
      </c>
      <c r="B8797" s="5" t="str">
        <f>"23085064316"</f>
        <v>23085064316</v>
      </c>
      <c r="C8797" s="6">
        <v>100.5</v>
      </c>
      <c r="D8797" s="6">
        <v>106</v>
      </c>
      <c r="E8797" s="6">
        <v>206.5</v>
      </c>
      <c r="F8797" s="11"/>
    </row>
    <row r="8798" spans="1:6">
      <c r="A8798" s="5" t="str">
        <f t="shared" si="156"/>
        <v>202334</v>
      </c>
      <c r="B8798" s="5" t="str">
        <f>"23085064103"</f>
        <v>23085064103</v>
      </c>
      <c r="C8798" s="6">
        <v>93</v>
      </c>
      <c r="D8798" s="6">
        <v>113</v>
      </c>
      <c r="E8798" s="6">
        <v>206</v>
      </c>
      <c r="F8798" s="11"/>
    </row>
    <row r="8799" spans="1:6">
      <c r="A8799" s="5" t="str">
        <f t="shared" si="156"/>
        <v>202334</v>
      </c>
      <c r="B8799" s="5" t="str">
        <f>"23085064304"</f>
        <v>23085064304</v>
      </c>
      <c r="C8799" s="6">
        <v>96</v>
      </c>
      <c r="D8799" s="6">
        <v>110</v>
      </c>
      <c r="E8799" s="6">
        <v>206</v>
      </c>
      <c r="F8799" s="11"/>
    </row>
    <row r="8800" spans="1:6">
      <c r="A8800" s="5" t="str">
        <f t="shared" si="156"/>
        <v>202334</v>
      </c>
      <c r="B8800" s="5" t="str">
        <f>"23085064228"</f>
        <v>23085064228</v>
      </c>
      <c r="C8800" s="6">
        <v>97.5</v>
      </c>
      <c r="D8800" s="6">
        <v>108</v>
      </c>
      <c r="E8800" s="6">
        <v>205.5</v>
      </c>
      <c r="F8800" s="11"/>
    </row>
    <row r="8801" spans="1:6">
      <c r="A8801" s="5" t="str">
        <f t="shared" si="156"/>
        <v>202334</v>
      </c>
      <c r="B8801" s="5" t="str">
        <f>"23085064002"</f>
        <v>23085064002</v>
      </c>
      <c r="C8801" s="6">
        <v>87</v>
      </c>
      <c r="D8801" s="6">
        <v>118.5</v>
      </c>
      <c r="E8801" s="6">
        <v>205.5</v>
      </c>
      <c r="F8801" s="11"/>
    </row>
    <row r="8802" spans="1:6">
      <c r="A8802" s="5" t="str">
        <f t="shared" si="156"/>
        <v>202334</v>
      </c>
      <c r="B8802" s="5" t="str">
        <f>"23085064223"</f>
        <v>23085064223</v>
      </c>
      <c r="C8802" s="6">
        <v>114</v>
      </c>
      <c r="D8802" s="6">
        <v>91</v>
      </c>
      <c r="E8802" s="6">
        <v>205</v>
      </c>
      <c r="F8802" s="11"/>
    </row>
    <row r="8803" spans="1:6">
      <c r="A8803" s="5" t="str">
        <f t="shared" si="156"/>
        <v>202334</v>
      </c>
      <c r="B8803" s="5" t="str">
        <f>"23085064006"</f>
        <v>23085064006</v>
      </c>
      <c r="C8803" s="6">
        <v>96</v>
      </c>
      <c r="D8803" s="6">
        <v>108.5</v>
      </c>
      <c r="E8803" s="6">
        <v>204.5</v>
      </c>
      <c r="F8803" s="11"/>
    </row>
    <row r="8804" spans="1:6">
      <c r="A8804" s="5" t="str">
        <f t="shared" si="156"/>
        <v>202334</v>
      </c>
      <c r="B8804" s="5" t="str">
        <f>"23085064204"</f>
        <v>23085064204</v>
      </c>
      <c r="C8804" s="6">
        <v>91.5</v>
      </c>
      <c r="D8804" s="6">
        <v>113</v>
      </c>
      <c r="E8804" s="6">
        <v>204.5</v>
      </c>
      <c r="F8804" s="11"/>
    </row>
    <row r="8805" spans="1:6">
      <c r="A8805" s="5" t="str">
        <f t="shared" si="156"/>
        <v>202334</v>
      </c>
      <c r="B8805" s="5" t="str">
        <f>"23085063828"</f>
        <v>23085063828</v>
      </c>
      <c r="C8805" s="6">
        <v>93</v>
      </c>
      <c r="D8805" s="6">
        <v>111</v>
      </c>
      <c r="E8805" s="6">
        <v>204</v>
      </c>
      <c r="F8805" s="11"/>
    </row>
    <row r="8806" spans="1:6">
      <c r="A8806" s="5" t="str">
        <f t="shared" si="156"/>
        <v>202334</v>
      </c>
      <c r="B8806" s="5" t="str">
        <f>"23085063827"</f>
        <v>23085063827</v>
      </c>
      <c r="C8806" s="6">
        <v>85.5</v>
      </c>
      <c r="D8806" s="6">
        <v>117</v>
      </c>
      <c r="E8806" s="6">
        <v>202.5</v>
      </c>
      <c r="F8806" s="11"/>
    </row>
    <row r="8807" spans="1:6">
      <c r="A8807" s="5" t="str">
        <f t="shared" si="156"/>
        <v>202334</v>
      </c>
      <c r="B8807" s="5" t="str">
        <f>"23085064123"</f>
        <v>23085064123</v>
      </c>
      <c r="C8807" s="6">
        <v>79.5</v>
      </c>
      <c r="D8807" s="6">
        <v>123</v>
      </c>
      <c r="E8807" s="6">
        <v>202.5</v>
      </c>
      <c r="F8807" s="11"/>
    </row>
    <row r="8808" spans="1:6">
      <c r="A8808" s="5" t="str">
        <f t="shared" si="156"/>
        <v>202334</v>
      </c>
      <c r="B8808" s="5" t="str">
        <f>"23085063825"</f>
        <v>23085063825</v>
      </c>
      <c r="C8808" s="6">
        <v>93</v>
      </c>
      <c r="D8808" s="6">
        <v>109</v>
      </c>
      <c r="E8808" s="6">
        <v>202</v>
      </c>
      <c r="F8808" s="11"/>
    </row>
    <row r="8809" spans="1:6">
      <c r="A8809" s="5" t="str">
        <f t="shared" si="156"/>
        <v>202334</v>
      </c>
      <c r="B8809" s="5" t="str">
        <f>"23085064126"</f>
        <v>23085064126</v>
      </c>
      <c r="C8809" s="6">
        <v>97.5</v>
      </c>
      <c r="D8809" s="6">
        <v>104.5</v>
      </c>
      <c r="E8809" s="6">
        <v>202</v>
      </c>
      <c r="F8809" s="11"/>
    </row>
    <row r="8810" spans="1:6">
      <c r="A8810" s="5" t="str">
        <f t="shared" si="156"/>
        <v>202334</v>
      </c>
      <c r="B8810" s="5" t="str">
        <f>"23085064308"</f>
        <v>23085064308</v>
      </c>
      <c r="C8810" s="6">
        <v>81</v>
      </c>
      <c r="D8810" s="6">
        <v>120.5</v>
      </c>
      <c r="E8810" s="6">
        <v>201.5</v>
      </c>
      <c r="F8810" s="11"/>
    </row>
    <row r="8811" spans="1:6">
      <c r="A8811" s="5" t="str">
        <f t="shared" si="156"/>
        <v>202334</v>
      </c>
      <c r="B8811" s="5" t="str">
        <f>"23085064213"</f>
        <v>23085064213</v>
      </c>
      <c r="C8811" s="6">
        <v>85.5</v>
      </c>
      <c r="D8811" s="6">
        <v>115.5</v>
      </c>
      <c r="E8811" s="6">
        <v>201</v>
      </c>
      <c r="F8811" s="11"/>
    </row>
    <row r="8812" spans="1:6">
      <c r="A8812" s="5" t="str">
        <f t="shared" si="156"/>
        <v>202334</v>
      </c>
      <c r="B8812" s="5" t="str">
        <f>"23085064105"</f>
        <v>23085064105</v>
      </c>
      <c r="C8812" s="6">
        <v>100.5</v>
      </c>
      <c r="D8812" s="6">
        <v>99.5</v>
      </c>
      <c r="E8812" s="6">
        <v>200</v>
      </c>
      <c r="F8812" s="11"/>
    </row>
    <row r="8813" spans="1:6">
      <c r="A8813" s="5" t="str">
        <f t="shared" si="156"/>
        <v>202334</v>
      </c>
      <c r="B8813" s="5" t="str">
        <f>"23085064005"</f>
        <v>23085064005</v>
      </c>
      <c r="C8813" s="6">
        <v>88.5</v>
      </c>
      <c r="D8813" s="6">
        <v>111.5</v>
      </c>
      <c r="E8813" s="6">
        <v>200</v>
      </c>
      <c r="F8813" s="11"/>
    </row>
    <row r="8814" spans="1:6">
      <c r="A8814" s="5" t="str">
        <f t="shared" si="156"/>
        <v>202334</v>
      </c>
      <c r="B8814" s="5" t="str">
        <f>"23085064322"</f>
        <v>23085064322</v>
      </c>
      <c r="C8814" s="6">
        <v>106.5</v>
      </c>
      <c r="D8814" s="6">
        <v>93</v>
      </c>
      <c r="E8814" s="6">
        <v>199.5</v>
      </c>
      <c r="F8814" s="11"/>
    </row>
    <row r="8815" spans="1:6">
      <c r="A8815" s="5" t="str">
        <f t="shared" si="156"/>
        <v>202334</v>
      </c>
      <c r="B8815" s="5" t="str">
        <f>"23085063910"</f>
        <v>23085063910</v>
      </c>
      <c r="C8815" s="6">
        <v>87</v>
      </c>
      <c r="D8815" s="6">
        <v>112.5</v>
      </c>
      <c r="E8815" s="6">
        <v>199.5</v>
      </c>
      <c r="F8815" s="11"/>
    </row>
    <row r="8816" spans="1:6">
      <c r="A8816" s="5" t="str">
        <f t="shared" si="156"/>
        <v>202334</v>
      </c>
      <c r="B8816" s="5" t="str">
        <f>"23085064009"</f>
        <v>23085064009</v>
      </c>
      <c r="C8816" s="6">
        <v>90</v>
      </c>
      <c r="D8816" s="6">
        <v>109.5</v>
      </c>
      <c r="E8816" s="6">
        <v>199.5</v>
      </c>
      <c r="F8816" s="11"/>
    </row>
    <row r="8817" spans="1:6">
      <c r="A8817" s="5" t="str">
        <f t="shared" si="156"/>
        <v>202334</v>
      </c>
      <c r="B8817" s="5" t="str">
        <f>"23085064225"</f>
        <v>23085064225</v>
      </c>
      <c r="C8817" s="6">
        <v>96</v>
      </c>
      <c r="D8817" s="6">
        <v>103</v>
      </c>
      <c r="E8817" s="6">
        <v>199</v>
      </c>
      <c r="F8817" s="11"/>
    </row>
    <row r="8818" spans="1:6">
      <c r="A8818" s="5" t="str">
        <f t="shared" si="156"/>
        <v>202334</v>
      </c>
      <c r="B8818" s="5" t="str">
        <f>"23085064310"</f>
        <v>23085064310</v>
      </c>
      <c r="C8818" s="6">
        <v>79.5</v>
      </c>
      <c r="D8818" s="6">
        <v>119</v>
      </c>
      <c r="E8818" s="6">
        <v>198.5</v>
      </c>
      <c r="F8818" s="11"/>
    </row>
    <row r="8819" spans="1:6">
      <c r="A8819" s="5" t="str">
        <f t="shared" si="156"/>
        <v>202334</v>
      </c>
      <c r="B8819" s="5" t="str">
        <f>"23085064023"</f>
        <v>23085064023</v>
      </c>
      <c r="C8819" s="6">
        <v>96</v>
      </c>
      <c r="D8819" s="6">
        <v>102</v>
      </c>
      <c r="E8819" s="6">
        <v>198</v>
      </c>
      <c r="F8819" s="11"/>
    </row>
    <row r="8820" spans="1:6">
      <c r="A8820" s="5" t="str">
        <f t="shared" si="156"/>
        <v>202334</v>
      </c>
      <c r="B8820" s="5" t="str">
        <f>"23085064208"</f>
        <v>23085064208</v>
      </c>
      <c r="C8820" s="6">
        <v>87</v>
      </c>
      <c r="D8820" s="6">
        <v>110</v>
      </c>
      <c r="E8820" s="6">
        <v>197</v>
      </c>
      <c r="F8820" s="11"/>
    </row>
    <row r="8821" spans="1:6">
      <c r="A8821" s="5" t="str">
        <f t="shared" si="156"/>
        <v>202334</v>
      </c>
      <c r="B8821" s="5" t="str">
        <f>"23085064124"</f>
        <v>23085064124</v>
      </c>
      <c r="C8821" s="6">
        <v>91.5</v>
      </c>
      <c r="D8821" s="6">
        <v>105.5</v>
      </c>
      <c r="E8821" s="6">
        <v>197</v>
      </c>
      <c r="F8821" s="11"/>
    </row>
    <row r="8822" spans="1:6">
      <c r="A8822" s="5" t="str">
        <f t="shared" si="156"/>
        <v>202334</v>
      </c>
      <c r="B8822" s="5" t="str">
        <f>"23085063926"</f>
        <v>23085063926</v>
      </c>
      <c r="C8822" s="6">
        <v>88.5</v>
      </c>
      <c r="D8822" s="6">
        <v>108.5</v>
      </c>
      <c r="E8822" s="6">
        <v>197</v>
      </c>
      <c r="F8822" s="11"/>
    </row>
    <row r="8823" spans="1:6">
      <c r="A8823" s="5" t="str">
        <f t="shared" si="156"/>
        <v>202334</v>
      </c>
      <c r="B8823" s="5" t="str">
        <f>"23085064205"</f>
        <v>23085064205</v>
      </c>
      <c r="C8823" s="6">
        <v>85.5</v>
      </c>
      <c r="D8823" s="6">
        <v>111.5</v>
      </c>
      <c r="E8823" s="6">
        <v>197</v>
      </c>
      <c r="F8823" s="11"/>
    </row>
    <row r="8824" spans="1:6">
      <c r="A8824" s="5" t="str">
        <f t="shared" si="156"/>
        <v>202334</v>
      </c>
      <c r="B8824" s="5" t="str">
        <f>"23085064321"</f>
        <v>23085064321</v>
      </c>
      <c r="C8824" s="6">
        <v>84</v>
      </c>
      <c r="D8824" s="6">
        <v>112</v>
      </c>
      <c r="E8824" s="6">
        <v>196</v>
      </c>
      <c r="F8824" s="11"/>
    </row>
    <row r="8825" spans="1:6">
      <c r="A8825" s="5" t="str">
        <f t="shared" si="156"/>
        <v>202334</v>
      </c>
      <c r="B8825" s="5" t="str">
        <f>"23085063821"</f>
        <v>23085063821</v>
      </c>
      <c r="C8825" s="6">
        <v>84</v>
      </c>
      <c r="D8825" s="6">
        <v>110.5</v>
      </c>
      <c r="E8825" s="6">
        <v>194.5</v>
      </c>
      <c r="F8825" s="11"/>
    </row>
    <row r="8826" spans="1:6">
      <c r="A8826" s="5" t="str">
        <f t="shared" si="156"/>
        <v>202334</v>
      </c>
      <c r="B8826" s="5" t="str">
        <f>"23085063905"</f>
        <v>23085063905</v>
      </c>
      <c r="C8826" s="6">
        <v>82.5</v>
      </c>
      <c r="D8826" s="6">
        <v>112</v>
      </c>
      <c r="E8826" s="6">
        <v>194.5</v>
      </c>
      <c r="F8826" s="11"/>
    </row>
    <row r="8827" spans="1:6">
      <c r="A8827" s="5" t="str">
        <f t="shared" si="156"/>
        <v>202334</v>
      </c>
      <c r="B8827" s="5" t="str">
        <f>"23085064026"</f>
        <v>23085064026</v>
      </c>
      <c r="C8827" s="6">
        <v>85.5</v>
      </c>
      <c r="D8827" s="6">
        <v>108</v>
      </c>
      <c r="E8827" s="6">
        <v>193.5</v>
      </c>
      <c r="F8827" s="11"/>
    </row>
    <row r="8828" spans="1:6">
      <c r="A8828" s="5" t="str">
        <f t="shared" si="156"/>
        <v>202334</v>
      </c>
      <c r="B8828" s="5" t="str">
        <f>"23085063902"</f>
        <v>23085063902</v>
      </c>
      <c r="C8828" s="6">
        <v>84</v>
      </c>
      <c r="D8828" s="6">
        <v>108.5</v>
      </c>
      <c r="E8828" s="6">
        <v>192.5</v>
      </c>
      <c r="F8828" s="11"/>
    </row>
    <row r="8829" spans="1:6">
      <c r="A8829" s="5" t="str">
        <f t="shared" si="156"/>
        <v>202334</v>
      </c>
      <c r="B8829" s="5" t="str">
        <f>"23085064319"</f>
        <v>23085064319</v>
      </c>
      <c r="C8829" s="6">
        <v>72</v>
      </c>
      <c r="D8829" s="6">
        <v>118.5</v>
      </c>
      <c r="E8829" s="6">
        <v>190.5</v>
      </c>
      <c r="F8829" s="11"/>
    </row>
    <row r="8830" spans="1:6">
      <c r="A8830" s="5" t="str">
        <f t="shared" si="156"/>
        <v>202334</v>
      </c>
      <c r="B8830" s="5" t="str">
        <f>"23085064110"</f>
        <v>23085064110</v>
      </c>
      <c r="C8830" s="6">
        <v>93</v>
      </c>
      <c r="D8830" s="6">
        <v>97.5</v>
      </c>
      <c r="E8830" s="6">
        <v>190.5</v>
      </c>
      <c r="F8830" s="11"/>
    </row>
    <row r="8831" spans="1:6">
      <c r="A8831" s="5" t="str">
        <f t="shared" si="156"/>
        <v>202334</v>
      </c>
      <c r="B8831" s="5" t="str">
        <f>"23085064115"</f>
        <v>23085064115</v>
      </c>
      <c r="C8831" s="6">
        <v>76.5</v>
      </c>
      <c r="D8831" s="6">
        <v>112.5</v>
      </c>
      <c r="E8831" s="6">
        <v>189</v>
      </c>
      <c r="F8831" s="11"/>
    </row>
    <row r="8832" spans="1:6">
      <c r="A8832" s="5" t="str">
        <f t="shared" si="156"/>
        <v>202334</v>
      </c>
      <c r="B8832" s="5" t="str">
        <f>"23085064318"</f>
        <v>23085064318</v>
      </c>
      <c r="C8832" s="6">
        <v>72</v>
      </c>
      <c r="D8832" s="6">
        <v>115.5</v>
      </c>
      <c r="E8832" s="6">
        <v>187.5</v>
      </c>
      <c r="F8832" s="11"/>
    </row>
    <row r="8833" spans="1:6">
      <c r="A8833" s="5" t="str">
        <f t="shared" si="156"/>
        <v>202334</v>
      </c>
      <c r="B8833" s="5" t="str">
        <f>"23085064107"</f>
        <v>23085064107</v>
      </c>
      <c r="C8833" s="6">
        <v>72</v>
      </c>
      <c r="D8833" s="6">
        <v>115.5</v>
      </c>
      <c r="E8833" s="6">
        <v>187.5</v>
      </c>
      <c r="F8833" s="11"/>
    </row>
    <row r="8834" spans="1:6">
      <c r="A8834" s="5" t="str">
        <f t="shared" si="156"/>
        <v>202334</v>
      </c>
      <c r="B8834" s="5" t="str">
        <f>"23085064220"</f>
        <v>23085064220</v>
      </c>
      <c r="C8834" s="6">
        <v>73.5</v>
      </c>
      <c r="D8834" s="6">
        <v>112</v>
      </c>
      <c r="E8834" s="6">
        <v>185.5</v>
      </c>
      <c r="F8834" s="11"/>
    </row>
    <row r="8835" spans="1:6">
      <c r="A8835" s="5" t="str">
        <f t="shared" si="156"/>
        <v>202334</v>
      </c>
      <c r="B8835" s="5" t="str">
        <f>"23085064214"</f>
        <v>23085064214</v>
      </c>
      <c r="C8835" s="6">
        <v>75</v>
      </c>
      <c r="D8835" s="6">
        <v>109.5</v>
      </c>
      <c r="E8835" s="6">
        <v>184.5</v>
      </c>
      <c r="F8835" s="11"/>
    </row>
    <row r="8836" spans="1:6">
      <c r="A8836" s="5" t="str">
        <f t="shared" si="156"/>
        <v>202334</v>
      </c>
      <c r="B8836" s="5" t="str">
        <f>"23085063924"</f>
        <v>23085063924</v>
      </c>
      <c r="C8836" s="6">
        <v>94.5</v>
      </c>
      <c r="D8836" s="6">
        <v>90</v>
      </c>
      <c r="E8836" s="6">
        <v>184.5</v>
      </c>
      <c r="F8836" s="11"/>
    </row>
    <row r="8837" spans="1:6">
      <c r="A8837" s="5" t="str">
        <f t="shared" si="156"/>
        <v>202334</v>
      </c>
      <c r="B8837" s="5" t="str">
        <f>"23085063908"</f>
        <v>23085063908</v>
      </c>
      <c r="C8837" s="6">
        <v>72</v>
      </c>
      <c r="D8837" s="6">
        <v>111</v>
      </c>
      <c r="E8837" s="6">
        <v>183</v>
      </c>
      <c r="F8837" s="11"/>
    </row>
    <row r="8838" spans="1:6">
      <c r="A8838" s="5" t="str">
        <f t="shared" si="156"/>
        <v>202334</v>
      </c>
      <c r="B8838" s="5" t="str">
        <f>"23085064102"</f>
        <v>23085064102</v>
      </c>
      <c r="C8838" s="6">
        <v>69</v>
      </c>
      <c r="D8838" s="6">
        <v>106.5</v>
      </c>
      <c r="E8838" s="6">
        <v>175.5</v>
      </c>
      <c r="F8838" s="11"/>
    </row>
    <row r="8839" spans="1:6">
      <c r="A8839" s="5" t="str">
        <f t="shared" si="156"/>
        <v>202334</v>
      </c>
      <c r="B8839" s="5" t="str">
        <f>"23085064109"</f>
        <v>23085064109</v>
      </c>
      <c r="C8839" s="6">
        <v>93</v>
      </c>
      <c r="D8839" s="6">
        <v>82.5</v>
      </c>
      <c r="E8839" s="6">
        <v>175.5</v>
      </c>
      <c r="F8839" s="11"/>
    </row>
    <row r="8840" spans="1:6">
      <c r="A8840" s="5" t="str">
        <f t="shared" si="156"/>
        <v>202334</v>
      </c>
      <c r="B8840" s="5" t="str">
        <f>"23085064226"</f>
        <v>23085064226</v>
      </c>
      <c r="C8840" s="6">
        <v>64.5</v>
      </c>
      <c r="D8840" s="6">
        <v>109.5</v>
      </c>
      <c r="E8840" s="6">
        <v>174</v>
      </c>
      <c r="F8840" s="11"/>
    </row>
    <row r="8841" spans="1:6">
      <c r="A8841" s="5" t="str">
        <f t="shared" si="156"/>
        <v>202334</v>
      </c>
      <c r="B8841" s="5" t="str">
        <f>"23085064301"</f>
        <v>23085064301</v>
      </c>
      <c r="C8841" s="6">
        <v>84</v>
      </c>
      <c r="D8841" s="6">
        <v>83.5</v>
      </c>
      <c r="E8841" s="6">
        <v>167.5</v>
      </c>
      <c r="F8841" s="11"/>
    </row>
    <row r="8842" spans="1:6">
      <c r="A8842" s="5" t="str">
        <f t="shared" si="156"/>
        <v>202334</v>
      </c>
      <c r="B8842" s="5" t="str">
        <f>"23085064003"</f>
        <v>23085064003</v>
      </c>
      <c r="C8842" s="6">
        <v>54</v>
      </c>
      <c r="D8842" s="6">
        <v>110.5</v>
      </c>
      <c r="E8842" s="6">
        <v>164.5</v>
      </c>
      <c r="F8842" s="11"/>
    </row>
    <row r="8843" spans="1:6">
      <c r="A8843" s="5" t="str">
        <f t="shared" si="156"/>
        <v>202334</v>
      </c>
      <c r="B8843" s="5" t="str">
        <f>"23085063914"</f>
        <v>23085063914</v>
      </c>
      <c r="C8843" s="6">
        <v>63</v>
      </c>
      <c r="D8843" s="6">
        <v>101</v>
      </c>
      <c r="E8843" s="6">
        <v>164</v>
      </c>
      <c r="F8843" s="11"/>
    </row>
    <row r="8844" spans="1:6">
      <c r="A8844" s="5" t="str">
        <f t="shared" si="156"/>
        <v>202334</v>
      </c>
      <c r="B8844" s="5" t="str">
        <f>"23085064022"</f>
        <v>23085064022</v>
      </c>
      <c r="C8844" s="6">
        <v>73.5</v>
      </c>
      <c r="D8844" s="6">
        <v>83</v>
      </c>
      <c r="E8844" s="6">
        <v>156.5</v>
      </c>
      <c r="F8844" s="11"/>
    </row>
    <row r="8845" spans="1:6">
      <c r="A8845" s="5" t="str">
        <f t="shared" si="156"/>
        <v>202334</v>
      </c>
      <c r="B8845" s="5" t="str">
        <f>"23085064106"</f>
        <v>23085064106</v>
      </c>
      <c r="C8845" s="6">
        <v>64.5</v>
      </c>
      <c r="D8845" s="6">
        <v>87</v>
      </c>
      <c r="E8845" s="6">
        <v>151.5</v>
      </c>
      <c r="F8845" s="11"/>
    </row>
    <row r="8846" spans="1:6">
      <c r="A8846" s="5" t="str">
        <f t="shared" si="156"/>
        <v>202334</v>
      </c>
      <c r="B8846" s="5" t="str">
        <f>"23085064302"</f>
        <v>23085064302</v>
      </c>
      <c r="C8846" s="6">
        <v>0</v>
      </c>
      <c r="D8846" s="6">
        <v>0</v>
      </c>
      <c r="E8846" s="6">
        <v>0</v>
      </c>
      <c r="F8846" s="11" t="s">
        <v>7</v>
      </c>
    </row>
    <row r="8847" spans="1:6">
      <c r="A8847" s="5" t="str">
        <f t="shared" si="156"/>
        <v>202334</v>
      </c>
      <c r="B8847" s="5" t="str">
        <f>"23085064029"</f>
        <v>23085064029</v>
      </c>
      <c r="C8847" s="6">
        <v>0</v>
      </c>
      <c r="D8847" s="6">
        <v>0</v>
      </c>
      <c r="E8847" s="6">
        <v>0</v>
      </c>
      <c r="F8847" s="11" t="s">
        <v>7</v>
      </c>
    </row>
    <row r="8848" spans="1:6">
      <c r="A8848" s="5" t="str">
        <f t="shared" si="156"/>
        <v>202334</v>
      </c>
      <c r="B8848" s="5" t="str">
        <f>"23085064222"</f>
        <v>23085064222</v>
      </c>
      <c r="C8848" s="6">
        <v>0</v>
      </c>
      <c r="D8848" s="6">
        <v>0</v>
      </c>
      <c r="E8848" s="6">
        <v>0</v>
      </c>
      <c r="F8848" s="11" t="s">
        <v>7</v>
      </c>
    </row>
    <row r="8849" spans="1:6">
      <c r="A8849" s="5" t="str">
        <f t="shared" si="156"/>
        <v>202334</v>
      </c>
      <c r="B8849" s="5" t="str">
        <f>"23085063922"</f>
        <v>23085063922</v>
      </c>
      <c r="C8849" s="6">
        <v>0</v>
      </c>
      <c r="D8849" s="6">
        <v>0</v>
      </c>
      <c r="E8849" s="6">
        <v>0</v>
      </c>
      <c r="F8849" s="11" t="s">
        <v>7</v>
      </c>
    </row>
    <row r="8850" spans="1:6">
      <c r="A8850" s="5" t="str">
        <f t="shared" ref="A8850:A8875" si="157">"202334"</f>
        <v>202334</v>
      </c>
      <c r="B8850" s="5" t="str">
        <f>"23085064112"</f>
        <v>23085064112</v>
      </c>
      <c r="C8850" s="6">
        <v>0</v>
      </c>
      <c r="D8850" s="6">
        <v>0</v>
      </c>
      <c r="E8850" s="6">
        <v>0</v>
      </c>
      <c r="F8850" s="11" t="s">
        <v>7</v>
      </c>
    </row>
    <row r="8851" spans="1:6">
      <c r="A8851" s="5" t="str">
        <f t="shared" si="157"/>
        <v>202334</v>
      </c>
      <c r="B8851" s="5" t="str">
        <f>"23085064209"</f>
        <v>23085064209</v>
      </c>
      <c r="C8851" s="6">
        <v>0</v>
      </c>
      <c r="D8851" s="6">
        <v>0</v>
      </c>
      <c r="E8851" s="6">
        <v>0</v>
      </c>
      <c r="F8851" s="11" t="s">
        <v>7</v>
      </c>
    </row>
    <row r="8852" spans="1:6">
      <c r="A8852" s="5" t="str">
        <f t="shared" si="157"/>
        <v>202334</v>
      </c>
      <c r="B8852" s="5" t="str">
        <f>"23085064016"</f>
        <v>23085064016</v>
      </c>
      <c r="C8852" s="6">
        <v>0</v>
      </c>
      <c r="D8852" s="6">
        <v>0</v>
      </c>
      <c r="E8852" s="6">
        <v>0</v>
      </c>
      <c r="F8852" s="11" t="s">
        <v>7</v>
      </c>
    </row>
    <row r="8853" spans="1:6">
      <c r="A8853" s="5" t="str">
        <f t="shared" si="157"/>
        <v>202334</v>
      </c>
      <c r="B8853" s="5" t="str">
        <f>"23085063927"</f>
        <v>23085063927</v>
      </c>
      <c r="C8853" s="6">
        <v>0</v>
      </c>
      <c r="D8853" s="6">
        <v>0</v>
      </c>
      <c r="E8853" s="6">
        <v>0</v>
      </c>
      <c r="F8853" s="11" t="s">
        <v>7</v>
      </c>
    </row>
    <row r="8854" spans="1:6">
      <c r="A8854" s="5" t="str">
        <f t="shared" si="157"/>
        <v>202334</v>
      </c>
      <c r="B8854" s="5" t="str">
        <f>"23085064017"</f>
        <v>23085064017</v>
      </c>
      <c r="C8854" s="6">
        <v>0</v>
      </c>
      <c r="D8854" s="6">
        <v>0</v>
      </c>
      <c r="E8854" s="6">
        <v>0</v>
      </c>
      <c r="F8854" s="11" t="s">
        <v>7</v>
      </c>
    </row>
    <row r="8855" spans="1:6">
      <c r="A8855" s="5" t="str">
        <f t="shared" si="157"/>
        <v>202334</v>
      </c>
      <c r="B8855" s="5" t="str">
        <f>"23085064015"</f>
        <v>23085064015</v>
      </c>
      <c r="C8855" s="6">
        <v>0</v>
      </c>
      <c r="D8855" s="6">
        <v>0</v>
      </c>
      <c r="E8855" s="6">
        <v>0</v>
      </c>
      <c r="F8855" s="11" t="s">
        <v>7</v>
      </c>
    </row>
    <row r="8856" spans="1:6">
      <c r="A8856" s="5" t="str">
        <f t="shared" si="157"/>
        <v>202334</v>
      </c>
      <c r="B8856" s="5" t="str">
        <f>"23085064212"</f>
        <v>23085064212</v>
      </c>
      <c r="C8856" s="6">
        <v>0</v>
      </c>
      <c r="D8856" s="6">
        <v>0</v>
      </c>
      <c r="E8856" s="6">
        <v>0</v>
      </c>
      <c r="F8856" s="11" t="s">
        <v>7</v>
      </c>
    </row>
    <row r="8857" spans="1:6">
      <c r="A8857" s="5" t="str">
        <f t="shared" si="157"/>
        <v>202334</v>
      </c>
      <c r="B8857" s="5" t="str">
        <f>"23085064120"</f>
        <v>23085064120</v>
      </c>
      <c r="C8857" s="6">
        <v>0</v>
      </c>
      <c r="D8857" s="6">
        <v>0</v>
      </c>
      <c r="E8857" s="6">
        <v>0</v>
      </c>
      <c r="F8857" s="11" t="s">
        <v>7</v>
      </c>
    </row>
    <row r="8858" spans="1:6">
      <c r="A8858" s="5" t="str">
        <f t="shared" si="157"/>
        <v>202334</v>
      </c>
      <c r="B8858" s="5" t="str">
        <f>"23085064116"</f>
        <v>23085064116</v>
      </c>
      <c r="C8858" s="6">
        <v>0</v>
      </c>
      <c r="D8858" s="6">
        <v>0</v>
      </c>
      <c r="E8858" s="6">
        <v>0</v>
      </c>
      <c r="F8858" s="11" t="s">
        <v>7</v>
      </c>
    </row>
    <row r="8859" spans="1:6">
      <c r="A8859" s="5" t="str">
        <f t="shared" si="157"/>
        <v>202334</v>
      </c>
      <c r="B8859" s="5" t="str">
        <f>"23085064010"</f>
        <v>23085064010</v>
      </c>
      <c r="C8859" s="6">
        <v>0</v>
      </c>
      <c r="D8859" s="6">
        <v>0</v>
      </c>
      <c r="E8859" s="6">
        <v>0</v>
      </c>
      <c r="F8859" s="11" t="s">
        <v>7</v>
      </c>
    </row>
    <row r="8860" spans="1:6">
      <c r="A8860" s="5" t="str">
        <f t="shared" si="157"/>
        <v>202334</v>
      </c>
      <c r="B8860" s="5" t="str">
        <f>"23085064227"</f>
        <v>23085064227</v>
      </c>
      <c r="C8860" s="6">
        <v>0</v>
      </c>
      <c r="D8860" s="6">
        <v>0</v>
      </c>
      <c r="E8860" s="6">
        <v>0</v>
      </c>
      <c r="F8860" s="11" t="s">
        <v>7</v>
      </c>
    </row>
    <row r="8861" spans="1:6">
      <c r="A8861" s="5" t="str">
        <f t="shared" si="157"/>
        <v>202334</v>
      </c>
      <c r="B8861" s="5" t="str">
        <f>"23085064019"</f>
        <v>23085064019</v>
      </c>
      <c r="C8861" s="6">
        <v>0</v>
      </c>
      <c r="D8861" s="6">
        <v>0</v>
      </c>
      <c r="E8861" s="6">
        <v>0</v>
      </c>
      <c r="F8861" s="11" t="s">
        <v>7</v>
      </c>
    </row>
    <row r="8862" spans="1:6">
      <c r="A8862" s="5" t="str">
        <f t="shared" si="157"/>
        <v>202334</v>
      </c>
      <c r="B8862" s="5" t="str">
        <f>"23085064027"</f>
        <v>23085064027</v>
      </c>
      <c r="C8862" s="6">
        <v>0</v>
      </c>
      <c r="D8862" s="6">
        <v>0</v>
      </c>
      <c r="E8862" s="6">
        <v>0</v>
      </c>
      <c r="F8862" s="11" t="s">
        <v>7</v>
      </c>
    </row>
    <row r="8863" spans="1:6">
      <c r="A8863" s="5" t="str">
        <f t="shared" si="157"/>
        <v>202334</v>
      </c>
      <c r="B8863" s="5" t="str">
        <f>"23085064012"</f>
        <v>23085064012</v>
      </c>
      <c r="C8863" s="6">
        <v>0</v>
      </c>
      <c r="D8863" s="6">
        <v>0</v>
      </c>
      <c r="E8863" s="6">
        <v>0</v>
      </c>
      <c r="F8863" s="11" t="s">
        <v>7</v>
      </c>
    </row>
    <row r="8864" spans="1:6">
      <c r="A8864" s="5" t="str">
        <f t="shared" si="157"/>
        <v>202334</v>
      </c>
      <c r="B8864" s="5" t="str">
        <f>"23085064320"</f>
        <v>23085064320</v>
      </c>
      <c r="C8864" s="6">
        <v>0</v>
      </c>
      <c r="D8864" s="6">
        <v>0</v>
      </c>
      <c r="E8864" s="6">
        <v>0</v>
      </c>
      <c r="F8864" s="11" t="s">
        <v>7</v>
      </c>
    </row>
    <row r="8865" spans="1:6">
      <c r="A8865" s="5" t="str">
        <f t="shared" si="157"/>
        <v>202334</v>
      </c>
      <c r="B8865" s="5" t="str">
        <f>"23085064118"</f>
        <v>23085064118</v>
      </c>
      <c r="C8865" s="6">
        <v>0</v>
      </c>
      <c r="D8865" s="6">
        <v>0</v>
      </c>
      <c r="E8865" s="6">
        <v>0</v>
      </c>
      <c r="F8865" s="11" t="s">
        <v>7</v>
      </c>
    </row>
    <row r="8866" spans="1:6">
      <c r="A8866" s="5" t="str">
        <f t="shared" si="157"/>
        <v>202334</v>
      </c>
      <c r="B8866" s="5" t="str">
        <f>"23085064104"</f>
        <v>23085064104</v>
      </c>
      <c r="C8866" s="6">
        <v>0</v>
      </c>
      <c r="D8866" s="6">
        <v>0</v>
      </c>
      <c r="E8866" s="6">
        <v>0</v>
      </c>
      <c r="F8866" s="11" t="s">
        <v>7</v>
      </c>
    </row>
    <row r="8867" spans="1:6">
      <c r="A8867" s="5" t="str">
        <f t="shared" si="157"/>
        <v>202334</v>
      </c>
      <c r="B8867" s="5" t="str">
        <f>"23085064011"</f>
        <v>23085064011</v>
      </c>
      <c r="C8867" s="6">
        <v>0</v>
      </c>
      <c r="D8867" s="6">
        <v>0</v>
      </c>
      <c r="E8867" s="6">
        <v>0</v>
      </c>
      <c r="F8867" s="11" t="s">
        <v>7</v>
      </c>
    </row>
    <row r="8868" spans="1:6">
      <c r="A8868" s="5" t="str">
        <f t="shared" si="157"/>
        <v>202334</v>
      </c>
      <c r="B8868" s="5" t="str">
        <f>"23085063915"</f>
        <v>23085063915</v>
      </c>
      <c r="C8868" s="6">
        <v>0</v>
      </c>
      <c r="D8868" s="6">
        <v>0</v>
      </c>
      <c r="E8868" s="6">
        <v>0</v>
      </c>
      <c r="F8868" s="11" t="s">
        <v>7</v>
      </c>
    </row>
    <row r="8869" spans="1:6">
      <c r="A8869" s="5" t="str">
        <f t="shared" si="157"/>
        <v>202334</v>
      </c>
      <c r="B8869" s="5" t="str">
        <f>"23085063930"</f>
        <v>23085063930</v>
      </c>
      <c r="C8869" s="6">
        <v>0</v>
      </c>
      <c r="D8869" s="6">
        <v>0</v>
      </c>
      <c r="E8869" s="6">
        <v>0</v>
      </c>
      <c r="F8869" s="11" t="s">
        <v>7</v>
      </c>
    </row>
    <row r="8870" spans="1:6">
      <c r="A8870" s="5" t="str">
        <f t="shared" si="157"/>
        <v>202334</v>
      </c>
      <c r="B8870" s="5" t="str">
        <f>"23085063925"</f>
        <v>23085063925</v>
      </c>
      <c r="C8870" s="6">
        <v>0</v>
      </c>
      <c r="D8870" s="6">
        <v>0</v>
      </c>
      <c r="E8870" s="6">
        <v>0</v>
      </c>
      <c r="F8870" s="11" t="s">
        <v>7</v>
      </c>
    </row>
    <row r="8871" spans="1:6">
      <c r="A8871" s="5" t="str">
        <f t="shared" si="157"/>
        <v>202334</v>
      </c>
      <c r="B8871" s="5" t="str">
        <f>"23085064303"</f>
        <v>23085064303</v>
      </c>
      <c r="C8871" s="6">
        <v>0</v>
      </c>
      <c r="D8871" s="6">
        <v>0</v>
      </c>
      <c r="E8871" s="6">
        <v>0</v>
      </c>
      <c r="F8871" s="11" t="s">
        <v>7</v>
      </c>
    </row>
    <row r="8872" spans="1:6">
      <c r="A8872" s="5" t="str">
        <f t="shared" si="157"/>
        <v>202334</v>
      </c>
      <c r="B8872" s="5" t="str">
        <f>"23085064307"</f>
        <v>23085064307</v>
      </c>
      <c r="C8872" s="6">
        <v>0</v>
      </c>
      <c r="D8872" s="6">
        <v>0</v>
      </c>
      <c r="E8872" s="6">
        <v>0</v>
      </c>
      <c r="F8872" s="11" t="s">
        <v>7</v>
      </c>
    </row>
    <row r="8873" spans="1:6">
      <c r="A8873" s="5" t="str">
        <f t="shared" si="157"/>
        <v>202334</v>
      </c>
      <c r="B8873" s="5" t="str">
        <f>"23085064014"</f>
        <v>23085064014</v>
      </c>
      <c r="C8873" s="6">
        <v>0</v>
      </c>
      <c r="D8873" s="6">
        <v>0</v>
      </c>
      <c r="E8873" s="6">
        <v>0</v>
      </c>
      <c r="F8873" s="11" t="s">
        <v>7</v>
      </c>
    </row>
    <row r="8874" spans="1:6">
      <c r="A8874" s="5" t="str">
        <f t="shared" si="157"/>
        <v>202334</v>
      </c>
      <c r="B8874" s="5" t="str">
        <f>"23085064004"</f>
        <v>23085064004</v>
      </c>
      <c r="C8874" s="6">
        <v>0</v>
      </c>
      <c r="D8874" s="6">
        <v>0</v>
      </c>
      <c r="E8874" s="6">
        <v>0</v>
      </c>
      <c r="F8874" s="11" t="s">
        <v>7</v>
      </c>
    </row>
    <row r="8875" spans="1:6">
      <c r="A8875" s="5" t="str">
        <f t="shared" si="157"/>
        <v>202334</v>
      </c>
      <c r="B8875" s="5" t="str">
        <f>"23085064117"</f>
        <v>23085064117</v>
      </c>
      <c r="C8875" s="6">
        <v>0</v>
      </c>
      <c r="D8875" s="6">
        <v>0</v>
      </c>
      <c r="E8875" s="6">
        <v>0</v>
      </c>
      <c r="F8875" s="11" t="s">
        <v>7</v>
      </c>
    </row>
    <row r="8876" spans="1:6">
      <c r="A8876" s="5" t="str">
        <f t="shared" ref="A8876:A8939" si="158">"202335"</f>
        <v>202335</v>
      </c>
      <c r="B8876" s="5" t="str">
        <f>"23085024414"</f>
        <v>23085024414</v>
      </c>
      <c r="C8876" s="6">
        <v>111</v>
      </c>
      <c r="D8876" s="6">
        <v>81.14</v>
      </c>
      <c r="E8876" s="6">
        <v>192.14</v>
      </c>
      <c r="F8876" s="11"/>
    </row>
    <row r="8877" spans="1:6">
      <c r="A8877" s="5" t="str">
        <f t="shared" si="158"/>
        <v>202335</v>
      </c>
      <c r="B8877" s="5" t="str">
        <f>"23085024705"</f>
        <v>23085024705</v>
      </c>
      <c r="C8877" s="6">
        <v>109.5</v>
      </c>
      <c r="D8877" s="6">
        <v>78.43</v>
      </c>
      <c r="E8877" s="6">
        <v>187.93</v>
      </c>
      <c r="F8877" s="11"/>
    </row>
    <row r="8878" spans="1:6">
      <c r="A8878" s="5" t="str">
        <f t="shared" si="158"/>
        <v>202335</v>
      </c>
      <c r="B8878" s="5" t="str">
        <f>"23085024721"</f>
        <v>23085024721</v>
      </c>
      <c r="C8878" s="6">
        <v>112.5</v>
      </c>
      <c r="D8878" s="6">
        <v>74.14</v>
      </c>
      <c r="E8878" s="6">
        <v>186.64</v>
      </c>
      <c r="F8878" s="11"/>
    </row>
    <row r="8879" spans="1:6">
      <c r="A8879" s="5" t="str">
        <f t="shared" si="158"/>
        <v>202335</v>
      </c>
      <c r="B8879" s="5" t="str">
        <f>"23085024913"</f>
        <v>23085024913</v>
      </c>
      <c r="C8879" s="6">
        <v>102</v>
      </c>
      <c r="D8879" s="6">
        <v>81.63</v>
      </c>
      <c r="E8879" s="6">
        <v>183.63</v>
      </c>
      <c r="F8879" s="11"/>
    </row>
    <row r="8880" spans="1:6">
      <c r="A8880" s="5" t="str">
        <f t="shared" si="158"/>
        <v>202335</v>
      </c>
      <c r="B8880" s="5" t="str">
        <f>"23085024724"</f>
        <v>23085024724</v>
      </c>
      <c r="C8880" s="6">
        <v>102</v>
      </c>
      <c r="D8880" s="6">
        <v>81.24</v>
      </c>
      <c r="E8880" s="6">
        <v>183.24</v>
      </c>
      <c r="F8880" s="11"/>
    </row>
    <row r="8881" spans="1:6">
      <c r="A8881" s="5" t="str">
        <f t="shared" si="158"/>
        <v>202335</v>
      </c>
      <c r="B8881" s="5" t="str">
        <f>"23085024730"</f>
        <v>23085024730</v>
      </c>
      <c r="C8881" s="6">
        <v>106.5</v>
      </c>
      <c r="D8881" s="6">
        <v>76.03</v>
      </c>
      <c r="E8881" s="6">
        <v>182.53</v>
      </c>
      <c r="F8881" s="11"/>
    </row>
    <row r="8882" spans="1:6">
      <c r="A8882" s="5" t="str">
        <f t="shared" si="158"/>
        <v>202335</v>
      </c>
      <c r="B8882" s="5" t="str">
        <f>"23085024921"</f>
        <v>23085024921</v>
      </c>
      <c r="C8882" s="6">
        <v>96</v>
      </c>
      <c r="D8882" s="6">
        <v>86.48</v>
      </c>
      <c r="E8882" s="6">
        <v>182.48</v>
      </c>
      <c r="F8882" s="11"/>
    </row>
    <row r="8883" spans="1:6">
      <c r="A8883" s="5" t="str">
        <f t="shared" si="158"/>
        <v>202335</v>
      </c>
      <c r="B8883" s="5" t="str">
        <f>"23085024805"</f>
        <v>23085024805</v>
      </c>
      <c r="C8883" s="6">
        <v>97.5</v>
      </c>
      <c r="D8883" s="6">
        <v>84.37</v>
      </c>
      <c r="E8883" s="6">
        <v>181.87</v>
      </c>
      <c r="F8883" s="11"/>
    </row>
    <row r="8884" spans="1:6">
      <c r="A8884" s="5" t="str">
        <f t="shared" si="158"/>
        <v>202335</v>
      </c>
      <c r="B8884" s="5" t="str">
        <f>"23085024428"</f>
        <v>23085024428</v>
      </c>
      <c r="C8884" s="6">
        <v>117</v>
      </c>
      <c r="D8884" s="6">
        <v>64.77</v>
      </c>
      <c r="E8884" s="6">
        <v>181.77</v>
      </c>
      <c r="F8884" s="11"/>
    </row>
    <row r="8885" spans="1:6">
      <c r="A8885" s="5" t="str">
        <f t="shared" si="158"/>
        <v>202335</v>
      </c>
      <c r="B8885" s="5" t="str">
        <f>"23085024803"</f>
        <v>23085024803</v>
      </c>
      <c r="C8885" s="6">
        <v>109.5</v>
      </c>
      <c r="D8885" s="6">
        <v>71.79</v>
      </c>
      <c r="E8885" s="6">
        <v>181.29</v>
      </c>
      <c r="F8885" s="11"/>
    </row>
    <row r="8886" spans="1:6">
      <c r="A8886" s="5" t="str">
        <f t="shared" si="158"/>
        <v>202335</v>
      </c>
      <c r="B8886" s="5" t="str">
        <f>"23085024616"</f>
        <v>23085024616</v>
      </c>
      <c r="C8886" s="6">
        <v>111</v>
      </c>
      <c r="D8886" s="6">
        <v>69.61</v>
      </c>
      <c r="E8886" s="6">
        <v>180.61</v>
      </c>
      <c r="F8886" s="11"/>
    </row>
    <row r="8887" spans="1:6">
      <c r="A8887" s="5" t="str">
        <f t="shared" si="158"/>
        <v>202335</v>
      </c>
      <c r="B8887" s="5" t="str">
        <f>"23085024507"</f>
        <v>23085024507</v>
      </c>
      <c r="C8887" s="6">
        <v>100.5</v>
      </c>
      <c r="D8887" s="6">
        <v>79.98</v>
      </c>
      <c r="E8887" s="6">
        <v>180.48</v>
      </c>
      <c r="F8887" s="11"/>
    </row>
    <row r="8888" spans="1:6">
      <c r="A8888" s="5" t="str">
        <f t="shared" si="158"/>
        <v>202335</v>
      </c>
      <c r="B8888" s="5" t="str">
        <f>"23085024611"</f>
        <v>23085024611</v>
      </c>
      <c r="C8888" s="6">
        <v>96</v>
      </c>
      <c r="D8888" s="6">
        <v>83.48</v>
      </c>
      <c r="E8888" s="6">
        <v>179.48</v>
      </c>
      <c r="F8888" s="11"/>
    </row>
    <row r="8889" spans="1:6">
      <c r="A8889" s="5" t="str">
        <f t="shared" si="158"/>
        <v>202335</v>
      </c>
      <c r="B8889" s="5" t="str">
        <f>"23085024525"</f>
        <v>23085024525</v>
      </c>
      <c r="C8889" s="6">
        <v>112.5</v>
      </c>
      <c r="D8889" s="6">
        <v>66.77</v>
      </c>
      <c r="E8889" s="6">
        <v>179.27</v>
      </c>
      <c r="F8889" s="11"/>
    </row>
    <row r="8890" spans="1:6">
      <c r="A8890" s="5" t="str">
        <f t="shared" si="158"/>
        <v>202335</v>
      </c>
      <c r="B8890" s="5" t="str">
        <f>"23085024504"</f>
        <v>23085024504</v>
      </c>
      <c r="C8890" s="6">
        <v>108</v>
      </c>
      <c r="D8890" s="6">
        <v>69.93</v>
      </c>
      <c r="E8890" s="6">
        <v>177.93</v>
      </c>
      <c r="F8890" s="11"/>
    </row>
    <row r="8891" spans="1:6">
      <c r="A8891" s="5" t="str">
        <f t="shared" si="158"/>
        <v>202335</v>
      </c>
      <c r="B8891" s="5" t="str">
        <f>"23085024513"</f>
        <v>23085024513</v>
      </c>
      <c r="C8891" s="6">
        <v>103.5</v>
      </c>
      <c r="D8891" s="6">
        <v>73.98</v>
      </c>
      <c r="E8891" s="6">
        <v>177.48</v>
      </c>
      <c r="F8891" s="11"/>
    </row>
    <row r="8892" spans="1:6">
      <c r="A8892" s="5" t="str">
        <f t="shared" si="158"/>
        <v>202335</v>
      </c>
      <c r="B8892" s="5" t="str">
        <f>"23085024923"</f>
        <v>23085024923</v>
      </c>
      <c r="C8892" s="6">
        <v>97.5</v>
      </c>
      <c r="D8892" s="6">
        <v>78.32</v>
      </c>
      <c r="E8892" s="6">
        <v>175.82</v>
      </c>
      <c r="F8892" s="11"/>
    </row>
    <row r="8893" spans="1:6">
      <c r="A8893" s="5" t="str">
        <f t="shared" si="158"/>
        <v>202335</v>
      </c>
      <c r="B8893" s="5" t="str">
        <f>"23085024427"</f>
        <v>23085024427</v>
      </c>
      <c r="C8893" s="6">
        <v>96</v>
      </c>
      <c r="D8893" s="6">
        <v>79.06</v>
      </c>
      <c r="E8893" s="6">
        <v>175.06</v>
      </c>
      <c r="F8893" s="11"/>
    </row>
    <row r="8894" spans="1:6">
      <c r="A8894" s="5" t="str">
        <f t="shared" si="158"/>
        <v>202335</v>
      </c>
      <c r="B8894" s="5" t="str">
        <f>"23085024411"</f>
        <v>23085024411</v>
      </c>
      <c r="C8894" s="6">
        <v>90</v>
      </c>
      <c r="D8894" s="6">
        <v>84.74</v>
      </c>
      <c r="E8894" s="6">
        <v>174.74</v>
      </c>
      <c r="F8894" s="11"/>
    </row>
    <row r="8895" spans="1:6">
      <c r="A8895" s="5" t="str">
        <f t="shared" si="158"/>
        <v>202335</v>
      </c>
      <c r="B8895" s="5" t="str">
        <f>"23085024629"</f>
        <v>23085024629</v>
      </c>
      <c r="C8895" s="6">
        <v>103.5</v>
      </c>
      <c r="D8895" s="6">
        <v>71.09</v>
      </c>
      <c r="E8895" s="6">
        <v>174.59</v>
      </c>
      <c r="F8895" s="11"/>
    </row>
    <row r="8896" spans="1:6">
      <c r="A8896" s="5" t="str">
        <f t="shared" si="158"/>
        <v>202335</v>
      </c>
      <c r="B8896" s="5" t="str">
        <f>"23085024419"</f>
        <v>23085024419</v>
      </c>
      <c r="C8896" s="6">
        <v>105</v>
      </c>
      <c r="D8896" s="6">
        <v>68.85</v>
      </c>
      <c r="E8896" s="6">
        <v>173.85</v>
      </c>
      <c r="F8896" s="11"/>
    </row>
    <row r="8897" spans="1:6">
      <c r="A8897" s="5" t="str">
        <f t="shared" si="158"/>
        <v>202335</v>
      </c>
      <c r="B8897" s="5" t="str">
        <f>"23085024408"</f>
        <v>23085024408</v>
      </c>
      <c r="C8897" s="6">
        <v>96</v>
      </c>
      <c r="D8897" s="6">
        <v>77.24</v>
      </c>
      <c r="E8897" s="6">
        <v>173.24</v>
      </c>
      <c r="F8897" s="11"/>
    </row>
    <row r="8898" spans="1:6">
      <c r="A8898" s="5" t="str">
        <f t="shared" si="158"/>
        <v>202335</v>
      </c>
      <c r="B8898" s="5" t="str">
        <f>"23085024702"</f>
        <v>23085024702</v>
      </c>
      <c r="C8898" s="6">
        <v>103.5</v>
      </c>
      <c r="D8898" s="6">
        <v>69.66</v>
      </c>
      <c r="E8898" s="6">
        <v>173.16</v>
      </c>
      <c r="F8898" s="11"/>
    </row>
    <row r="8899" spans="1:6">
      <c r="A8899" s="5" t="str">
        <f t="shared" si="158"/>
        <v>202335</v>
      </c>
      <c r="B8899" s="5" t="str">
        <f>"23085024922"</f>
        <v>23085024922</v>
      </c>
      <c r="C8899" s="6">
        <v>108</v>
      </c>
      <c r="D8899" s="6">
        <v>63.72</v>
      </c>
      <c r="E8899" s="6">
        <v>171.72</v>
      </c>
      <c r="F8899" s="11"/>
    </row>
    <row r="8900" spans="1:6">
      <c r="A8900" s="5" t="str">
        <f t="shared" si="158"/>
        <v>202335</v>
      </c>
      <c r="B8900" s="5" t="str">
        <f>"23085024524"</f>
        <v>23085024524</v>
      </c>
      <c r="C8900" s="6">
        <v>96</v>
      </c>
      <c r="D8900" s="6">
        <v>75.35</v>
      </c>
      <c r="E8900" s="6">
        <v>171.35</v>
      </c>
      <c r="F8900" s="11"/>
    </row>
    <row r="8901" spans="1:6">
      <c r="A8901" s="5" t="str">
        <f t="shared" si="158"/>
        <v>202335</v>
      </c>
      <c r="B8901" s="5" t="str">
        <f>"23085024417"</f>
        <v>23085024417</v>
      </c>
      <c r="C8901" s="6">
        <v>99</v>
      </c>
      <c r="D8901" s="6">
        <v>71.95</v>
      </c>
      <c r="E8901" s="6">
        <v>170.95</v>
      </c>
      <c r="F8901" s="11"/>
    </row>
    <row r="8902" spans="1:6">
      <c r="A8902" s="5" t="str">
        <f t="shared" si="158"/>
        <v>202335</v>
      </c>
      <c r="B8902" s="5" t="str">
        <f>"23085024817"</f>
        <v>23085024817</v>
      </c>
      <c r="C8902" s="6">
        <v>96</v>
      </c>
      <c r="D8902" s="6">
        <v>73.53</v>
      </c>
      <c r="E8902" s="6">
        <v>169.53</v>
      </c>
      <c r="F8902" s="11"/>
    </row>
    <row r="8903" spans="1:6">
      <c r="A8903" s="5" t="str">
        <f t="shared" si="158"/>
        <v>202335</v>
      </c>
      <c r="B8903" s="5" t="str">
        <f>"23085024607"</f>
        <v>23085024607</v>
      </c>
      <c r="C8903" s="6">
        <v>97.5</v>
      </c>
      <c r="D8903" s="6">
        <v>71.64</v>
      </c>
      <c r="E8903" s="6">
        <v>169.14</v>
      </c>
      <c r="F8903" s="11"/>
    </row>
    <row r="8904" spans="1:6">
      <c r="A8904" s="5" t="str">
        <f t="shared" si="158"/>
        <v>202335</v>
      </c>
      <c r="B8904" s="5" t="str">
        <f>"23085024609"</f>
        <v>23085024609</v>
      </c>
      <c r="C8904" s="6">
        <v>103.5</v>
      </c>
      <c r="D8904" s="6">
        <v>65.3</v>
      </c>
      <c r="E8904" s="6">
        <v>168.8</v>
      </c>
      <c r="F8904" s="11"/>
    </row>
    <row r="8905" spans="1:6">
      <c r="A8905" s="5" t="str">
        <f t="shared" si="158"/>
        <v>202335</v>
      </c>
      <c r="B8905" s="5" t="str">
        <f>"23085024430"</f>
        <v>23085024430</v>
      </c>
      <c r="C8905" s="6">
        <v>105</v>
      </c>
      <c r="D8905" s="6">
        <v>63.72</v>
      </c>
      <c r="E8905" s="6">
        <v>168.72</v>
      </c>
      <c r="F8905" s="11"/>
    </row>
    <row r="8906" spans="1:6">
      <c r="A8906" s="5" t="str">
        <f t="shared" si="158"/>
        <v>202335</v>
      </c>
      <c r="B8906" s="5" t="str">
        <f>"23085024926"</f>
        <v>23085024926</v>
      </c>
      <c r="C8906" s="6">
        <v>91.5</v>
      </c>
      <c r="D8906" s="6">
        <v>75.9</v>
      </c>
      <c r="E8906" s="6">
        <v>167.4</v>
      </c>
      <c r="F8906" s="11"/>
    </row>
    <row r="8907" spans="1:6">
      <c r="A8907" s="5" t="str">
        <f t="shared" si="158"/>
        <v>202335</v>
      </c>
      <c r="B8907" s="5" t="str">
        <f>"23085024425"</f>
        <v>23085024425</v>
      </c>
      <c r="C8907" s="6">
        <v>105</v>
      </c>
      <c r="D8907" s="6">
        <v>62.19</v>
      </c>
      <c r="E8907" s="6">
        <v>167.19</v>
      </c>
      <c r="F8907" s="11"/>
    </row>
    <row r="8908" spans="1:6">
      <c r="A8908" s="5" t="str">
        <f t="shared" si="158"/>
        <v>202335</v>
      </c>
      <c r="B8908" s="5" t="str">
        <f>"23085024518"</f>
        <v>23085024518</v>
      </c>
      <c r="C8908" s="6">
        <v>102</v>
      </c>
      <c r="D8908" s="6">
        <v>65.06</v>
      </c>
      <c r="E8908" s="6">
        <v>167.06</v>
      </c>
      <c r="F8908" s="11"/>
    </row>
    <row r="8909" spans="1:6">
      <c r="A8909" s="5" t="str">
        <f t="shared" si="158"/>
        <v>202335</v>
      </c>
      <c r="B8909" s="5" t="str">
        <f>"23085024520"</f>
        <v>23085024520</v>
      </c>
      <c r="C8909" s="6">
        <v>90</v>
      </c>
      <c r="D8909" s="6">
        <v>76.98</v>
      </c>
      <c r="E8909" s="6">
        <v>166.98</v>
      </c>
      <c r="F8909" s="11"/>
    </row>
    <row r="8910" spans="1:6">
      <c r="A8910" s="5" t="str">
        <f t="shared" si="158"/>
        <v>202335</v>
      </c>
      <c r="B8910" s="5" t="str">
        <f>"23085024530"</f>
        <v>23085024530</v>
      </c>
      <c r="C8910" s="6">
        <v>97.5</v>
      </c>
      <c r="D8910" s="6">
        <v>69.4</v>
      </c>
      <c r="E8910" s="6">
        <v>166.9</v>
      </c>
      <c r="F8910" s="11"/>
    </row>
    <row r="8911" spans="1:6">
      <c r="A8911" s="5" t="str">
        <f t="shared" si="158"/>
        <v>202335</v>
      </c>
      <c r="B8911" s="5" t="str">
        <f>"23085024706"</f>
        <v>23085024706</v>
      </c>
      <c r="C8911" s="6">
        <v>99</v>
      </c>
      <c r="D8911" s="6">
        <v>67.4</v>
      </c>
      <c r="E8911" s="6">
        <v>166.4</v>
      </c>
      <c r="F8911" s="11"/>
    </row>
    <row r="8912" spans="1:6">
      <c r="A8912" s="5" t="str">
        <f t="shared" si="158"/>
        <v>202335</v>
      </c>
      <c r="B8912" s="5" t="str">
        <f>"23085024622"</f>
        <v>23085024622</v>
      </c>
      <c r="C8912" s="6">
        <v>100.5</v>
      </c>
      <c r="D8912" s="6">
        <v>65.85</v>
      </c>
      <c r="E8912" s="6">
        <v>166.35</v>
      </c>
      <c r="F8912" s="11"/>
    </row>
    <row r="8913" spans="1:6">
      <c r="A8913" s="5" t="str">
        <f t="shared" si="158"/>
        <v>202335</v>
      </c>
      <c r="B8913" s="5" t="str">
        <f>"23085024713"</f>
        <v>23085024713</v>
      </c>
      <c r="C8913" s="6">
        <v>85.5</v>
      </c>
      <c r="D8913" s="6">
        <v>80.48</v>
      </c>
      <c r="E8913" s="6">
        <v>165.98</v>
      </c>
      <c r="F8913" s="11"/>
    </row>
    <row r="8914" spans="1:6">
      <c r="A8914" s="5" t="str">
        <f t="shared" si="158"/>
        <v>202335</v>
      </c>
      <c r="B8914" s="5" t="str">
        <f>"23085024930"</f>
        <v>23085024930</v>
      </c>
      <c r="C8914" s="6">
        <v>91.5</v>
      </c>
      <c r="D8914" s="6">
        <v>73.16</v>
      </c>
      <c r="E8914" s="6">
        <v>164.66</v>
      </c>
      <c r="F8914" s="11"/>
    </row>
    <row r="8915" spans="1:6">
      <c r="A8915" s="5" t="str">
        <f t="shared" si="158"/>
        <v>202335</v>
      </c>
      <c r="B8915" s="5" t="str">
        <f>"23085025005"</f>
        <v>23085025005</v>
      </c>
      <c r="C8915" s="6">
        <v>87</v>
      </c>
      <c r="D8915" s="6">
        <v>77.19</v>
      </c>
      <c r="E8915" s="6">
        <v>164.19</v>
      </c>
      <c r="F8915" s="11"/>
    </row>
    <row r="8916" spans="1:6">
      <c r="A8916" s="5" t="str">
        <f t="shared" si="158"/>
        <v>202335</v>
      </c>
      <c r="B8916" s="5" t="str">
        <f>"23085024904"</f>
        <v>23085024904</v>
      </c>
      <c r="C8916" s="6">
        <v>76.5</v>
      </c>
      <c r="D8916" s="6">
        <v>87.61</v>
      </c>
      <c r="E8916" s="6">
        <v>164.11</v>
      </c>
      <c r="F8916" s="11"/>
    </row>
    <row r="8917" spans="1:6">
      <c r="A8917" s="5" t="str">
        <f t="shared" si="158"/>
        <v>202335</v>
      </c>
      <c r="B8917" s="5" t="str">
        <f>"23085024620"</f>
        <v>23085024620</v>
      </c>
      <c r="C8917" s="6">
        <v>102</v>
      </c>
      <c r="D8917" s="6">
        <v>62.01</v>
      </c>
      <c r="E8917" s="6">
        <v>164.01</v>
      </c>
      <c r="F8917" s="11"/>
    </row>
    <row r="8918" spans="1:6">
      <c r="A8918" s="5" t="str">
        <f t="shared" si="158"/>
        <v>202335</v>
      </c>
      <c r="B8918" s="5" t="str">
        <f>"23085024719"</f>
        <v>23085024719</v>
      </c>
      <c r="C8918" s="6">
        <v>103.5</v>
      </c>
      <c r="D8918" s="6">
        <v>59.32</v>
      </c>
      <c r="E8918" s="6">
        <v>162.82</v>
      </c>
      <c r="F8918" s="11"/>
    </row>
    <row r="8919" spans="1:6">
      <c r="A8919" s="5" t="str">
        <f t="shared" si="158"/>
        <v>202335</v>
      </c>
      <c r="B8919" s="5" t="str">
        <f>"23085024919"</f>
        <v>23085024919</v>
      </c>
      <c r="C8919" s="6">
        <v>91.5</v>
      </c>
      <c r="D8919" s="6">
        <v>71.27</v>
      </c>
      <c r="E8919" s="6">
        <v>162.77</v>
      </c>
      <c r="F8919" s="11"/>
    </row>
    <row r="8920" spans="1:6">
      <c r="A8920" s="5" t="str">
        <f t="shared" si="158"/>
        <v>202335</v>
      </c>
      <c r="B8920" s="5" t="str">
        <f>"23085024717"</f>
        <v>23085024717</v>
      </c>
      <c r="C8920" s="6">
        <v>103.5</v>
      </c>
      <c r="D8920" s="6">
        <v>58.93</v>
      </c>
      <c r="E8920" s="6">
        <v>162.43</v>
      </c>
      <c r="F8920" s="11"/>
    </row>
    <row r="8921" spans="1:6">
      <c r="A8921" s="5" t="str">
        <f t="shared" si="158"/>
        <v>202335</v>
      </c>
      <c r="B8921" s="5" t="str">
        <f>"23085024418"</f>
        <v>23085024418</v>
      </c>
      <c r="C8921" s="6">
        <v>97.5</v>
      </c>
      <c r="D8921" s="6">
        <v>64.48</v>
      </c>
      <c r="E8921" s="6">
        <v>161.98</v>
      </c>
      <c r="F8921" s="11"/>
    </row>
    <row r="8922" spans="1:6">
      <c r="A8922" s="5" t="str">
        <f t="shared" si="158"/>
        <v>202335</v>
      </c>
      <c r="B8922" s="5" t="str">
        <f>"23085024818"</f>
        <v>23085024818</v>
      </c>
      <c r="C8922" s="6">
        <v>93</v>
      </c>
      <c r="D8922" s="6">
        <v>68.64</v>
      </c>
      <c r="E8922" s="6">
        <v>161.64</v>
      </c>
      <c r="F8922" s="11"/>
    </row>
    <row r="8923" spans="1:6">
      <c r="A8923" s="5" t="str">
        <f t="shared" si="158"/>
        <v>202335</v>
      </c>
      <c r="B8923" s="5" t="str">
        <f>"23085024825"</f>
        <v>23085024825</v>
      </c>
      <c r="C8923" s="6">
        <v>97.5</v>
      </c>
      <c r="D8923" s="6">
        <v>64.06</v>
      </c>
      <c r="E8923" s="6">
        <v>161.56</v>
      </c>
      <c r="F8923" s="11"/>
    </row>
    <row r="8924" spans="1:6">
      <c r="A8924" s="5" t="str">
        <f t="shared" si="158"/>
        <v>202335</v>
      </c>
      <c r="B8924" s="5" t="str">
        <f>"23085024927"</f>
        <v>23085024927</v>
      </c>
      <c r="C8924" s="6">
        <v>100.5</v>
      </c>
      <c r="D8924" s="6">
        <v>60.37</v>
      </c>
      <c r="E8924" s="6">
        <v>160.87</v>
      </c>
      <c r="F8924" s="11"/>
    </row>
    <row r="8925" spans="1:6">
      <c r="A8925" s="5" t="str">
        <f t="shared" si="158"/>
        <v>202335</v>
      </c>
      <c r="B8925" s="5" t="str">
        <f>"23085024814"</f>
        <v>23085024814</v>
      </c>
      <c r="C8925" s="6">
        <v>96</v>
      </c>
      <c r="D8925" s="6">
        <v>64.27</v>
      </c>
      <c r="E8925" s="6">
        <v>160.27</v>
      </c>
      <c r="F8925" s="11"/>
    </row>
    <row r="8926" spans="1:6">
      <c r="A8926" s="5" t="str">
        <f t="shared" si="158"/>
        <v>202335</v>
      </c>
      <c r="B8926" s="5" t="str">
        <f>"23085024413"</f>
        <v>23085024413</v>
      </c>
      <c r="C8926" s="6">
        <v>102</v>
      </c>
      <c r="D8926" s="6">
        <v>58.16</v>
      </c>
      <c r="E8926" s="6">
        <v>160.16</v>
      </c>
      <c r="F8926" s="11"/>
    </row>
    <row r="8927" spans="1:6">
      <c r="A8927" s="5" t="str">
        <f t="shared" si="158"/>
        <v>202335</v>
      </c>
      <c r="B8927" s="5" t="str">
        <f>"23085024623"</f>
        <v>23085024623</v>
      </c>
      <c r="C8927" s="6">
        <v>90</v>
      </c>
      <c r="D8927" s="6">
        <v>69.9</v>
      </c>
      <c r="E8927" s="6">
        <v>159.9</v>
      </c>
      <c r="F8927" s="11"/>
    </row>
    <row r="8928" spans="1:6">
      <c r="A8928" s="5" t="str">
        <f t="shared" si="158"/>
        <v>202335</v>
      </c>
      <c r="B8928" s="5" t="str">
        <f>"23085024915"</f>
        <v>23085024915</v>
      </c>
      <c r="C8928" s="6">
        <v>91.5</v>
      </c>
      <c r="D8928" s="6">
        <v>68.01</v>
      </c>
      <c r="E8928" s="6">
        <v>159.51</v>
      </c>
      <c r="F8928" s="11"/>
    </row>
    <row r="8929" spans="1:6">
      <c r="A8929" s="5" t="str">
        <f t="shared" si="158"/>
        <v>202335</v>
      </c>
      <c r="B8929" s="5" t="str">
        <f>"23085024928"</f>
        <v>23085024928</v>
      </c>
      <c r="C8929" s="6">
        <v>99</v>
      </c>
      <c r="D8929" s="6">
        <v>60.35</v>
      </c>
      <c r="E8929" s="6">
        <v>159.35</v>
      </c>
      <c r="F8929" s="11"/>
    </row>
    <row r="8930" spans="1:6">
      <c r="A8930" s="5" t="str">
        <f t="shared" si="158"/>
        <v>202335</v>
      </c>
      <c r="B8930" s="5" t="str">
        <f>"23085024505"</f>
        <v>23085024505</v>
      </c>
      <c r="C8930" s="6">
        <v>88.5</v>
      </c>
      <c r="D8930" s="6">
        <v>70.56</v>
      </c>
      <c r="E8930" s="6">
        <v>159.06</v>
      </c>
      <c r="F8930" s="11"/>
    </row>
    <row r="8931" spans="1:6">
      <c r="A8931" s="5" t="str">
        <f t="shared" si="158"/>
        <v>202335</v>
      </c>
      <c r="B8931" s="5" t="str">
        <f>"23085024608"</f>
        <v>23085024608</v>
      </c>
      <c r="C8931" s="6">
        <v>87</v>
      </c>
      <c r="D8931" s="6">
        <v>71.9</v>
      </c>
      <c r="E8931" s="6">
        <v>158.9</v>
      </c>
      <c r="F8931" s="11"/>
    </row>
    <row r="8932" spans="1:6">
      <c r="A8932" s="5" t="str">
        <f t="shared" si="158"/>
        <v>202335</v>
      </c>
      <c r="B8932" s="5" t="str">
        <f>"23085024508"</f>
        <v>23085024508</v>
      </c>
      <c r="C8932" s="6">
        <v>88.5</v>
      </c>
      <c r="D8932" s="6">
        <v>69.72</v>
      </c>
      <c r="E8932" s="6">
        <v>158.22</v>
      </c>
      <c r="F8932" s="11"/>
    </row>
    <row r="8933" spans="1:6">
      <c r="A8933" s="5" t="str">
        <f t="shared" si="158"/>
        <v>202335</v>
      </c>
      <c r="B8933" s="5" t="str">
        <f>"23085024712"</f>
        <v>23085024712</v>
      </c>
      <c r="C8933" s="6">
        <v>93</v>
      </c>
      <c r="D8933" s="6">
        <v>64.64</v>
      </c>
      <c r="E8933" s="6">
        <v>157.64</v>
      </c>
      <c r="F8933" s="11"/>
    </row>
    <row r="8934" spans="1:6">
      <c r="A8934" s="5" t="str">
        <f t="shared" si="158"/>
        <v>202335</v>
      </c>
      <c r="B8934" s="5" t="str">
        <f>"23085024410"</f>
        <v>23085024410</v>
      </c>
      <c r="C8934" s="6">
        <v>93</v>
      </c>
      <c r="D8934" s="6">
        <v>64.14</v>
      </c>
      <c r="E8934" s="6">
        <v>157.14</v>
      </c>
      <c r="F8934" s="11"/>
    </row>
    <row r="8935" spans="1:6">
      <c r="A8935" s="5" t="str">
        <f t="shared" si="158"/>
        <v>202335</v>
      </c>
      <c r="B8935" s="5" t="str">
        <f>"23085024905"</f>
        <v>23085024905</v>
      </c>
      <c r="C8935" s="6">
        <v>87</v>
      </c>
      <c r="D8935" s="6">
        <v>70.09</v>
      </c>
      <c r="E8935" s="6">
        <v>157.09</v>
      </c>
      <c r="F8935" s="11"/>
    </row>
    <row r="8936" spans="1:6">
      <c r="A8936" s="5" t="str">
        <f t="shared" si="158"/>
        <v>202335</v>
      </c>
      <c r="B8936" s="5" t="str">
        <f>"23085024809"</f>
        <v>23085024809</v>
      </c>
      <c r="C8936" s="6">
        <v>97.5</v>
      </c>
      <c r="D8936" s="6">
        <v>59.53</v>
      </c>
      <c r="E8936" s="6">
        <v>157.03</v>
      </c>
      <c r="F8936" s="11"/>
    </row>
    <row r="8937" spans="1:6">
      <c r="A8937" s="5" t="str">
        <f t="shared" si="158"/>
        <v>202335</v>
      </c>
      <c r="B8937" s="5" t="str">
        <f>"23085024718"</f>
        <v>23085024718</v>
      </c>
      <c r="C8937" s="6">
        <v>88.5</v>
      </c>
      <c r="D8937" s="6">
        <v>67.87</v>
      </c>
      <c r="E8937" s="6">
        <v>156.37</v>
      </c>
      <c r="F8937" s="11"/>
    </row>
    <row r="8938" spans="1:6">
      <c r="A8938" s="5" t="str">
        <f t="shared" si="158"/>
        <v>202335</v>
      </c>
      <c r="B8938" s="5" t="str">
        <f>"23085024407"</f>
        <v>23085024407</v>
      </c>
      <c r="C8938" s="6">
        <v>81</v>
      </c>
      <c r="D8938" s="6">
        <v>75.06</v>
      </c>
      <c r="E8938" s="6">
        <v>156.06</v>
      </c>
      <c r="F8938" s="11"/>
    </row>
    <row r="8939" spans="1:6">
      <c r="A8939" s="5" t="str">
        <f t="shared" si="158"/>
        <v>202335</v>
      </c>
      <c r="B8939" s="5" t="str">
        <f>"23085024821"</f>
        <v>23085024821</v>
      </c>
      <c r="C8939" s="6">
        <v>88.5</v>
      </c>
      <c r="D8939" s="6">
        <v>67.46</v>
      </c>
      <c r="E8939" s="6">
        <v>155.96</v>
      </c>
      <c r="F8939" s="11"/>
    </row>
    <row r="8940" spans="1:6">
      <c r="A8940" s="5" t="str">
        <f t="shared" ref="A8940:A9003" si="159">"202335"</f>
        <v>202335</v>
      </c>
      <c r="B8940" s="5" t="str">
        <f>"23085024514"</f>
        <v>23085024514</v>
      </c>
      <c r="C8940" s="6">
        <v>88.5</v>
      </c>
      <c r="D8940" s="6">
        <v>67.4</v>
      </c>
      <c r="E8940" s="6">
        <v>155.9</v>
      </c>
      <c r="F8940" s="11"/>
    </row>
    <row r="8941" spans="1:6">
      <c r="A8941" s="5" t="str">
        <f t="shared" si="159"/>
        <v>202335</v>
      </c>
      <c r="B8941" s="5" t="str">
        <f>"23085024830"</f>
        <v>23085024830</v>
      </c>
      <c r="C8941" s="6">
        <v>78</v>
      </c>
      <c r="D8941" s="6">
        <v>77.51</v>
      </c>
      <c r="E8941" s="6">
        <v>155.51</v>
      </c>
      <c r="F8941" s="11"/>
    </row>
    <row r="8942" spans="1:6">
      <c r="A8942" s="5" t="str">
        <f t="shared" si="159"/>
        <v>202335</v>
      </c>
      <c r="B8942" s="5" t="str">
        <f>"23085024826"</f>
        <v>23085024826</v>
      </c>
      <c r="C8942" s="6">
        <v>99</v>
      </c>
      <c r="D8942" s="6">
        <v>56.27</v>
      </c>
      <c r="E8942" s="6">
        <v>155.27</v>
      </c>
      <c r="F8942" s="11"/>
    </row>
    <row r="8943" spans="1:6">
      <c r="A8943" s="5" t="str">
        <f t="shared" si="159"/>
        <v>202335</v>
      </c>
      <c r="B8943" s="5" t="str">
        <f>"23085024528"</f>
        <v>23085024528</v>
      </c>
      <c r="C8943" s="6">
        <v>91.5</v>
      </c>
      <c r="D8943" s="6">
        <v>63.27</v>
      </c>
      <c r="E8943" s="6">
        <v>154.77</v>
      </c>
      <c r="F8943" s="11"/>
    </row>
    <row r="8944" spans="1:6">
      <c r="A8944" s="5" t="str">
        <f t="shared" si="159"/>
        <v>202335</v>
      </c>
      <c r="B8944" s="5" t="str">
        <f>"23085024613"</f>
        <v>23085024613</v>
      </c>
      <c r="C8944" s="6">
        <v>87</v>
      </c>
      <c r="D8944" s="6">
        <v>67.69</v>
      </c>
      <c r="E8944" s="6">
        <v>154.69</v>
      </c>
      <c r="F8944" s="11"/>
    </row>
    <row r="8945" spans="1:6">
      <c r="A8945" s="5" t="str">
        <f t="shared" si="159"/>
        <v>202335</v>
      </c>
      <c r="B8945" s="5" t="str">
        <f>"23085024615"</f>
        <v>23085024615</v>
      </c>
      <c r="C8945" s="6">
        <v>82.5</v>
      </c>
      <c r="D8945" s="6">
        <v>72.06</v>
      </c>
      <c r="E8945" s="6">
        <v>154.56</v>
      </c>
      <c r="F8945" s="11"/>
    </row>
    <row r="8946" spans="1:6">
      <c r="A8946" s="5" t="str">
        <f t="shared" si="159"/>
        <v>202335</v>
      </c>
      <c r="B8946" s="5" t="str">
        <f>"23085024908"</f>
        <v>23085024908</v>
      </c>
      <c r="C8946" s="6">
        <v>88.5</v>
      </c>
      <c r="D8946" s="6">
        <v>65.77</v>
      </c>
      <c r="E8946" s="6">
        <v>154.27</v>
      </c>
      <c r="F8946" s="11"/>
    </row>
    <row r="8947" spans="1:6">
      <c r="A8947" s="5" t="str">
        <f t="shared" si="159"/>
        <v>202335</v>
      </c>
      <c r="B8947" s="5" t="str">
        <f>"23085024617"</f>
        <v>23085024617</v>
      </c>
      <c r="C8947" s="6">
        <v>93</v>
      </c>
      <c r="D8947" s="6">
        <v>61.22</v>
      </c>
      <c r="E8947" s="6">
        <v>154.22</v>
      </c>
      <c r="F8947" s="11"/>
    </row>
    <row r="8948" spans="1:6">
      <c r="A8948" s="5" t="str">
        <f t="shared" si="159"/>
        <v>202335</v>
      </c>
      <c r="B8948" s="5" t="str">
        <f>"23085024715"</f>
        <v>23085024715</v>
      </c>
      <c r="C8948" s="6">
        <v>82.5</v>
      </c>
      <c r="D8948" s="6">
        <v>71.4</v>
      </c>
      <c r="E8948" s="6">
        <v>153.9</v>
      </c>
      <c r="F8948" s="11"/>
    </row>
    <row r="8949" spans="1:6">
      <c r="A8949" s="5" t="str">
        <f t="shared" si="159"/>
        <v>202335</v>
      </c>
      <c r="B8949" s="5" t="str">
        <f>"23085024627"</f>
        <v>23085024627</v>
      </c>
      <c r="C8949" s="6">
        <v>90</v>
      </c>
      <c r="D8949" s="6">
        <v>63.51</v>
      </c>
      <c r="E8949" s="6">
        <v>153.51</v>
      </c>
      <c r="F8949" s="11"/>
    </row>
    <row r="8950" spans="1:6">
      <c r="A8950" s="5" t="str">
        <f t="shared" si="159"/>
        <v>202335</v>
      </c>
      <c r="B8950" s="5" t="str">
        <f>"23085024815"</f>
        <v>23085024815</v>
      </c>
      <c r="C8950" s="6">
        <v>88.5</v>
      </c>
      <c r="D8950" s="6">
        <v>64.77</v>
      </c>
      <c r="E8950" s="6">
        <v>153.27</v>
      </c>
      <c r="F8950" s="11"/>
    </row>
    <row r="8951" spans="1:6">
      <c r="A8951" s="5" t="str">
        <f t="shared" si="159"/>
        <v>202335</v>
      </c>
      <c r="B8951" s="5" t="str">
        <f>"23085025006"</f>
        <v>23085025006</v>
      </c>
      <c r="C8951" s="6">
        <v>88.5</v>
      </c>
      <c r="D8951" s="6">
        <v>64.69</v>
      </c>
      <c r="E8951" s="6">
        <v>153.19</v>
      </c>
      <c r="F8951" s="11"/>
    </row>
    <row r="8952" spans="1:6">
      <c r="A8952" s="5" t="str">
        <f t="shared" si="159"/>
        <v>202335</v>
      </c>
      <c r="B8952" s="5" t="str">
        <f>"23085024503"</f>
        <v>23085024503</v>
      </c>
      <c r="C8952" s="6">
        <v>81</v>
      </c>
      <c r="D8952" s="6">
        <v>71.95</v>
      </c>
      <c r="E8952" s="6">
        <v>152.95</v>
      </c>
      <c r="F8952" s="11"/>
    </row>
    <row r="8953" spans="1:6">
      <c r="A8953" s="5" t="str">
        <f t="shared" si="159"/>
        <v>202335</v>
      </c>
      <c r="B8953" s="5" t="str">
        <f>"23085024920"</f>
        <v>23085024920</v>
      </c>
      <c r="C8953" s="6">
        <v>88.5</v>
      </c>
      <c r="D8953" s="6">
        <v>63.98</v>
      </c>
      <c r="E8953" s="6">
        <v>152.48</v>
      </c>
      <c r="F8953" s="11"/>
    </row>
    <row r="8954" spans="1:6">
      <c r="A8954" s="5" t="str">
        <f t="shared" si="159"/>
        <v>202335</v>
      </c>
      <c r="B8954" s="5" t="str">
        <f>"23085024517"</f>
        <v>23085024517</v>
      </c>
      <c r="C8954" s="6">
        <v>93</v>
      </c>
      <c r="D8954" s="6">
        <v>58.85</v>
      </c>
      <c r="E8954" s="6">
        <v>151.85</v>
      </c>
      <c r="F8954" s="11"/>
    </row>
    <row r="8955" spans="1:6">
      <c r="A8955" s="5" t="str">
        <f t="shared" si="159"/>
        <v>202335</v>
      </c>
      <c r="B8955" s="5" t="str">
        <f>"23085024708"</f>
        <v>23085024708</v>
      </c>
      <c r="C8955" s="6">
        <v>91.5</v>
      </c>
      <c r="D8955" s="6">
        <v>60.11</v>
      </c>
      <c r="E8955" s="6">
        <v>151.61</v>
      </c>
      <c r="F8955" s="11"/>
    </row>
    <row r="8956" spans="1:6">
      <c r="A8956" s="5" t="str">
        <f t="shared" si="159"/>
        <v>202335</v>
      </c>
      <c r="B8956" s="5" t="str">
        <f>"23085024610"</f>
        <v>23085024610</v>
      </c>
      <c r="C8956" s="6">
        <v>93</v>
      </c>
      <c r="D8956" s="6">
        <v>57.77</v>
      </c>
      <c r="E8956" s="6">
        <v>150.77</v>
      </c>
      <c r="F8956" s="11"/>
    </row>
    <row r="8957" spans="1:6">
      <c r="A8957" s="5" t="str">
        <f t="shared" si="159"/>
        <v>202335</v>
      </c>
      <c r="B8957" s="5" t="str">
        <f>"23085024529"</f>
        <v>23085024529</v>
      </c>
      <c r="C8957" s="6">
        <v>84</v>
      </c>
      <c r="D8957" s="6">
        <v>66.53</v>
      </c>
      <c r="E8957" s="6">
        <v>150.53</v>
      </c>
      <c r="F8957" s="11"/>
    </row>
    <row r="8958" spans="1:6">
      <c r="A8958" s="5" t="str">
        <f t="shared" si="159"/>
        <v>202335</v>
      </c>
      <c r="B8958" s="5" t="str">
        <f>"23085024909"</f>
        <v>23085024909</v>
      </c>
      <c r="C8958" s="6">
        <v>79.5</v>
      </c>
      <c r="D8958" s="6">
        <v>70.74</v>
      </c>
      <c r="E8958" s="6">
        <v>150.24</v>
      </c>
      <c r="F8958" s="11"/>
    </row>
    <row r="8959" spans="1:6">
      <c r="A8959" s="5" t="str">
        <f t="shared" si="159"/>
        <v>202335</v>
      </c>
      <c r="B8959" s="5" t="str">
        <f>"23085024618"</f>
        <v>23085024618</v>
      </c>
      <c r="C8959" s="6">
        <v>90</v>
      </c>
      <c r="D8959" s="6">
        <v>59.32</v>
      </c>
      <c r="E8959" s="6">
        <v>149.32</v>
      </c>
      <c r="F8959" s="11"/>
    </row>
    <row r="8960" spans="1:6">
      <c r="A8960" s="5" t="str">
        <f t="shared" si="159"/>
        <v>202335</v>
      </c>
      <c r="B8960" s="5" t="str">
        <f>"23085024519"</f>
        <v>23085024519</v>
      </c>
      <c r="C8960" s="6">
        <v>91.5</v>
      </c>
      <c r="D8960" s="6">
        <v>57.77</v>
      </c>
      <c r="E8960" s="6">
        <v>149.27</v>
      </c>
      <c r="F8960" s="11"/>
    </row>
    <row r="8961" spans="1:6">
      <c r="A8961" s="5" t="str">
        <f t="shared" si="159"/>
        <v>202335</v>
      </c>
      <c r="B8961" s="5" t="str">
        <f>"23085024511"</f>
        <v>23085024511</v>
      </c>
      <c r="C8961" s="6">
        <v>78</v>
      </c>
      <c r="D8961" s="6">
        <v>70.95</v>
      </c>
      <c r="E8961" s="6">
        <v>148.95</v>
      </c>
      <c r="F8961" s="11"/>
    </row>
    <row r="8962" spans="1:6">
      <c r="A8962" s="5" t="str">
        <f t="shared" si="159"/>
        <v>202335</v>
      </c>
      <c r="B8962" s="5" t="str">
        <f>"23085024601"</f>
        <v>23085024601</v>
      </c>
      <c r="C8962" s="6">
        <v>93</v>
      </c>
      <c r="D8962" s="6">
        <v>55.06</v>
      </c>
      <c r="E8962" s="6">
        <v>148.06</v>
      </c>
      <c r="F8962" s="11"/>
    </row>
    <row r="8963" spans="1:6">
      <c r="A8963" s="5" t="str">
        <f t="shared" si="159"/>
        <v>202335</v>
      </c>
      <c r="B8963" s="5" t="str">
        <f>"23085025003"</f>
        <v>23085025003</v>
      </c>
      <c r="C8963" s="6">
        <v>93</v>
      </c>
      <c r="D8963" s="6">
        <v>54.9</v>
      </c>
      <c r="E8963" s="6">
        <v>147.9</v>
      </c>
      <c r="F8963" s="11"/>
    </row>
    <row r="8964" spans="1:6">
      <c r="A8964" s="5" t="str">
        <f t="shared" si="159"/>
        <v>202335</v>
      </c>
      <c r="B8964" s="5" t="str">
        <f>"23085024406"</f>
        <v>23085024406</v>
      </c>
      <c r="C8964" s="6">
        <v>81</v>
      </c>
      <c r="D8964" s="6">
        <v>66.64</v>
      </c>
      <c r="E8964" s="6">
        <v>147.64</v>
      </c>
      <c r="F8964" s="11"/>
    </row>
    <row r="8965" spans="1:6">
      <c r="A8965" s="5" t="str">
        <f t="shared" si="159"/>
        <v>202335</v>
      </c>
      <c r="B8965" s="5" t="str">
        <f>"23085024723"</f>
        <v>23085024723</v>
      </c>
      <c r="C8965" s="6">
        <v>90</v>
      </c>
      <c r="D8965" s="6">
        <v>57.56</v>
      </c>
      <c r="E8965" s="6">
        <v>147.56</v>
      </c>
      <c r="F8965" s="11"/>
    </row>
    <row r="8966" spans="1:6">
      <c r="A8966" s="5" t="str">
        <f t="shared" si="159"/>
        <v>202335</v>
      </c>
      <c r="B8966" s="5" t="str">
        <f>"23085024416"</f>
        <v>23085024416</v>
      </c>
      <c r="C8966" s="6">
        <v>81</v>
      </c>
      <c r="D8966" s="6">
        <v>66.22</v>
      </c>
      <c r="E8966" s="6">
        <v>147.22</v>
      </c>
      <c r="F8966" s="11"/>
    </row>
    <row r="8967" spans="1:6">
      <c r="A8967" s="5" t="str">
        <f t="shared" si="159"/>
        <v>202335</v>
      </c>
      <c r="B8967" s="5" t="str">
        <f>"23085024404"</f>
        <v>23085024404</v>
      </c>
      <c r="C8967" s="6">
        <v>84</v>
      </c>
      <c r="D8967" s="6">
        <v>63.03</v>
      </c>
      <c r="E8967" s="6">
        <v>147.03</v>
      </c>
      <c r="F8967" s="11"/>
    </row>
    <row r="8968" spans="1:6">
      <c r="A8968" s="5" t="str">
        <f t="shared" si="159"/>
        <v>202335</v>
      </c>
      <c r="B8968" s="5" t="str">
        <f>"23085024729"</f>
        <v>23085024729</v>
      </c>
      <c r="C8968" s="6">
        <v>82.5</v>
      </c>
      <c r="D8968" s="6">
        <v>64.48</v>
      </c>
      <c r="E8968" s="6">
        <v>146.98</v>
      </c>
      <c r="F8968" s="11"/>
    </row>
    <row r="8969" spans="1:6">
      <c r="A8969" s="5" t="str">
        <f t="shared" si="159"/>
        <v>202335</v>
      </c>
      <c r="B8969" s="5" t="str">
        <f>"23085024612"</f>
        <v>23085024612</v>
      </c>
      <c r="C8969" s="6">
        <v>81</v>
      </c>
      <c r="D8969" s="6">
        <v>65.9</v>
      </c>
      <c r="E8969" s="6">
        <v>146.9</v>
      </c>
      <c r="F8969" s="11"/>
    </row>
    <row r="8970" spans="1:6">
      <c r="A8970" s="5" t="str">
        <f t="shared" si="159"/>
        <v>202335</v>
      </c>
      <c r="B8970" s="5" t="str">
        <f>"23085024802"</f>
        <v>23085024802</v>
      </c>
      <c r="C8970" s="6">
        <v>82.5</v>
      </c>
      <c r="D8970" s="6">
        <v>64.32</v>
      </c>
      <c r="E8970" s="6">
        <v>146.82</v>
      </c>
      <c r="F8970" s="11"/>
    </row>
    <row r="8971" spans="1:6">
      <c r="A8971" s="5" t="str">
        <f t="shared" si="159"/>
        <v>202335</v>
      </c>
      <c r="B8971" s="5" t="str">
        <f>"23085024816"</f>
        <v>23085024816</v>
      </c>
      <c r="C8971" s="6">
        <v>97.5</v>
      </c>
      <c r="D8971" s="6">
        <v>49.01</v>
      </c>
      <c r="E8971" s="6">
        <v>146.51</v>
      </c>
      <c r="F8971" s="11"/>
    </row>
    <row r="8972" spans="1:6">
      <c r="A8972" s="5" t="str">
        <f t="shared" si="159"/>
        <v>202335</v>
      </c>
      <c r="B8972" s="5" t="str">
        <f>"23085024509"</f>
        <v>23085024509</v>
      </c>
      <c r="C8972" s="6">
        <v>84</v>
      </c>
      <c r="D8972" s="6">
        <v>62.14</v>
      </c>
      <c r="E8972" s="6">
        <v>146.14</v>
      </c>
      <c r="F8972" s="11"/>
    </row>
    <row r="8973" spans="1:6">
      <c r="A8973" s="5" t="str">
        <f t="shared" si="159"/>
        <v>202335</v>
      </c>
      <c r="B8973" s="5" t="str">
        <f>"23085024710"</f>
        <v>23085024710</v>
      </c>
      <c r="C8973" s="6">
        <v>82.5</v>
      </c>
      <c r="D8973" s="6">
        <v>62.5</v>
      </c>
      <c r="E8973" s="6">
        <v>145</v>
      </c>
      <c r="F8973" s="11"/>
    </row>
    <row r="8974" spans="1:6">
      <c r="A8974" s="5" t="str">
        <f t="shared" si="159"/>
        <v>202335</v>
      </c>
      <c r="B8974" s="5" t="str">
        <f>"23085024501"</f>
        <v>23085024501</v>
      </c>
      <c r="C8974" s="6">
        <v>91.5</v>
      </c>
      <c r="D8974" s="6">
        <v>53.24</v>
      </c>
      <c r="E8974" s="6">
        <v>144.74</v>
      </c>
      <c r="F8974" s="11"/>
    </row>
    <row r="8975" spans="1:6">
      <c r="A8975" s="5" t="str">
        <f t="shared" si="159"/>
        <v>202335</v>
      </c>
      <c r="B8975" s="5" t="str">
        <f>"23085024409"</f>
        <v>23085024409</v>
      </c>
      <c r="C8975" s="6">
        <v>88.5</v>
      </c>
      <c r="D8975" s="6">
        <v>55.69</v>
      </c>
      <c r="E8975" s="6">
        <v>144.19</v>
      </c>
      <c r="F8975" s="11"/>
    </row>
    <row r="8976" spans="1:6">
      <c r="A8976" s="5" t="str">
        <f t="shared" si="159"/>
        <v>202335</v>
      </c>
      <c r="B8976" s="5" t="str">
        <f>"23085024412"</f>
        <v>23085024412</v>
      </c>
      <c r="C8976" s="6">
        <v>87</v>
      </c>
      <c r="D8976" s="6">
        <v>57.11</v>
      </c>
      <c r="E8976" s="6">
        <v>144.11</v>
      </c>
      <c r="F8976" s="11"/>
    </row>
    <row r="8977" spans="1:6">
      <c r="A8977" s="5" t="str">
        <f t="shared" si="159"/>
        <v>202335</v>
      </c>
      <c r="B8977" s="5" t="str">
        <f>"23085024402"</f>
        <v>23085024402</v>
      </c>
      <c r="C8977" s="6">
        <v>84</v>
      </c>
      <c r="D8977" s="6">
        <v>59.56</v>
      </c>
      <c r="E8977" s="6">
        <v>143.56</v>
      </c>
      <c r="F8977" s="11"/>
    </row>
    <row r="8978" spans="1:6">
      <c r="A8978" s="5" t="str">
        <f t="shared" si="159"/>
        <v>202335</v>
      </c>
      <c r="B8978" s="5" t="str">
        <f>"23085024422"</f>
        <v>23085024422</v>
      </c>
      <c r="C8978" s="6">
        <v>82.5</v>
      </c>
      <c r="D8978" s="6">
        <v>59.69</v>
      </c>
      <c r="E8978" s="6">
        <v>142.19</v>
      </c>
      <c r="F8978" s="11"/>
    </row>
    <row r="8979" spans="1:6">
      <c r="A8979" s="5" t="str">
        <f t="shared" si="159"/>
        <v>202335</v>
      </c>
      <c r="B8979" s="5" t="str">
        <f>"23085024707"</f>
        <v>23085024707</v>
      </c>
      <c r="C8979" s="6">
        <v>91.5</v>
      </c>
      <c r="D8979" s="6">
        <v>48.66</v>
      </c>
      <c r="E8979" s="6">
        <v>140.16</v>
      </c>
      <c r="F8979" s="11"/>
    </row>
    <row r="8980" spans="1:6">
      <c r="A8980" s="5" t="str">
        <f t="shared" si="159"/>
        <v>202335</v>
      </c>
      <c r="B8980" s="5" t="str">
        <f>"23085024829"</f>
        <v>23085024829</v>
      </c>
      <c r="C8980" s="6">
        <v>78</v>
      </c>
      <c r="D8980" s="6">
        <v>62.09</v>
      </c>
      <c r="E8980" s="6">
        <v>140.09</v>
      </c>
      <c r="F8980" s="11"/>
    </row>
    <row r="8981" spans="1:6">
      <c r="A8981" s="5" t="str">
        <f t="shared" si="159"/>
        <v>202335</v>
      </c>
      <c r="B8981" s="5" t="str">
        <f>"23085024801"</f>
        <v>23085024801</v>
      </c>
      <c r="C8981" s="6">
        <v>88.5</v>
      </c>
      <c r="D8981" s="6">
        <v>51.53</v>
      </c>
      <c r="E8981" s="6">
        <v>140.03</v>
      </c>
      <c r="F8981" s="11"/>
    </row>
    <row r="8982" spans="1:6">
      <c r="A8982" s="5" t="str">
        <f t="shared" si="159"/>
        <v>202335</v>
      </c>
      <c r="B8982" s="5" t="str">
        <f>"23085024804"</f>
        <v>23085024804</v>
      </c>
      <c r="C8982" s="6">
        <v>76.5</v>
      </c>
      <c r="D8982" s="6">
        <v>63.03</v>
      </c>
      <c r="E8982" s="6">
        <v>139.53</v>
      </c>
      <c r="F8982" s="11"/>
    </row>
    <row r="8983" spans="1:6">
      <c r="A8983" s="5" t="str">
        <f t="shared" si="159"/>
        <v>202335</v>
      </c>
      <c r="B8983" s="5" t="str">
        <f>"23085024917"</f>
        <v>23085024917</v>
      </c>
      <c r="C8983" s="6">
        <v>75</v>
      </c>
      <c r="D8983" s="6">
        <v>64.16</v>
      </c>
      <c r="E8983" s="6">
        <v>139.16</v>
      </c>
      <c r="F8983" s="11"/>
    </row>
    <row r="8984" spans="1:6">
      <c r="A8984" s="5" t="str">
        <f t="shared" si="159"/>
        <v>202335</v>
      </c>
      <c r="B8984" s="5" t="str">
        <f>"23085025007"</f>
        <v>23085025007</v>
      </c>
      <c r="C8984" s="6">
        <v>90</v>
      </c>
      <c r="D8984" s="6">
        <v>48.43</v>
      </c>
      <c r="E8984" s="6">
        <v>138.43</v>
      </c>
      <c r="F8984" s="11"/>
    </row>
    <row r="8985" spans="1:6">
      <c r="A8985" s="5" t="str">
        <f t="shared" si="159"/>
        <v>202335</v>
      </c>
      <c r="B8985" s="5" t="str">
        <f>"23085024902"</f>
        <v>23085024902</v>
      </c>
      <c r="C8985" s="6">
        <v>81</v>
      </c>
      <c r="D8985" s="6">
        <v>57.22</v>
      </c>
      <c r="E8985" s="6">
        <v>138.22</v>
      </c>
      <c r="F8985" s="11"/>
    </row>
    <row r="8986" spans="1:6">
      <c r="A8986" s="5" t="str">
        <f t="shared" si="159"/>
        <v>202335</v>
      </c>
      <c r="B8986" s="5" t="str">
        <f>"23085024626"</f>
        <v>23085024626</v>
      </c>
      <c r="C8986" s="6">
        <v>87</v>
      </c>
      <c r="D8986" s="6">
        <v>50.43</v>
      </c>
      <c r="E8986" s="6">
        <v>137.43</v>
      </c>
      <c r="F8986" s="11"/>
    </row>
    <row r="8987" spans="1:6">
      <c r="A8987" s="5" t="str">
        <f t="shared" si="159"/>
        <v>202335</v>
      </c>
      <c r="B8987" s="5" t="str">
        <f>"23085024606"</f>
        <v>23085024606</v>
      </c>
      <c r="C8987" s="6">
        <v>81</v>
      </c>
      <c r="D8987" s="6">
        <v>56.19</v>
      </c>
      <c r="E8987" s="6">
        <v>137.19</v>
      </c>
      <c r="F8987" s="11"/>
    </row>
    <row r="8988" spans="1:6">
      <c r="A8988" s="5" t="str">
        <f t="shared" si="159"/>
        <v>202335</v>
      </c>
      <c r="B8988" s="5" t="str">
        <f>"23085024522"</f>
        <v>23085024522</v>
      </c>
      <c r="C8988" s="6">
        <v>79.5</v>
      </c>
      <c r="D8988" s="6">
        <v>57.5</v>
      </c>
      <c r="E8988" s="6">
        <v>137</v>
      </c>
      <c r="F8988" s="11"/>
    </row>
    <row r="8989" spans="1:6">
      <c r="A8989" s="5" t="str">
        <f t="shared" si="159"/>
        <v>202335</v>
      </c>
      <c r="B8989" s="5" t="str">
        <f>"23085024602"</f>
        <v>23085024602</v>
      </c>
      <c r="C8989" s="6">
        <v>82.5</v>
      </c>
      <c r="D8989" s="6">
        <v>54.48</v>
      </c>
      <c r="E8989" s="6">
        <v>136.98</v>
      </c>
      <c r="F8989" s="11"/>
    </row>
    <row r="8990" spans="1:6">
      <c r="A8990" s="5" t="str">
        <f t="shared" si="159"/>
        <v>202335</v>
      </c>
      <c r="B8990" s="5" t="str">
        <f>"23085024727"</f>
        <v>23085024727</v>
      </c>
      <c r="C8990" s="6">
        <v>84</v>
      </c>
      <c r="D8990" s="6">
        <v>51.98</v>
      </c>
      <c r="E8990" s="6">
        <v>135.98</v>
      </c>
      <c r="F8990" s="11"/>
    </row>
    <row r="8991" spans="1:6">
      <c r="A8991" s="5" t="str">
        <f t="shared" si="159"/>
        <v>202335</v>
      </c>
      <c r="B8991" s="5" t="str">
        <f>"23085024726"</f>
        <v>23085024726</v>
      </c>
      <c r="C8991" s="6">
        <v>84</v>
      </c>
      <c r="D8991" s="6">
        <v>51.85</v>
      </c>
      <c r="E8991" s="6">
        <v>135.85</v>
      </c>
      <c r="F8991" s="11"/>
    </row>
    <row r="8992" spans="1:6">
      <c r="A8992" s="5" t="str">
        <f t="shared" si="159"/>
        <v>202335</v>
      </c>
      <c r="B8992" s="5" t="str">
        <f>"23085024424"</f>
        <v>23085024424</v>
      </c>
      <c r="C8992" s="6">
        <v>79.5</v>
      </c>
      <c r="D8992" s="6">
        <v>56.19</v>
      </c>
      <c r="E8992" s="6">
        <v>135.69</v>
      </c>
      <c r="F8992" s="11"/>
    </row>
    <row r="8993" spans="1:6">
      <c r="A8993" s="5" t="str">
        <f t="shared" si="159"/>
        <v>202335</v>
      </c>
      <c r="B8993" s="5" t="str">
        <f>"23085024605"</f>
        <v>23085024605</v>
      </c>
      <c r="C8993" s="6">
        <v>79.5</v>
      </c>
      <c r="D8993" s="6">
        <v>56.06</v>
      </c>
      <c r="E8993" s="6">
        <v>135.56</v>
      </c>
      <c r="F8993" s="11"/>
    </row>
    <row r="8994" spans="1:6">
      <c r="A8994" s="5" t="str">
        <f t="shared" si="159"/>
        <v>202335</v>
      </c>
      <c r="B8994" s="5" t="str">
        <f>"23085024812"</f>
        <v>23085024812</v>
      </c>
      <c r="C8994" s="6">
        <v>96</v>
      </c>
      <c r="D8994" s="6">
        <v>39.01</v>
      </c>
      <c r="E8994" s="6">
        <v>135.01</v>
      </c>
      <c r="F8994" s="11"/>
    </row>
    <row r="8995" spans="1:6">
      <c r="A8995" s="5" t="str">
        <f t="shared" si="159"/>
        <v>202335</v>
      </c>
      <c r="B8995" s="5" t="str">
        <f>"23085024720"</f>
        <v>23085024720</v>
      </c>
      <c r="C8995" s="6">
        <v>84</v>
      </c>
      <c r="D8995" s="6">
        <v>50.72</v>
      </c>
      <c r="E8995" s="6">
        <v>134.72</v>
      </c>
      <c r="F8995" s="11"/>
    </row>
    <row r="8996" spans="1:6">
      <c r="A8996" s="5" t="str">
        <f t="shared" si="159"/>
        <v>202335</v>
      </c>
      <c r="B8996" s="5" t="str">
        <f>"23085024916"</f>
        <v>23085024916</v>
      </c>
      <c r="C8996" s="6">
        <v>70.5</v>
      </c>
      <c r="D8996" s="6">
        <v>64.06</v>
      </c>
      <c r="E8996" s="6">
        <v>134.56</v>
      </c>
      <c r="F8996" s="11"/>
    </row>
    <row r="8997" spans="1:6">
      <c r="A8997" s="5" t="str">
        <f t="shared" si="159"/>
        <v>202335</v>
      </c>
      <c r="B8997" s="5" t="str">
        <f>"23085024502"</f>
        <v>23085024502</v>
      </c>
      <c r="C8997" s="6">
        <v>81</v>
      </c>
      <c r="D8997" s="6">
        <v>51.72</v>
      </c>
      <c r="E8997" s="6">
        <v>132.72</v>
      </c>
      <c r="F8997" s="11"/>
    </row>
    <row r="8998" spans="1:6">
      <c r="A8998" s="5" t="str">
        <f t="shared" si="159"/>
        <v>202335</v>
      </c>
      <c r="B8998" s="5" t="str">
        <f>"23085024827"</f>
        <v>23085024827</v>
      </c>
      <c r="C8998" s="6">
        <v>87</v>
      </c>
      <c r="D8998" s="6">
        <v>45.32</v>
      </c>
      <c r="E8998" s="6">
        <v>132.32</v>
      </c>
      <c r="F8998" s="11"/>
    </row>
    <row r="8999" spans="1:6">
      <c r="A8999" s="5" t="str">
        <f t="shared" si="159"/>
        <v>202335</v>
      </c>
      <c r="B8999" s="5" t="str">
        <f>"23085024510"</f>
        <v>23085024510</v>
      </c>
      <c r="C8999" s="6">
        <v>73.5</v>
      </c>
      <c r="D8999" s="6">
        <v>57.85</v>
      </c>
      <c r="E8999" s="6">
        <v>131.35</v>
      </c>
      <c r="F8999" s="11"/>
    </row>
    <row r="9000" spans="1:6">
      <c r="A9000" s="5" t="str">
        <f t="shared" si="159"/>
        <v>202335</v>
      </c>
      <c r="B9000" s="5" t="str">
        <f>"23085024527"</f>
        <v>23085024527</v>
      </c>
      <c r="C9000" s="6">
        <v>73.5</v>
      </c>
      <c r="D9000" s="6">
        <v>56.85</v>
      </c>
      <c r="E9000" s="6">
        <v>130.35</v>
      </c>
      <c r="F9000" s="11"/>
    </row>
    <row r="9001" spans="1:6">
      <c r="A9001" s="5" t="str">
        <f t="shared" si="159"/>
        <v>202335</v>
      </c>
      <c r="B9001" s="5" t="str">
        <f>"23085024714"</f>
        <v>23085024714</v>
      </c>
      <c r="C9001" s="6">
        <v>78</v>
      </c>
      <c r="D9001" s="6">
        <v>51.98</v>
      </c>
      <c r="E9001" s="6">
        <v>129.98</v>
      </c>
      <c r="F9001" s="11"/>
    </row>
    <row r="9002" spans="1:6">
      <c r="A9002" s="5" t="str">
        <f t="shared" si="159"/>
        <v>202335</v>
      </c>
      <c r="B9002" s="5" t="str">
        <f>"23085024628"</f>
        <v>23085024628</v>
      </c>
      <c r="C9002" s="6">
        <v>82.5</v>
      </c>
      <c r="D9002" s="6">
        <v>47.37</v>
      </c>
      <c r="E9002" s="6">
        <v>129.87</v>
      </c>
      <c r="F9002" s="11"/>
    </row>
    <row r="9003" spans="1:6">
      <c r="A9003" s="5" t="str">
        <f t="shared" si="159"/>
        <v>202335</v>
      </c>
      <c r="B9003" s="5" t="str">
        <f>"23085024521"</f>
        <v>23085024521</v>
      </c>
      <c r="C9003" s="6">
        <v>72</v>
      </c>
      <c r="D9003" s="6">
        <v>57.51</v>
      </c>
      <c r="E9003" s="6">
        <v>129.51</v>
      </c>
      <c r="F9003" s="11"/>
    </row>
    <row r="9004" spans="1:6">
      <c r="A9004" s="5" t="str">
        <f t="shared" ref="A9004:A9063" si="160">"202335"</f>
        <v>202335</v>
      </c>
      <c r="B9004" s="5" t="str">
        <f>"23085024807"</f>
        <v>23085024807</v>
      </c>
      <c r="C9004" s="6">
        <v>82.5</v>
      </c>
      <c r="D9004" s="6">
        <v>46.8</v>
      </c>
      <c r="E9004" s="6">
        <v>129.3</v>
      </c>
      <c r="F9004" s="11"/>
    </row>
    <row r="9005" spans="1:6">
      <c r="A9005" s="5" t="str">
        <f t="shared" si="160"/>
        <v>202335</v>
      </c>
      <c r="B9005" s="5" t="str">
        <f>"23085024810"</f>
        <v>23085024810</v>
      </c>
      <c r="C9005" s="6">
        <v>67.5</v>
      </c>
      <c r="D9005" s="6">
        <v>61.48</v>
      </c>
      <c r="E9005" s="6">
        <v>128.98</v>
      </c>
      <c r="F9005" s="11"/>
    </row>
    <row r="9006" spans="1:6">
      <c r="A9006" s="5" t="str">
        <f t="shared" si="160"/>
        <v>202335</v>
      </c>
      <c r="B9006" s="5" t="str">
        <f>"23085024901"</f>
        <v>23085024901</v>
      </c>
      <c r="C9006" s="6">
        <v>79.5</v>
      </c>
      <c r="D9006" s="6">
        <v>49.35</v>
      </c>
      <c r="E9006" s="6">
        <v>128.85</v>
      </c>
      <c r="F9006" s="11"/>
    </row>
    <row r="9007" spans="1:6">
      <c r="A9007" s="5" t="str">
        <f t="shared" si="160"/>
        <v>202335</v>
      </c>
      <c r="B9007" s="5" t="str">
        <f>"23085024401"</f>
        <v>23085024401</v>
      </c>
      <c r="C9007" s="6">
        <v>75</v>
      </c>
      <c r="D9007" s="6">
        <v>51.82</v>
      </c>
      <c r="E9007" s="6">
        <v>126.82</v>
      </c>
      <c r="F9007" s="11"/>
    </row>
    <row r="9008" spans="1:6">
      <c r="A9008" s="5" t="str">
        <f t="shared" si="160"/>
        <v>202335</v>
      </c>
      <c r="B9008" s="5" t="str">
        <f>"23085024806"</f>
        <v>23085024806</v>
      </c>
      <c r="C9008" s="6">
        <v>70.5</v>
      </c>
      <c r="D9008" s="6">
        <v>56</v>
      </c>
      <c r="E9008" s="6">
        <v>126.5</v>
      </c>
      <c r="F9008" s="11"/>
    </row>
    <row r="9009" spans="1:6">
      <c r="A9009" s="5" t="str">
        <f t="shared" si="160"/>
        <v>202335</v>
      </c>
      <c r="B9009" s="5" t="str">
        <f>"23085024722"</f>
        <v>23085024722</v>
      </c>
      <c r="C9009" s="6">
        <v>73.5</v>
      </c>
      <c r="D9009" s="6">
        <v>52.43</v>
      </c>
      <c r="E9009" s="6">
        <v>125.93</v>
      </c>
      <c r="F9009" s="11"/>
    </row>
    <row r="9010" spans="1:6">
      <c r="A9010" s="5" t="str">
        <f t="shared" si="160"/>
        <v>202335</v>
      </c>
      <c r="B9010" s="5" t="str">
        <f>"23085024811"</f>
        <v>23085024811</v>
      </c>
      <c r="C9010" s="6">
        <v>69</v>
      </c>
      <c r="D9010" s="6">
        <v>55.4</v>
      </c>
      <c r="E9010" s="6">
        <v>124.4</v>
      </c>
      <c r="F9010" s="11"/>
    </row>
    <row r="9011" spans="1:6">
      <c r="A9011" s="5" t="str">
        <f t="shared" si="160"/>
        <v>202335</v>
      </c>
      <c r="B9011" s="5" t="str">
        <f>"23085024725"</f>
        <v>23085024725</v>
      </c>
      <c r="C9011" s="6">
        <v>72</v>
      </c>
      <c r="D9011" s="6">
        <v>51.56</v>
      </c>
      <c r="E9011" s="6">
        <v>123.56</v>
      </c>
      <c r="F9011" s="11"/>
    </row>
    <row r="9012" spans="1:6">
      <c r="A9012" s="5" t="str">
        <f t="shared" si="160"/>
        <v>202335</v>
      </c>
      <c r="B9012" s="5" t="str">
        <f>"23085024924"</f>
        <v>23085024924</v>
      </c>
      <c r="C9012" s="6">
        <v>70.5</v>
      </c>
      <c r="D9012" s="6">
        <v>52.77</v>
      </c>
      <c r="E9012" s="6">
        <v>123.27</v>
      </c>
      <c r="F9012" s="11"/>
    </row>
    <row r="9013" spans="1:6">
      <c r="A9013" s="5" t="str">
        <f t="shared" si="160"/>
        <v>202335</v>
      </c>
      <c r="B9013" s="5" t="str">
        <f>"23085024604"</f>
        <v>23085024604</v>
      </c>
      <c r="C9013" s="6">
        <v>84</v>
      </c>
      <c r="D9013" s="6">
        <v>38.77</v>
      </c>
      <c r="E9013" s="6">
        <v>122.77</v>
      </c>
      <c r="F9013" s="11"/>
    </row>
    <row r="9014" spans="1:6">
      <c r="A9014" s="5" t="str">
        <f t="shared" si="160"/>
        <v>202335</v>
      </c>
      <c r="B9014" s="5" t="str">
        <f>"23085024429"</f>
        <v>23085024429</v>
      </c>
      <c r="C9014" s="6">
        <v>66</v>
      </c>
      <c r="D9014" s="6">
        <v>55.82</v>
      </c>
      <c r="E9014" s="6">
        <v>121.82</v>
      </c>
      <c r="F9014" s="11"/>
    </row>
    <row r="9015" spans="1:6">
      <c r="A9015" s="5" t="str">
        <f t="shared" si="160"/>
        <v>202335</v>
      </c>
      <c r="B9015" s="5" t="str">
        <f>"23085024820"</f>
        <v>23085024820</v>
      </c>
      <c r="C9015" s="6">
        <v>81</v>
      </c>
      <c r="D9015" s="6">
        <v>39.98</v>
      </c>
      <c r="E9015" s="6">
        <v>120.98</v>
      </c>
      <c r="F9015" s="11"/>
    </row>
    <row r="9016" spans="1:6">
      <c r="A9016" s="5" t="str">
        <f t="shared" si="160"/>
        <v>202335</v>
      </c>
      <c r="B9016" s="5" t="str">
        <f>"23085024914"</f>
        <v>23085024914</v>
      </c>
      <c r="C9016" s="6">
        <v>81</v>
      </c>
      <c r="D9016" s="6">
        <v>38.59</v>
      </c>
      <c r="E9016" s="6">
        <v>119.59</v>
      </c>
      <c r="F9016" s="11"/>
    </row>
    <row r="9017" spans="1:6">
      <c r="A9017" s="5" t="str">
        <f t="shared" si="160"/>
        <v>202335</v>
      </c>
      <c r="B9017" s="5" t="str">
        <f>"23085025002"</f>
        <v>23085025002</v>
      </c>
      <c r="C9017" s="6">
        <v>60</v>
      </c>
      <c r="D9017" s="6">
        <v>59.45</v>
      </c>
      <c r="E9017" s="6">
        <v>119.45</v>
      </c>
      <c r="F9017" s="11"/>
    </row>
    <row r="9018" spans="1:6">
      <c r="A9018" s="5" t="str">
        <f t="shared" si="160"/>
        <v>202335</v>
      </c>
      <c r="B9018" s="5" t="str">
        <f>"23085024716"</f>
        <v>23085024716</v>
      </c>
      <c r="C9018" s="6">
        <v>79.5</v>
      </c>
      <c r="D9018" s="6">
        <v>38.06</v>
      </c>
      <c r="E9018" s="6">
        <v>117.56</v>
      </c>
      <c r="F9018" s="11"/>
    </row>
    <row r="9019" spans="1:6">
      <c r="A9019" s="5" t="str">
        <f t="shared" si="160"/>
        <v>202335</v>
      </c>
      <c r="B9019" s="5" t="str">
        <f>"23085024704"</f>
        <v>23085024704</v>
      </c>
      <c r="C9019" s="6">
        <v>79.5</v>
      </c>
      <c r="D9019" s="6">
        <v>36.69</v>
      </c>
      <c r="E9019" s="6">
        <v>116.19</v>
      </c>
      <c r="F9019" s="11"/>
    </row>
    <row r="9020" spans="1:6">
      <c r="A9020" s="5" t="str">
        <f t="shared" si="160"/>
        <v>202335</v>
      </c>
      <c r="B9020" s="5" t="str">
        <f>"23085024426"</f>
        <v>23085024426</v>
      </c>
      <c r="C9020" s="6">
        <v>57</v>
      </c>
      <c r="D9020" s="6">
        <v>58.79</v>
      </c>
      <c r="E9020" s="6">
        <v>115.79</v>
      </c>
      <c r="F9020" s="11"/>
    </row>
    <row r="9021" spans="1:6">
      <c r="A9021" s="5" t="str">
        <f t="shared" si="160"/>
        <v>202335</v>
      </c>
      <c r="B9021" s="5" t="str">
        <f>"23085024621"</f>
        <v>23085024621</v>
      </c>
      <c r="C9021" s="6">
        <v>70.5</v>
      </c>
      <c r="D9021" s="6">
        <v>45.14</v>
      </c>
      <c r="E9021" s="6">
        <v>115.64</v>
      </c>
      <c r="F9021" s="11"/>
    </row>
    <row r="9022" spans="1:6">
      <c r="A9022" s="5" t="str">
        <f t="shared" si="160"/>
        <v>202335</v>
      </c>
      <c r="B9022" s="5" t="str">
        <f>"23085024701"</f>
        <v>23085024701</v>
      </c>
      <c r="C9022" s="6">
        <v>67.5</v>
      </c>
      <c r="D9022" s="6">
        <v>45.77</v>
      </c>
      <c r="E9022" s="6">
        <v>113.27</v>
      </c>
      <c r="F9022" s="11"/>
    </row>
    <row r="9023" spans="1:6">
      <c r="A9023" s="5" t="str">
        <f t="shared" si="160"/>
        <v>202335</v>
      </c>
      <c r="B9023" s="5" t="str">
        <f>"23085024828"</f>
        <v>23085024828</v>
      </c>
      <c r="C9023" s="6">
        <v>60</v>
      </c>
      <c r="D9023" s="6">
        <v>51.64</v>
      </c>
      <c r="E9023" s="6">
        <v>111.64</v>
      </c>
      <c r="F9023" s="11"/>
    </row>
    <row r="9024" spans="1:6">
      <c r="A9024" s="5" t="str">
        <f t="shared" si="160"/>
        <v>202335</v>
      </c>
      <c r="B9024" s="5" t="str">
        <f>"23085024512"</f>
        <v>23085024512</v>
      </c>
      <c r="C9024" s="6">
        <v>60</v>
      </c>
      <c r="D9024" s="6">
        <v>48.88</v>
      </c>
      <c r="E9024" s="6">
        <v>108.88</v>
      </c>
      <c r="F9024" s="11"/>
    </row>
    <row r="9025" spans="1:6">
      <c r="A9025" s="5" t="str">
        <f t="shared" si="160"/>
        <v>202335</v>
      </c>
      <c r="B9025" s="5" t="str">
        <f>"23085024728"</f>
        <v>23085024728</v>
      </c>
      <c r="C9025" s="6">
        <v>36</v>
      </c>
      <c r="D9025" s="6">
        <v>71.53</v>
      </c>
      <c r="E9025" s="6">
        <v>107.53</v>
      </c>
      <c r="F9025" s="11"/>
    </row>
    <row r="9026" spans="1:6">
      <c r="A9026" s="5" t="str">
        <f t="shared" si="160"/>
        <v>202335</v>
      </c>
      <c r="B9026" s="5" t="str">
        <f>"23085024709"</f>
        <v>23085024709</v>
      </c>
      <c r="C9026" s="6">
        <v>66</v>
      </c>
      <c r="D9026" s="6">
        <v>36.93</v>
      </c>
      <c r="E9026" s="6">
        <v>102.93</v>
      </c>
      <c r="F9026" s="11"/>
    </row>
    <row r="9027" spans="1:6">
      <c r="A9027" s="5" t="str">
        <f t="shared" si="160"/>
        <v>202335</v>
      </c>
      <c r="B9027" s="5" t="str">
        <f>"23085024516"</f>
        <v>23085024516</v>
      </c>
      <c r="C9027" s="6">
        <v>63</v>
      </c>
      <c r="D9027" s="6">
        <v>32.59</v>
      </c>
      <c r="E9027" s="6">
        <v>95.59</v>
      </c>
      <c r="F9027" s="11"/>
    </row>
    <row r="9028" spans="1:6">
      <c r="A9028" s="5" t="str">
        <f t="shared" si="160"/>
        <v>202335</v>
      </c>
      <c r="B9028" s="5" t="str">
        <f>"23085024925"</f>
        <v>23085024925</v>
      </c>
      <c r="C9028" s="6">
        <v>39</v>
      </c>
      <c r="D9028" s="6">
        <v>49.71</v>
      </c>
      <c r="E9028" s="6">
        <v>88.71</v>
      </c>
      <c r="F9028" s="11"/>
    </row>
    <row r="9029" spans="1:6">
      <c r="A9029" s="5" t="str">
        <f t="shared" si="160"/>
        <v>202335</v>
      </c>
      <c r="B9029" s="5" t="str">
        <f>"23085024423"</f>
        <v>23085024423</v>
      </c>
      <c r="C9029" s="6">
        <v>13.5</v>
      </c>
      <c r="D9029" s="6">
        <v>71.03</v>
      </c>
      <c r="E9029" s="6">
        <v>84.53</v>
      </c>
      <c r="F9029" s="11"/>
    </row>
    <row r="9030" spans="1:6">
      <c r="A9030" s="5" t="str">
        <f t="shared" si="160"/>
        <v>202335</v>
      </c>
      <c r="B9030" s="5" t="str">
        <f>"23085024523"</f>
        <v>23085024523</v>
      </c>
      <c r="C9030" s="6">
        <v>0</v>
      </c>
      <c r="D9030" s="6">
        <v>0</v>
      </c>
      <c r="E9030" s="6">
        <v>0</v>
      </c>
      <c r="F9030" s="11" t="s">
        <v>7</v>
      </c>
    </row>
    <row r="9031" spans="1:6">
      <c r="A9031" s="5" t="str">
        <f t="shared" si="160"/>
        <v>202335</v>
      </c>
      <c r="B9031" s="5" t="str">
        <f>"23085024405"</f>
        <v>23085024405</v>
      </c>
      <c r="C9031" s="6">
        <v>0</v>
      </c>
      <c r="D9031" s="6">
        <v>0</v>
      </c>
      <c r="E9031" s="6">
        <v>0</v>
      </c>
      <c r="F9031" s="11" t="s">
        <v>7</v>
      </c>
    </row>
    <row r="9032" spans="1:6">
      <c r="A9032" s="5" t="str">
        <f t="shared" si="160"/>
        <v>202335</v>
      </c>
      <c r="B9032" s="5" t="str">
        <f>"23085025008"</f>
        <v>23085025008</v>
      </c>
      <c r="C9032" s="6">
        <v>0</v>
      </c>
      <c r="D9032" s="6">
        <v>0</v>
      </c>
      <c r="E9032" s="6">
        <v>0</v>
      </c>
      <c r="F9032" s="11" t="s">
        <v>7</v>
      </c>
    </row>
    <row r="9033" spans="1:6">
      <c r="A9033" s="5" t="str">
        <f t="shared" si="160"/>
        <v>202335</v>
      </c>
      <c r="B9033" s="5" t="str">
        <f>"23085024415"</f>
        <v>23085024415</v>
      </c>
      <c r="C9033" s="6">
        <v>0</v>
      </c>
      <c r="D9033" s="6">
        <v>0</v>
      </c>
      <c r="E9033" s="6">
        <v>0</v>
      </c>
      <c r="F9033" s="11" t="s">
        <v>7</v>
      </c>
    </row>
    <row r="9034" spans="1:6">
      <c r="A9034" s="5" t="str">
        <f t="shared" si="160"/>
        <v>202335</v>
      </c>
      <c r="B9034" s="5" t="str">
        <f>"23085024619"</f>
        <v>23085024619</v>
      </c>
      <c r="C9034" s="6">
        <v>0</v>
      </c>
      <c r="D9034" s="6">
        <v>0</v>
      </c>
      <c r="E9034" s="6">
        <v>0</v>
      </c>
      <c r="F9034" s="11" t="s">
        <v>7</v>
      </c>
    </row>
    <row r="9035" spans="1:6">
      <c r="A9035" s="5" t="str">
        <f t="shared" si="160"/>
        <v>202335</v>
      </c>
      <c r="B9035" s="5" t="str">
        <f>"23085024624"</f>
        <v>23085024624</v>
      </c>
      <c r="C9035" s="6">
        <v>0</v>
      </c>
      <c r="D9035" s="6">
        <v>0</v>
      </c>
      <c r="E9035" s="6">
        <v>0</v>
      </c>
      <c r="F9035" s="11" t="s">
        <v>7</v>
      </c>
    </row>
    <row r="9036" spans="1:6">
      <c r="A9036" s="5" t="str">
        <f t="shared" si="160"/>
        <v>202335</v>
      </c>
      <c r="B9036" s="5" t="str">
        <f>"23085024912"</f>
        <v>23085024912</v>
      </c>
      <c r="C9036" s="6">
        <v>0</v>
      </c>
      <c r="D9036" s="6">
        <v>0</v>
      </c>
      <c r="E9036" s="6">
        <v>0</v>
      </c>
      <c r="F9036" s="11" t="s">
        <v>7</v>
      </c>
    </row>
    <row r="9037" spans="1:6">
      <c r="A9037" s="5" t="str">
        <f t="shared" si="160"/>
        <v>202335</v>
      </c>
      <c r="B9037" s="5" t="str">
        <f>"23085024614"</f>
        <v>23085024614</v>
      </c>
      <c r="C9037" s="6">
        <v>0</v>
      </c>
      <c r="D9037" s="6">
        <v>0</v>
      </c>
      <c r="E9037" s="6">
        <v>0</v>
      </c>
      <c r="F9037" s="11" t="s">
        <v>7</v>
      </c>
    </row>
    <row r="9038" spans="1:6">
      <c r="A9038" s="5" t="str">
        <f t="shared" si="160"/>
        <v>202335</v>
      </c>
      <c r="B9038" s="5" t="str">
        <f>"23085025001"</f>
        <v>23085025001</v>
      </c>
      <c r="C9038" s="6">
        <v>0</v>
      </c>
      <c r="D9038" s="6">
        <v>0</v>
      </c>
      <c r="E9038" s="6">
        <v>0</v>
      </c>
      <c r="F9038" s="11" t="s">
        <v>7</v>
      </c>
    </row>
    <row r="9039" spans="1:6">
      <c r="A9039" s="5" t="str">
        <f t="shared" si="160"/>
        <v>202335</v>
      </c>
      <c r="B9039" s="5" t="str">
        <f>"23085024911"</f>
        <v>23085024911</v>
      </c>
      <c r="C9039" s="6">
        <v>0</v>
      </c>
      <c r="D9039" s="6">
        <v>0</v>
      </c>
      <c r="E9039" s="6">
        <v>0</v>
      </c>
      <c r="F9039" s="11" t="s">
        <v>7</v>
      </c>
    </row>
    <row r="9040" spans="1:6">
      <c r="A9040" s="5" t="str">
        <f t="shared" si="160"/>
        <v>202335</v>
      </c>
      <c r="B9040" s="5" t="str">
        <f>"23085024822"</f>
        <v>23085024822</v>
      </c>
      <c r="C9040" s="6">
        <v>0</v>
      </c>
      <c r="D9040" s="6">
        <v>0</v>
      </c>
      <c r="E9040" s="6">
        <v>0</v>
      </c>
      <c r="F9040" s="11" t="s">
        <v>7</v>
      </c>
    </row>
    <row r="9041" spans="1:6">
      <c r="A9041" s="5" t="str">
        <f t="shared" si="160"/>
        <v>202335</v>
      </c>
      <c r="B9041" s="5" t="str">
        <f>"23085024918"</f>
        <v>23085024918</v>
      </c>
      <c r="C9041" s="6">
        <v>0</v>
      </c>
      <c r="D9041" s="6">
        <v>0</v>
      </c>
      <c r="E9041" s="6">
        <v>0</v>
      </c>
      <c r="F9041" s="11" t="s">
        <v>7</v>
      </c>
    </row>
    <row r="9042" spans="1:6">
      <c r="A9042" s="5" t="str">
        <f t="shared" si="160"/>
        <v>202335</v>
      </c>
      <c r="B9042" s="5" t="str">
        <f>"23085024421"</f>
        <v>23085024421</v>
      </c>
      <c r="C9042" s="6">
        <v>0</v>
      </c>
      <c r="D9042" s="6">
        <v>0</v>
      </c>
      <c r="E9042" s="6">
        <v>0</v>
      </c>
      <c r="F9042" s="11" t="s">
        <v>7</v>
      </c>
    </row>
    <row r="9043" spans="1:6">
      <c r="A9043" s="5" t="str">
        <f t="shared" si="160"/>
        <v>202335</v>
      </c>
      <c r="B9043" s="5" t="str">
        <f>"23085025004"</f>
        <v>23085025004</v>
      </c>
      <c r="C9043" s="6">
        <v>0</v>
      </c>
      <c r="D9043" s="6">
        <v>0</v>
      </c>
      <c r="E9043" s="6">
        <v>0</v>
      </c>
      <c r="F9043" s="11" t="s">
        <v>7</v>
      </c>
    </row>
    <row r="9044" spans="1:6">
      <c r="A9044" s="5" t="str">
        <f t="shared" si="160"/>
        <v>202335</v>
      </c>
      <c r="B9044" s="5" t="str">
        <f>"23085024819"</f>
        <v>23085024819</v>
      </c>
      <c r="C9044" s="6">
        <v>0</v>
      </c>
      <c r="D9044" s="6">
        <v>0</v>
      </c>
      <c r="E9044" s="6">
        <v>0</v>
      </c>
      <c r="F9044" s="11" t="s">
        <v>7</v>
      </c>
    </row>
    <row r="9045" spans="1:6">
      <c r="A9045" s="5" t="str">
        <f t="shared" si="160"/>
        <v>202335</v>
      </c>
      <c r="B9045" s="5" t="str">
        <f>"23085024910"</f>
        <v>23085024910</v>
      </c>
      <c r="C9045" s="6">
        <v>0</v>
      </c>
      <c r="D9045" s="6">
        <v>0</v>
      </c>
      <c r="E9045" s="6">
        <v>0</v>
      </c>
      <c r="F9045" s="11" t="s">
        <v>7</v>
      </c>
    </row>
    <row r="9046" spans="1:6">
      <c r="A9046" s="5" t="str">
        <f t="shared" si="160"/>
        <v>202335</v>
      </c>
      <c r="B9046" s="5" t="str">
        <f>"23085024903"</f>
        <v>23085024903</v>
      </c>
      <c r="C9046" s="6">
        <v>0</v>
      </c>
      <c r="D9046" s="6">
        <v>0</v>
      </c>
      <c r="E9046" s="6">
        <v>0</v>
      </c>
      <c r="F9046" s="11" t="s">
        <v>7</v>
      </c>
    </row>
    <row r="9047" spans="1:6">
      <c r="A9047" s="5" t="str">
        <f t="shared" si="160"/>
        <v>202335</v>
      </c>
      <c r="B9047" s="5" t="str">
        <f>"23085024403"</f>
        <v>23085024403</v>
      </c>
      <c r="C9047" s="6">
        <v>0</v>
      </c>
      <c r="D9047" s="6">
        <v>0</v>
      </c>
      <c r="E9047" s="6">
        <v>0</v>
      </c>
      <c r="F9047" s="11" t="s">
        <v>7</v>
      </c>
    </row>
    <row r="9048" spans="1:6">
      <c r="A9048" s="5" t="str">
        <f t="shared" si="160"/>
        <v>202335</v>
      </c>
      <c r="B9048" s="5" t="str">
        <f>"23085024506"</f>
        <v>23085024506</v>
      </c>
      <c r="C9048" s="6">
        <v>0</v>
      </c>
      <c r="D9048" s="6">
        <v>0</v>
      </c>
      <c r="E9048" s="6">
        <v>0</v>
      </c>
      <c r="F9048" s="11" t="s">
        <v>7</v>
      </c>
    </row>
    <row r="9049" spans="1:6">
      <c r="A9049" s="5" t="str">
        <f t="shared" si="160"/>
        <v>202335</v>
      </c>
      <c r="B9049" s="5" t="str">
        <f>"23085024929"</f>
        <v>23085024929</v>
      </c>
      <c r="C9049" s="6">
        <v>0</v>
      </c>
      <c r="D9049" s="6">
        <v>0</v>
      </c>
      <c r="E9049" s="6">
        <v>0</v>
      </c>
      <c r="F9049" s="11" t="s">
        <v>7</v>
      </c>
    </row>
    <row r="9050" spans="1:6">
      <c r="A9050" s="5" t="str">
        <f t="shared" si="160"/>
        <v>202335</v>
      </c>
      <c r="B9050" s="5" t="str">
        <f>"23085024515"</f>
        <v>23085024515</v>
      </c>
      <c r="C9050" s="6">
        <v>0</v>
      </c>
      <c r="D9050" s="6">
        <v>0</v>
      </c>
      <c r="E9050" s="6">
        <v>0</v>
      </c>
      <c r="F9050" s="11" t="s">
        <v>7</v>
      </c>
    </row>
    <row r="9051" spans="1:6">
      <c r="A9051" s="5" t="str">
        <f t="shared" si="160"/>
        <v>202335</v>
      </c>
      <c r="B9051" s="5" t="str">
        <f>"23085024711"</f>
        <v>23085024711</v>
      </c>
      <c r="C9051" s="6">
        <v>0</v>
      </c>
      <c r="D9051" s="6">
        <v>0</v>
      </c>
      <c r="E9051" s="6">
        <v>0</v>
      </c>
      <c r="F9051" s="11" t="s">
        <v>7</v>
      </c>
    </row>
    <row r="9052" spans="1:6">
      <c r="A9052" s="5" t="str">
        <f t="shared" si="160"/>
        <v>202335</v>
      </c>
      <c r="B9052" s="5" t="str">
        <f>"23085024420"</f>
        <v>23085024420</v>
      </c>
      <c r="C9052" s="6">
        <v>0</v>
      </c>
      <c r="D9052" s="6">
        <v>0</v>
      </c>
      <c r="E9052" s="6">
        <v>0</v>
      </c>
      <c r="F9052" s="11" t="s">
        <v>7</v>
      </c>
    </row>
    <row r="9053" spans="1:6">
      <c r="A9053" s="5" t="str">
        <f t="shared" si="160"/>
        <v>202335</v>
      </c>
      <c r="B9053" s="5" t="str">
        <f>"23085024703"</f>
        <v>23085024703</v>
      </c>
      <c r="C9053" s="6">
        <v>0</v>
      </c>
      <c r="D9053" s="6">
        <v>0</v>
      </c>
      <c r="E9053" s="6">
        <v>0</v>
      </c>
      <c r="F9053" s="11" t="s">
        <v>7</v>
      </c>
    </row>
    <row r="9054" spans="1:6">
      <c r="A9054" s="5" t="str">
        <f t="shared" si="160"/>
        <v>202335</v>
      </c>
      <c r="B9054" s="5" t="str">
        <f>"23085024813"</f>
        <v>23085024813</v>
      </c>
      <c r="C9054" s="6">
        <v>0</v>
      </c>
      <c r="D9054" s="6">
        <v>0</v>
      </c>
      <c r="E9054" s="6">
        <v>0</v>
      </c>
      <c r="F9054" s="11" t="s">
        <v>7</v>
      </c>
    </row>
    <row r="9055" spans="1:6">
      <c r="A9055" s="5" t="str">
        <f t="shared" si="160"/>
        <v>202335</v>
      </c>
      <c r="B9055" s="5" t="str">
        <f>"23085024823"</f>
        <v>23085024823</v>
      </c>
      <c r="C9055" s="6">
        <v>0</v>
      </c>
      <c r="D9055" s="6">
        <v>0</v>
      </c>
      <c r="E9055" s="6">
        <v>0</v>
      </c>
      <c r="F9055" s="11" t="s">
        <v>7</v>
      </c>
    </row>
    <row r="9056" spans="1:6">
      <c r="A9056" s="5" t="str">
        <f t="shared" si="160"/>
        <v>202335</v>
      </c>
      <c r="B9056" s="5" t="str">
        <f>"23085024625"</f>
        <v>23085024625</v>
      </c>
      <c r="C9056" s="6">
        <v>0</v>
      </c>
      <c r="D9056" s="6">
        <v>0</v>
      </c>
      <c r="E9056" s="6">
        <v>0</v>
      </c>
      <c r="F9056" s="11" t="s">
        <v>7</v>
      </c>
    </row>
    <row r="9057" spans="1:6">
      <c r="A9057" s="5" t="str">
        <f t="shared" si="160"/>
        <v>202335</v>
      </c>
      <c r="B9057" s="5" t="str">
        <f>"23085024824"</f>
        <v>23085024824</v>
      </c>
      <c r="C9057" s="6">
        <v>0</v>
      </c>
      <c r="D9057" s="6">
        <v>0</v>
      </c>
      <c r="E9057" s="6">
        <v>0</v>
      </c>
      <c r="F9057" s="11" t="s">
        <v>7</v>
      </c>
    </row>
    <row r="9058" spans="1:6">
      <c r="A9058" s="5" t="str">
        <f t="shared" si="160"/>
        <v>202335</v>
      </c>
      <c r="B9058" s="5" t="str">
        <f>"23085024603"</f>
        <v>23085024603</v>
      </c>
      <c r="C9058" s="6">
        <v>0</v>
      </c>
      <c r="D9058" s="6">
        <v>0</v>
      </c>
      <c r="E9058" s="6">
        <v>0</v>
      </c>
      <c r="F9058" s="11" t="s">
        <v>7</v>
      </c>
    </row>
    <row r="9059" spans="1:6">
      <c r="A9059" s="5" t="str">
        <f t="shared" si="160"/>
        <v>202335</v>
      </c>
      <c r="B9059" s="5" t="str">
        <f>"23085024907"</f>
        <v>23085024907</v>
      </c>
      <c r="C9059" s="6">
        <v>0</v>
      </c>
      <c r="D9059" s="6">
        <v>0</v>
      </c>
      <c r="E9059" s="6">
        <v>0</v>
      </c>
      <c r="F9059" s="11" t="s">
        <v>7</v>
      </c>
    </row>
    <row r="9060" spans="1:6">
      <c r="A9060" s="5" t="str">
        <f t="shared" si="160"/>
        <v>202335</v>
      </c>
      <c r="B9060" s="5" t="str">
        <f>"23085024630"</f>
        <v>23085024630</v>
      </c>
      <c r="C9060" s="6">
        <v>0</v>
      </c>
      <c r="D9060" s="6">
        <v>0</v>
      </c>
      <c r="E9060" s="6">
        <v>0</v>
      </c>
      <c r="F9060" s="11" t="s">
        <v>7</v>
      </c>
    </row>
    <row r="9061" spans="1:6">
      <c r="A9061" s="5" t="str">
        <f t="shared" si="160"/>
        <v>202335</v>
      </c>
      <c r="B9061" s="5" t="str">
        <f>"23085024808"</f>
        <v>23085024808</v>
      </c>
      <c r="C9061" s="6">
        <v>0</v>
      </c>
      <c r="D9061" s="6">
        <v>0</v>
      </c>
      <c r="E9061" s="6">
        <v>0</v>
      </c>
      <c r="F9061" s="11" t="s">
        <v>7</v>
      </c>
    </row>
    <row r="9062" spans="1:6">
      <c r="A9062" s="5" t="str">
        <f t="shared" si="160"/>
        <v>202335</v>
      </c>
      <c r="B9062" s="5" t="str">
        <f>"23085024526"</f>
        <v>23085024526</v>
      </c>
      <c r="C9062" s="6">
        <v>0</v>
      </c>
      <c r="D9062" s="6">
        <v>0</v>
      </c>
      <c r="E9062" s="6">
        <v>0</v>
      </c>
      <c r="F9062" s="11" t="s">
        <v>7</v>
      </c>
    </row>
    <row r="9063" spans="1:6">
      <c r="A9063" s="5" t="str">
        <f t="shared" si="160"/>
        <v>202335</v>
      </c>
      <c r="B9063" s="5" t="str">
        <f>"23085024906"</f>
        <v>23085024906</v>
      </c>
      <c r="C9063" s="6">
        <v>0</v>
      </c>
      <c r="D9063" s="6">
        <v>0</v>
      </c>
      <c r="E9063" s="6">
        <v>0</v>
      </c>
      <c r="F9063" s="11" t="s">
        <v>7</v>
      </c>
    </row>
    <row r="9064" spans="1:6">
      <c r="A9064" s="5" t="str">
        <f t="shared" ref="A9064:A9066" si="161">"202336"</f>
        <v>202336</v>
      </c>
      <c r="B9064" s="5" t="str">
        <f>"23085025009"</f>
        <v>23085025009</v>
      </c>
      <c r="C9064" s="6">
        <v>91.5</v>
      </c>
      <c r="D9064" s="6">
        <v>65.43</v>
      </c>
      <c r="E9064" s="6">
        <v>156.93</v>
      </c>
      <c r="F9064" s="11"/>
    </row>
    <row r="9065" spans="1:6">
      <c r="A9065" s="5" t="str">
        <f t="shared" si="161"/>
        <v>202336</v>
      </c>
      <c r="B9065" s="5" t="str">
        <f>"23085025010"</f>
        <v>23085025010</v>
      </c>
      <c r="C9065" s="6">
        <v>72</v>
      </c>
      <c r="D9065" s="6">
        <v>61.69</v>
      </c>
      <c r="E9065" s="6">
        <v>133.69</v>
      </c>
      <c r="F9065" s="11"/>
    </row>
    <row r="9066" spans="1:6">
      <c r="A9066" s="5" t="str">
        <f t="shared" si="161"/>
        <v>202336</v>
      </c>
      <c r="B9066" s="5" t="str">
        <f>"23085025011"</f>
        <v>23085025011</v>
      </c>
      <c r="C9066" s="6">
        <v>81</v>
      </c>
      <c r="D9066" s="6">
        <v>42.82</v>
      </c>
      <c r="E9066" s="6">
        <v>123.82</v>
      </c>
      <c r="F9066" s="11"/>
    </row>
    <row r="9067" spans="1:6">
      <c r="A9067" s="5" t="str">
        <f t="shared" ref="A9067:A9071" si="162">"202337"</f>
        <v>202337</v>
      </c>
      <c r="B9067" s="5" t="str">
        <f>"23085025013"</f>
        <v>23085025013</v>
      </c>
      <c r="C9067" s="6">
        <v>82.5</v>
      </c>
      <c r="D9067" s="6">
        <v>81.16</v>
      </c>
      <c r="E9067" s="6">
        <v>163.66</v>
      </c>
      <c r="F9067" s="11"/>
    </row>
    <row r="9068" spans="1:6">
      <c r="A9068" s="5" t="str">
        <f t="shared" si="162"/>
        <v>202337</v>
      </c>
      <c r="B9068" s="5" t="str">
        <f>"23085025015"</f>
        <v>23085025015</v>
      </c>
      <c r="C9068" s="6">
        <v>91.5</v>
      </c>
      <c r="D9068" s="6">
        <v>67.74</v>
      </c>
      <c r="E9068" s="6">
        <v>159.24</v>
      </c>
      <c r="F9068" s="11"/>
    </row>
    <row r="9069" spans="1:6">
      <c r="A9069" s="5" t="str">
        <f t="shared" si="162"/>
        <v>202337</v>
      </c>
      <c r="B9069" s="5" t="str">
        <f>"23085025016"</f>
        <v>23085025016</v>
      </c>
      <c r="C9069" s="6">
        <v>81</v>
      </c>
      <c r="D9069" s="6">
        <v>75.35</v>
      </c>
      <c r="E9069" s="6">
        <v>156.35</v>
      </c>
      <c r="F9069" s="11"/>
    </row>
    <row r="9070" spans="1:6">
      <c r="A9070" s="5" t="str">
        <f t="shared" si="162"/>
        <v>202337</v>
      </c>
      <c r="B9070" s="5" t="str">
        <f>"23085025014"</f>
        <v>23085025014</v>
      </c>
      <c r="C9070" s="6">
        <v>73.5</v>
      </c>
      <c r="D9070" s="6">
        <v>82.06</v>
      </c>
      <c r="E9070" s="6">
        <v>155.56</v>
      </c>
      <c r="F9070" s="11"/>
    </row>
    <row r="9071" spans="1:6">
      <c r="A9071" s="5" t="str">
        <f t="shared" si="162"/>
        <v>202337</v>
      </c>
      <c r="B9071" s="5" t="str">
        <f>"23085025012"</f>
        <v>23085025012</v>
      </c>
      <c r="C9071" s="6">
        <v>0</v>
      </c>
      <c r="D9071" s="6">
        <v>0</v>
      </c>
      <c r="E9071" s="6">
        <v>0</v>
      </c>
      <c r="F9071" s="11" t="s">
        <v>7</v>
      </c>
    </row>
    <row r="9072" spans="1:6">
      <c r="A9072" s="5" t="str">
        <f t="shared" ref="A9072:A9085" si="163">"202338"</f>
        <v>202338</v>
      </c>
      <c r="B9072" s="5" t="str">
        <f>"23085025030"</f>
        <v>23085025030</v>
      </c>
      <c r="C9072" s="6">
        <v>103.5</v>
      </c>
      <c r="D9072" s="6">
        <v>84.77</v>
      </c>
      <c r="E9072" s="6">
        <v>188.27</v>
      </c>
      <c r="F9072" s="11"/>
    </row>
    <row r="9073" spans="1:6">
      <c r="A9073" s="5" t="str">
        <f t="shared" si="163"/>
        <v>202338</v>
      </c>
      <c r="B9073" s="5" t="str">
        <f>"23085025026"</f>
        <v>23085025026</v>
      </c>
      <c r="C9073" s="6">
        <v>97.5</v>
      </c>
      <c r="D9073" s="6">
        <v>71.61</v>
      </c>
      <c r="E9073" s="6">
        <v>169.11</v>
      </c>
      <c r="F9073" s="11"/>
    </row>
    <row r="9074" spans="1:6">
      <c r="A9074" s="5" t="str">
        <f t="shared" si="163"/>
        <v>202338</v>
      </c>
      <c r="B9074" s="5" t="str">
        <f>"23085025029"</f>
        <v>23085025029</v>
      </c>
      <c r="C9074" s="6">
        <v>94.5</v>
      </c>
      <c r="D9074" s="6">
        <v>73.69</v>
      </c>
      <c r="E9074" s="6">
        <v>168.19</v>
      </c>
      <c r="F9074" s="11"/>
    </row>
    <row r="9075" spans="1:6">
      <c r="A9075" s="5" t="str">
        <f t="shared" si="163"/>
        <v>202338</v>
      </c>
      <c r="B9075" s="5" t="str">
        <f>"23085025019"</f>
        <v>23085025019</v>
      </c>
      <c r="C9075" s="6">
        <v>90</v>
      </c>
      <c r="D9075" s="6">
        <v>73.43</v>
      </c>
      <c r="E9075" s="6">
        <v>163.43</v>
      </c>
      <c r="F9075" s="11"/>
    </row>
    <row r="9076" spans="1:6">
      <c r="A9076" s="5" t="str">
        <f t="shared" si="163"/>
        <v>202338</v>
      </c>
      <c r="B9076" s="5" t="str">
        <f>"23085025027"</f>
        <v>23085025027</v>
      </c>
      <c r="C9076" s="6">
        <v>87</v>
      </c>
      <c r="D9076" s="6">
        <v>71.69</v>
      </c>
      <c r="E9076" s="6">
        <v>158.69</v>
      </c>
      <c r="F9076" s="11"/>
    </row>
    <row r="9077" spans="1:6">
      <c r="A9077" s="5" t="str">
        <f t="shared" si="163"/>
        <v>202338</v>
      </c>
      <c r="B9077" s="5" t="str">
        <f>"23085025022"</f>
        <v>23085025022</v>
      </c>
      <c r="C9077" s="6">
        <v>85.5</v>
      </c>
      <c r="D9077" s="6">
        <v>68.03</v>
      </c>
      <c r="E9077" s="6">
        <v>153.53</v>
      </c>
      <c r="F9077" s="11"/>
    </row>
    <row r="9078" spans="1:6">
      <c r="A9078" s="5" t="str">
        <f t="shared" si="163"/>
        <v>202338</v>
      </c>
      <c r="B9078" s="5" t="str">
        <f>"23085025017"</f>
        <v>23085025017</v>
      </c>
      <c r="C9078" s="6">
        <v>90</v>
      </c>
      <c r="D9078" s="6">
        <v>60.72</v>
      </c>
      <c r="E9078" s="6">
        <v>150.72</v>
      </c>
      <c r="F9078" s="11"/>
    </row>
    <row r="9079" spans="1:6">
      <c r="A9079" s="5" t="str">
        <f t="shared" si="163"/>
        <v>202338</v>
      </c>
      <c r="B9079" s="5" t="str">
        <f>"23085025028"</f>
        <v>23085025028</v>
      </c>
      <c r="C9079" s="6">
        <v>88.5</v>
      </c>
      <c r="D9079" s="6">
        <v>62.03</v>
      </c>
      <c r="E9079" s="6">
        <v>150.53</v>
      </c>
      <c r="F9079" s="11"/>
    </row>
    <row r="9080" spans="1:6">
      <c r="A9080" s="5" t="str">
        <f t="shared" si="163"/>
        <v>202338</v>
      </c>
      <c r="B9080" s="5" t="str">
        <f>"23085025018"</f>
        <v>23085025018</v>
      </c>
      <c r="C9080" s="6">
        <v>76.5</v>
      </c>
      <c r="D9080" s="6">
        <v>71.66</v>
      </c>
      <c r="E9080" s="6">
        <v>148.16</v>
      </c>
      <c r="F9080" s="11"/>
    </row>
    <row r="9081" spans="1:6">
      <c r="A9081" s="5" t="str">
        <f t="shared" si="163"/>
        <v>202338</v>
      </c>
      <c r="B9081" s="5" t="str">
        <f>"23085025025"</f>
        <v>23085025025</v>
      </c>
      <c r="C9081" s="6">
        <v>81</v>
      </c>
      <c r="D9081" s="6">
        <v>63.51</v>
      </c>
      <c r="E9081" s="6">
        <v>144.51</v>
      </c>
      <c r="F9081" s="11"/>
    </row>
    <row r="9082" spans="1:6">
      <c r="A9082" s="5" t="str">
        <f t="shared" si="163"/>
        <v>202338</v>
      </c>
      <c r="B9082" s="5" t="str">
        <f>"23085025024"</f>
        <v>23085025024</v>
      </c>
      <c r="C9082" s="6">
        <v>85.5</v>
      </c>
      <c r="D9082" s="6">
        <v>58.53</v>
      </c>
      <c r="E9082" s="6">
        <v>144.03</v>
      </c>
      <c r="F9082" s="11"/>
    </row>
    <row r="9083" spans="1:6">
      <c r="A9083" s="5" t="str">
        <f t="shared" si="163"/>
        <v>202338</v>
      </c>
      <c r="B9083" s="5" t="str">
        <f>"23085025020"</f>
        <v>23085025020</v>
      </c>
      <c r="C9083" s="6">
        <v>81</v>
      </c>
      <c r="D9083" s="6">
        <v>61.69</v>
      </c>
      <c r="E9083" s="6">
        <v>142.69</v>
      </c>
      <c r="F9083" s="11"/>
    </row>
    <row r="9084" spans="1:6">
      <c r="A9084" s="5" t="str">
        <f t="shared" si="163"/>
        <v>202338</v>
      </c>
      <c r="B9084" s="5" t="str">
        <f>"23085025021"</f>
        <v>23085025021</v>
      </c>
      <c r="C9084" s="6">
        <v>75</v>
      </c>
      <c r="D9084" s="6">
        <v>58.19</v>
      </c>
      <c r="E9084" s="6">
        <v>133.19</v>
      </c>
      <c r="F9084" s="11"/>
    </row>
    <row r="9085" spans="1:6">
      <c r="A9085" s="5" t="str">
        <f t="shared" si="163"/>
        <v>202338</v>
      </c>
      <c r="B9085" s="5" t="str">
        <f>"23085025023"</f>
        <v>23085025023</v>
      </c>
      <c r="C9085" s="6">
        <v>70.5</v>
      </c>
      <c r="D9085" s="6">
        <v>41.24</v>
      </c>
      <c r="E9085" s="6">
        <v>111.74</v>
      </c>
      <c r="F9085" s="11"/>
    </row>
    <row r="9086" spans="1:6">
      <c r="A9086" s="5" t="str">
        <f t="shared" ref="A9086:A9088" si="164">"202339"</f>
        <v>202339</v>
      </c>
      <c r="B9086" s="5" t="str">
        <f>"23085025101"</f>
        <v>23085025101</v>
      </c>
      <c r="C9086" s="6">
        <v>103.5</v>
      </c>
      <c r="D9086" s="6">
        <v>71.11</v>
      </c>
      <c r="E9086" s="6">
        <v>174.61</v>
      </c>
      <c r="F9086" s="11"/>
    </row>
    <row r="9087" spans="1:6">
      <c r="A9087" s="5" t="str">
        <f t="shared" si="164"/>
        <v>202339</v>
      </c>
      <c r="B9087" s="5" t="str">
        <f>"23085025102"</f>
        <v>23085025102</v>
      </c>
      <c r="C9087" s="6">
        <v>102</v>
      </c>
      <c r="D9087" s="6">
        <v>69.82</v>
      </c>
      <c r="E9087" s="6">
        <v>171.82</v>
      </c>
      <c r="F9087" s="11"/>
    </row>
    <row r="9088" spans="1:6">
      <c r="A9088" s="5" t="str">
        <f t="shared" si="164"/>
        <v>202339</v>
      </c>
      <c r="B9088" s="5" t="str">
        <f>"23085025103"</f>
        <v>23085025103</v>
      </c>
      <c r="C9088" s="6">
        <v>90</v>
      </c>
      <c r="D9088" s="6">
        <v>70.48</v>
      </c>
      <c r="E9088" s="6">
        <v>160.48</v>
      </c>
      <c r="F9088" s="11"/>
    </row>
    <row r="9089" spans="1:6">
      <c r="A9089" s="5" t="str">
        <f t="shared" ref="A9089:A9099" si="165">"202340"</f>
        <v>202340</v>
      </c>
      <c r="B9089" s="5" t="str">
        <f>"23085025110"</f>
        <v>23085025110</v>
      </c>
      <c r="C9089" s="6">
        <v>121.5</v>
      </c>
      <c r="D9089" s="6">
        <v>70.4</v>
      </c>
      <c r="E9089" s="6">
        <v>191.9</v>
      </c>
      <c r="F9089" s="11"/>
    </row>
    <row r="9090" spans="1:6">
      <c r="A9090" s="5" t="str">
        <f t="shared" si="165"/>
        <v>202340</v>
      </c>
      <c r="B9090" s="5" t="str">
        <f>"23085025113"</f>
        <v>23085025113</v>
      </c>
      <c r="C9090" s="6">
        <v>102</v>
      </c>
      <c r="D9090" s="6">
        <v>87.53</v>
      </c>
      <c r="E9090" s="6">
        <v>189.53</v>
      </c>
      <c r="F9090" s="11"/>
    </row>
    <row r="9091" spans="1:6">
      <c r="A9091" s="5" t="str">
        <f t="shared" si="165"/>
        <v>202340</v>
      </c>
      <c r="B9091" s="5" t="str">
        <f>"23085025112"</f>
        <v>23085025112</v>
      </c>
      <c r="C9091" s="6">
        <v>111</v>
      </c>
      <c r="D9091" s="6">
        <v>71.93</v>
      </c>
      <c r="E9091" s="6">
        <v>182.93</v>
      </c>
      <c r="F9091" s="11"/>
    </row>
    <row r="9092" spans="1:6">
      <c r="A9092" s="5" t="str">
        <f t="shared" si="165"/>
        <v>202340</v>
      </c>
      <c r="B9092" s="5" t="str">
        <f>"23085025109"</f>
        <v>23085025109</v>
      </c>
      <c r="C9092" s="6">
        <v>90</v>
      </c>
      <c r="D9092" s="6">
        <v>76.9</v>
      </c>
      <c r="E9092" s="6">
        <v>166.9</v>
      </c>
      <c r="F9092" s="11"/>
    </row>
    <row r="9093" spans="1:6">
      <c r="A9093" s="5" t="str">
        <f t="shared" si="165"/>
        <v>202340</v>
      </c>
      <c r="B9093" s="5" t="str">
        <f>"23085025104"</f>
        <v>23085025104</v>
      </c>
      <c r="C9093" s="6">
        <v>93</v>
      </c>
      <c r="D9093" s="6">
        <v>68.16</v>
      </c>
      <c r="E9093" s="6">
        <v>161.16</v>
      </c>
      <c r="F9093" s="11"/>
    </row>
    <row r="9094" spans="1:6">
      <c r="A9094" s="5" t="str">
        <f t="shared" si="165"/>
        <v>202340</v>
      </c>
      <c r="B9094" s="5" t="str">
        <f>"23085025108"</f>
        <v>23085025108</v>
      </c>
      <c r="C9094" s="6">
        <v>81</v>
      </c>
      <c r="D9094" s="6">
        <v>74.95</v>
      </c>
      <c r="E9094" s="6">
        <v>155.95</v>
      </c>
      <c r="F9094" s="11"/>
    </row>
    <row r="9095" spans="1:6">
      <c r="A9095" s="5" t="str">
        <f t="shared" si="165"/>
        <v>202340</v>
      </c>
      <c r="B9095" s="5" t="str">
        <f>"23085025114"</f>
        <v>23085025114</v>
      </c>
      <c r="C9095" s="6">
        <v>88.5</v>
      </c>
      <c r="D9095" s="6">
        <v>62.43</v>
      </c>
      <c r="E9095" s="6">
        <v>150.93</v>
      </c>
      <c r="F9095" s="11"/>
    </row>
    <row r="9096" spans="1:6">
      <c r="A9096" s="5" t="str">
        <f t="shared" si="165"/>
        <v>202340</v>
      </c>
      <c r="B9096" s="5" t="str">
        <f>"23085025107"</f>
        <v>23085025107</v>
      </c>
      <c r="C9096" s="6">
        <v>87</v>
      </c>
      <c r="D9096" s="6">
        <v>38.14</v>
      </c>
      <c r="E9096" s="6">
        <v>125.14</v>
      </c>
      <c r="F9096" s="11"/>
    </row>
    <row r="9097" spans="1:6">
      <c r="A9097" s="5" t="str">
        <f t="shared" si="165"/>
        <v>202340</v>
      </c>
      <c r="B9097" s="5" t="str">
        <f>"23085025106"</f>
        <v>23085025106</v>
      </c>
      <c r="C9097" s="6">
        <v>0</v>
      </c>
      <c r="D9097" s="6">
        <v>0</v>
      </c>
      <c r="E9097" s="6">
        <v>0</v>
      </c>
      <c r="F9097" s="11" t="s">
        <v>7</v>
      </c>
    </row>
    <row r="9098" spans="1:6">
      <c r="A9098" s="5" t="str">
        <f t="shared" si="165"/>
        <v>202340</v>
      </c>
      <c r="B9098" s="5" t="str">
        <f>"23085025105"</f>
        <v>23085025105</v>
      </c>
      <c r="C9098" s="6">
        <v>0</v>
      </c>
      <c r="D9098" s="6">
        <v>0</v>
      </c>
      <c r="E9098" s="6">
        <v>0</v>
      </c>
      <c r="F9098" s="11" t="s">
        <v>7</v>
      </c>
    </row>
    <row r="9099" spans="1:6">
      <c r="A9099" s="5" t="str">
        <f t="shared" si="165"/>
        <v>202340</v>
      </c>
      <c r="B9099" s="5" t="str">
        <f>"23085025111"</f>
        <v>23085025111</v>
      </c>
      <c r="C9099" s="6">
        <v>0</v>
      </c>
      <c r="D9099" s="6">
        <v>0</v>
      </c>
      <c r="E9099" s="6">
        <v>0</v>
      </c>
      <c r="F9099" s="11" t="s">
        <v>7</v>
      </c>
    </row>
    <row r="9100" spans="1:6">
      <c r="A9100" s="5" t="str">
        <f t="shared" ref="A9100:A9111" si="166">"202341"</f>
        <v>202341</v>
      </c>
      <c r="B9100" s="5" t="str">
        <f>"23085025120"</f>
        <v>23085025120</v>
      </c>
      <c r="C9100" s="6">
        <v>115.5</v>
      </c>
      <c r="D9100" s="6">
        <v>81.64</v>
      </c>
      <c r="E9100" s="6">
        <v>197.14</v>
      </c>
      <c r="F9100" s="11"/>
    </row>
    <row r="9101" spans="1:6">
      <c r="A9101" s="5" t="str">
        <f t="shared" si="166"/>
        <v>202341</v>
      </c>
      <c r="B9101" s="5" t="str">
        <f>"23085025115"</f>
        <v>23085025115</v>
      </c>
      <c r="C9101" s="6">
        <v>112.5</v>
      </c>
      <c r="D9101" s="6">
        <v>67.58</v>
      </c>
      <c r="E9101" s="6">
        <v>180.08</v>
      </c>
      <c r="F9101" s="11"/>
    </row>
    <row r="9102" spans="1:6">
      <c r="A9102" s="5" t="str">
        <f t="shared" si="166"/>
        <v>202341</v>
      </c>
      <c r="B9102" s="5" t="str">
        <f>"23085025121"</f>
        <v>23085025121</v>
      </c>
      <c r="C9102" s="6">
        <v>85.5</v>
      </c>
      <c r="D9102" s="6">
        <v>76.08</v>
      </c>
      <c r="E9102" s="6">
        <v>161.58</v>
      </c>
      <c r="F9102" s="11"/>
    </row>
    <row r="9103" spans="1:6">
      <c r="A9103" s="5" t="str">
        <f t="shared" si="166"/>
        <v>202341</v>
      </c>
      <c r="B9103" s="5" t="str">
        <f>"23085025122"</f>
        <v>23085025122</v>
      </c>
      <c r="C9103" s="6">
        <v>93</v>
      </c>
      <c r="D9103" s="6">
        <v>62.27</v>
      </c>
      <c r="E9103" s="6">
        <v>155.27</v>
      </c>
      <c r="F9103" s="11"/>
    </row>
    <row r="9104" spans="1:6">
      <c r="A9104" s="5" t="str">
        <f t="shared" si="166"/>
        <v>202341</v>
      </c>
      <c r="B9104" s="5" t="str">
        <f>"23085025126"</f>
        <v>23085025126</v>
      </c>
      <c r="C9104" s="6">
        <v>85.5</v>
      </c>
      <c r="D9104" s="6">
        <v>63.56</v>
      </c>
      <c r="E9104" s="6">
        <v>149.06</v>
      </c>
      <c r="F9104" s="11"/>
    </row>
    <row r="9105" spans="1:6">
      <c r="A9105" s="5" t="str">
        <f t="shared" si="166"/>
        <v>202341</v>
      </c>
      <c r="B9105" s="5" t="str">
        <f>"23085025125"</f>
        <v>23085025125</v>
      </c>
      <c r="C9105" s="6">
        <v>82.5</v>
      </c>
      <c r="D9105" s="6">
        <v>62.77</v>
      </c>
      <c r="E9105" s="6">
        <v>145.27</v>
      </c>
      <c r="F9105" s="11"/>
    </row>
    <row r="9106" spans="1:6">
      <c r="A9106" s="5" t="str">
        <f t="shared" si="166"/>
        <v>202341</v>
      </c>
      <c r="B9106" s="5" t="str">
        <f>"23085025116"</f>
        <v>23085025116</v>
      </c>
      <c r="C9106" s="6">
        <v>75</v>
      </c>
      <c r="D9106" s="6">
        <v>68.85</v>
      </c>
      <c r="E9106" s="6">
        <v>143.85</v>
      </c>
      <c r="F9106" s="11"/>
    </row>
    <row r="9107" spans="1:6">
      <c r="A9107" s="5" t="str">
        <f t="shared" si="166"/>
        <v>202341</v>
      </c>
      <c r="B9107" s="5" t="str">
        <f>"23085025118"</f>
        <v>23085025118</v>
      </c>
      <c r="C9107" s="6">
        <v>0</v>
      </c>
      <c r="D9107" s="6">
        <v>0</v>
      </c>
      <c r="E9107" s="6">
        <v>0</v>
      </c>
      <c r="F9107" s="11" t="s">
        <v>7</v>
      </c>
    </row>
    <row r="9108" spans="1:6">
      <c r="A9108" s="5" t="str">
        <f t="shared" si="166"/>
        <v>202341</v>
      </c>
      <c r="B9108" s="5" t="str">
        <f>"23085025117"</f>
        <v>23085025117</v>
      </c>
      <c r="C9108" s="6">
        <v>0</v>
      </c>
      <c r="D9108" s="6">
        <v>0</v>
      </c>
      <c r="E9108" s="6">
        <v>0</v>
      </c>
      <c r="F9108" s="11" t="s">
        <v>7</v>
      </c>
    </row>
    <row r="9109" spans="1:6">
      <c r="A9109" s="5" t="str">
        <f t="shared" si="166"/>
        <v>202341</v>
      </c>
      <c r="B9109" s="5" t="str">
        <f>"23085025124"</f>
        <v>23085025124</v>
      </c>
      <c r="C9109" s="6">
        <v>0</v>
      </c>
      <c r="D9109" s="6">
        <v>0</v>
      </c>
      <c r="E9109" s="6">
        <v>0</v>
      </c>
      <c r="F9109" s="11" t="s">
        <v>7</v>
      </c>
    </row>
    <row r="9110" spans="1:6">
      <c r="A9110" s="5" t="str">
        <f t="shared" si="166"/>
        <v>202341</v>
      </c>
      <c r="B9110" s="5" t="str">
        <f>"23085025123"</f>
        <v>23085025123</v>
      </c>
      <c r="C9110" s="6">
        <v>0</v>
      </c>
      <c r="D9110" s="6">
        <v>0</v>
      </c>
      <c r="E9110" s="6">
        <v>0</v>
      </c>
      <c r="F9110" s="11" t="s">
        <v>7</v>
      </c>
    </row>
    <row r="9111" spans="1:6">
      <c r="A9111" s="5" t="str">
        <f t="shared" si="166"/>
        <v>202341</v>
      </c>
      <c r="B9111" s="5" t="str">
        <f>"23085025119"</f>
        <v>23085025119</v>
      </c>
      <c r="C9111" s="6">
        <v>0</v>
      </c>
      <c r="D9111" s="6">
        <v>0</v>
      </c>
      <c r="E9111" s="6">
        <v>0</v>
      </c>
      <c r="F9111" s="11" t="s">
        <v>7</v>
      </c>
    </row>
    <row r="9112" spans="1:6">
      <c r="A9112" s="5" t="str">
        <f>"202342"</f>
        <v>202342</v>
      </c>
      <c r="B9112" s="5" t="str">
        <f>"23085025128"</f>
        <v>23085025128</v>
      </c>
      <c r="C9112" s="6">
        <v>100.5</v>
      </c>
      <c r="D9112" s="6">
        <v>78.4</v>
      </c>
      <c r="E9112" s="6">
        <v>178.9</v>
      </c>
      <c r="F9112" s="11"/>
    </row>
    <row r="9113" spans="1:6">
      <c r="A9113" s="5" t="str">
        <f>"202342"</f>
        <v>202342</v>
      </c>
      <c r="B9113" s="5" t="str">
        <f>"23085025127"</f>
        <v>23085025127</v>
      </c>
      <c r="C9113" s="6">
        <v>99</v>
      </c>
      <c r="D9113" s="6">
        <v>78.98</v>
      </c>
      <c r="E9113" s="6">
        <v>177.98</v>
      </c>
      <c r="F9113" s="11"/>
    </row>
    <row r="9114" spans="1:6">
      <c r="A9114" s="5" t="str">
        <f t="shared" ref="A9114:A9123" si="167">"202343"</f>
        <v>202343</v>
      </c>
      <c r="B9114" s="5" t="str">
        <f>"23085025130"</f>
        <v>23085025130</v>
      </c>
      <c r="C9114" s="6">
        <v>123</v>
      </c>
      <c r="D9114" s="6">
        <v>73.19</v>
      </c>
      <c r="E9114" s="6">
        <v>196.19</v>
      </c>
      <c r="F9114" s="11"/>
    </row>
    <row r="9115" spans="1:6">
      <c r="A9115" s="5" t="str">
        <f t="shared" si="167"/>
        <v>202343</v>
      </c>
      <c r="B9115" s="5" t="str">
        <f>"23085025129"</f>
        <v>23085025129</v>
      </c>
      <c r="C9115" s="6">
        <v>97.5</v>
      </c>
      <c r="D9115" s="6">
        <v>77.95</v>
      </c>
      <c r="E9115" s="6">
        <v>175.45</v>
      </c>
      <c r="F9115" s="11"/>
    </row>
    <row r="9116" spans="1:6">
      <c r="A9116" s="5" t="str">
        <f t="shared" si="167"/>
        <v>202343</v>
      </c>
      <c r="B9116" s="5" t="str">
        <f>"23085025201"</f>
        <v>23085025201</v>
      </c>
      <c r="C9116" s="6">
        <v>102</v>
      </c>
      <c r="D9116" s="6">
        <v>69.4</v>
      </c>
      <c r="E9116" s="6">
        <v>171.4</v>
      </c>
      <c r="F9116" s="11"/>
    </row>
    <row r="9117" spans="1:6">
      <c r="A9117" s="5" t="str">
        <f t="shared" si="167"/>
        <v>202343</v>
      </c>
      <c r="B9117" s="5" t="str">
        <f>"23085025202"</f>
        <v>23085025202</v>
      </c>
      <c r="C9117" s="6">
        <v>88.5</v>
      </c>
      <c r="D9117" s="6">
        <v>77.19</v>
      </c>
      <c r="E9117" s="6">
        <v>165.69</v>
      </c>
      <c r="F9117" s="11"/>
    </row>
    <row r="9118" spans="1:6">
      <c r="A9118" s="5" t="str">
        <f t="shared" si="167"/>
        <v>202343</v>
      </c>
      <c r="B9118" s="5" t="str">
        <f>"23085025208"</f>
        <v>23085025208</v>
      </c>
      <c r="C9118" s="6">
        <v>99</v>
      </c>
      <c r="D9118" s="6">
        <v>58.14</v>
      </c>
      <c r="E9118" s="6">
        <v>157.14</v>
      </c>
      <c r="F9118" s="11"/>
    </row>
    <row r="9119" spans="1:6">
      <c r="A9119" s="5" t="str">
        <f t="shared" si="167"/>
        <v>202343</v>
      </c>
      <c r="B9119" s="5" t="str">
        <f>"23085025205"</f>
        <v>23085025205</v>
      </c>
      <c r="C9119" s="6">
        <v>88.5</v>
      </c>
      <c r="D9119" s="6">
        <v>60.85</v>
      </c>
      <c r="E9119" s="6">
        <v>149.35</v>
      </c>
      <c r="F9119" s="11"/>
    </row>
    <row r="9120" spans="1:6">
      <c r="A9120" s="5" t="str">
        <f t="shared" si="167"/>
        <v>202343</v>
      </c>
      <c r="B9120" s="5" t="str">
        <f>"23085025206"</f>
        <v>23085025206</v>
      </c>
      <c r="C9120" s="6">
        <v>93</v>
      </c>
      <c r="D9120" s="6">
        <v>56.32</v>
      </c>
      <c r="E9120" s="6">
        <v>149.32</v>
      </c>
      <c r="F9120" s="11"/>
    </row>
    <row r="9121" spans="1:6">
      <c r="A9121" s="5" t="str">
        <f t="shared" si="167"/>
        <v>202343</v>
      </c>
      <c r="B9121" s="5" t="str">
        <f>"23085025203"</f>
        <v>23085025203</v>
      </c>
      <c r="C9121" s="6">
        <v>90</v>
      </c>
      <c r="D9121" s="6">
        <v>56.82</v>
      </c>
      <c r="E9121" s="6">
        <v>146.82</v>
      </c>
      <c r="F9121" s="11"/>
    </row>
    <row r="9122" spans="1:6">
      <c r="A9122" s="5" t="str">
        <f t="shared" si="167"/>
        <v>202343</v>
      </c>
      <c r="B9122" s="5" t="str">
        <f>"23085025204"</f>
        <v>23085025204</v>
      </c>
      <c r="C9122" s="6">
        <v>96</v>
      </c>
      <c r="D9122" s="6">
        <v>47.72</v>
      </c>
      <c r="E9122" s="6">
        <v>143.72</v>
      </c>
      <c r="F9122" s="11"/>
    </row>
    <row r="9123" spans="1:6">
      <c r="A9123" s="5" t="str">
        <f t="shared" si="167"/>
        <v>202343</v>
      </c>
      <c r="B9123" s="5" t="str">
        <f>"23085025207"</f>
        <v>23085025207</v>
      </c>
      <c r="C9123" s="6">
        <v>0</v>
      </c>
      <c r="D9123" s="6">
        <v>0</v>
      </c>
      <c r="E9123" s="6">
        <v>0</v>
      </c>
      <c r="F9123" s="11" t="s">
        <v>7</v>
      </c>
    </row>
    <row r="9124" spans="1:6">
      <c r="A9124" s="5" t="str">
        <f t="shared" ref="A9124:A9184" si="168">"202345"</f>
        <v>202345</v>
      </c>
      <c r="B9124" s="5" t="str">
        <f>"23085025404"</f>
        <v>23085025404</v>
      </c>
      <c r="C9124" s="6">
        <v>111</v>
      </c>
      <c r="D9124" s="6">
        <v>84.87</v>
      </c>
      <c r="E9124" s="6">
        <v>195.87</v>
      </c>
      <c r="F9124" s="11"/>
    </row>
    <row r="9125" spans="1:6">
      <c r="A9125" s="5" t="str">
        <f t="shared" si="168"/>
        <v>202345</v>
      </c>
      <c r="B9125" s="5" t="str">
        <f>"23085025213"</f>
        <v>23085025213</v>
      </c>
      <c r="C9125" s="6">
        <v>112.5</v>
      </c>
      <c r="D9125" s="6">
        <v>74.43</v>
      </c>
      <c r="E9125" s="6">
        <v>186.93</v>
      </c>
      <c r="F9125" s="11"/>
    </row>
    <row r="9126" spans="1:6">
      <c r="A9126" s="5" t="str">
        <f t="shared" si="168"/>
        <v>202345</v>
      </c>
      <c r="B9126" s="5" t="str">
        <f>"23085025306"</f>
        <v>23085025306</v>
      </c>
      <c r="C9126" s="6">
        <v>108</v>
      </c>
      <c r="D9126" s="6">
        <v>74.08</v>
      </c>
      <c r="E9126" s="6">
        <v>182.08</v>
      </c>
      <c r="F9126" s="11"/>
    </row>
    <row r="9127" spans="1:6">
      <c r="A9127" s="5" t="str">
        <f t="shared" si="168"/>
        <v>202345</v>
      </c>
      <c r="B9127" s="5" t="str">
        <f>"23085025209"</f>
        <v>23085025209</v>
      </c>
      <c r="C9127" s="6">
        <v>97.5</v>
      </c>
      <c r="D9127" s="6">
        <v>84.48</v>
      </c>
      <c r="E9127" s="6">
        <v>181.98</v>
      </c>
      <c r="F9127" s="11"/>
    </row>
    <row r="9128" spans="1:6">
      <c r="A9128" s="5" t="str">
        <f t="shared" si="168"/>
        <v>202345</v>
      </c>
      <c r="B9128" s="5" t="str">
        <f>"23085025328"</f>
        <v>23085025328</v>
      </c>
      <c r="C9128" s="6">
        <v>99</v>
      </c>
      <c r="D9128" s="6">
        <v>81.82</v>
      </c>
      <c r="E9128" s="6">
        <v>180.82</v>
      </c>
      <c r="F9128" s="11"/>
    </row>
    <row r="9129" spans="1:6">
      <c r="A9129" s="5" t="str">
        <f t="shared" si="168"/>
        <v>202345</v>
      </c>
      <c r="B9129" s="5" t="str">
        <f>"23085025324"</f>
        <v>23085025324</v>
      </c>
      <c r="C9129" s="6">
        <v>111</v>
      </c>
      <c r="D9129" s="6">
        <v>63.24</v>
      </c>
      <c r="E9129" s="6">
        <v>174.24</v>
      </c>
      <c r="F9129" s="11"/>
    </row>
    <row r="9130" spans="1:6">
      <c r="A9130" s="5" t="str">
        <f t="shared" si="168"/>
        <v>202345</v>
      </c>
      <c r="B9130" s="5" t="str">
        <f>"23085025406"</f>
        <v>23085025406</v>
      </c>
      <c r="C9130" s="6">
        <v>105</v>
      </c>
      <c r="D9130" s="6">
        <v>66.9</v>
      </c>
      <c r="E9130" s="6">
        <v>171.9</v>
      </c>
      <c r="F9130" s="11"/>
    </row>
    <row r="9131" spans="1:6">
      <c r="A9131" s="5" t="str">
        <f t="shared" si="168"/>
        <v>202345</v>
      </c>
      <c r="B9131" s="5" t="str">
        <f>"23085025330"</f>
        <v>23085025330</v>
      </c>
      <c r="C9131" s="6">
        <v>97.5</v>
      </c>
      <c r="D9131" s="6">
        <v>74.32</v>
      </c>
      <c r="E9131" s="6">
        <v>171.82</v>
      </c>
      <c r="F9131" s="11"/>
    </row>
    <row r="9132" spans="1:6">
      <c r="A9132" s="5" t="str">
        <f t="shared" si="168"/>
        <v>202345</v>
      </c>
      <c r="B9132" s="5" t="str">
        <f>"23085025219"</f>
        <v>23085025219</v>
      </c>
      <c r="C9132" s="6">
        <v>96</v>
      </c>
      <c r="D9132" s="6">
        <v>73.56</v>
      </c>
      <c r="E9132" s="6">
        <v>169.56</v>
      </c>
      <c r="F9132" s="11"/>
    </row>
    <row r="9133" spans="1:6">
      <c r="A9133" s="5" t="str">
        <f t="shared" si="168"/>
        <v>202345</v>
      </c>
      <c r="B9133" s="5" t="str">
        <f>"23085025317"</f>
        <v>23085025317</v>
      </c>
      <c r="C9133" s="6">
        <v>96</v>
      </c>
      <c r="D9133" s="6">
        <v>72.9</v>
      </c>
      <c r="E9133" s="6">
        <v>168.9</v>
      </c>
      <c r="F9133" s="11"/>
    </row>
    <row r="9134" spans="1:6">
      <c r="A9134" s="5" t="str">
        <f t="shared" si="168"/>
        <v>202345</v>
      </c>
      <c r="B9134" s="5" t="str">
        <f>"23085025307"</f>
        <v>23085025307</v>
      </c>
      <c r="C9134" s="6">
        <v>108</v>
      </c>
      <c r="D9134" s="6">
        <v>60.66</v>
      </c>
      <c r="E9134" s="6">
        <v>168.66</v>
      </c>
      <c r="F9134" s="11"/>
    </row>
    <row r="9135" spans="1:6">
      <c r="A9135" s="5" t="str">
        <f t="shared" si="168"/>
        <v>202345</v>
      </c>
      <c r="B9135" s="5" t="str">
        <f>"23085025325"</f>
        <v>23085025325</v>
      </c>
      <c r="C9135" s="6">
        <v>97.5</v>
      </c>
      <c r="D9135" s="6">
        <v>70.61</v>
      </c>
      <c r="E9135" s="6">
        <v>168.11</v>
      </c>
      <c r="F9135" s="11"/>
    </row>
    <row r="9136" spans="1:6">
      <c r="A9136" s="5" t="str">
        <f t="shared" si="168"/>
        <v>202345</v>
      </c>
      <c r="B9136" s="5" t="str">
        <f>"23085025229"</f>
        <v>23085025229</v>
      </c>
      <c r="C9136" s="6">
        <v>99</v>
      </c>
      <c r="D9136" s="6">
        <v>68.8</v>
      </c>
      <c r="E9136" s="6">
        <v>167.8</v>
      </c>
      <c r="F9136" s="11"/>
    </row>
    <row r="9137" spans="1:6">
      <c r="A9137" s="5" t="str">
        <f t="shared" si="168"/>
        <v>202345</v>
      </c>
      <c r="B9137" s="5" t="str">
        <f>"23085025316"</f>
        <v>23085025316</v>
      </c>
      <c r="C9137" s="6">
        <v>105</v>
      </c>
      <c r="D9137" s="6">
        <v>61.66</v>
      </c>
      <c r="E9137" s="6">
        <v>166.66</v>
      </c>
      <c r="F9137" s="11"/>
    </row>
    <row r="9138" spans="1:6">
      <c r="A9138" s="5" t="str">
        <f t="shared" si="168"/>
        <v>202345</v>
      </c>
      <c r="B9138" s="5" t="str">
        <f>"23085025319"</f>
        <v>23085025319</v>
      </c>
      <c r="C9138" s="6">
        <v>100.5</v>
      </c>
      <c r="D9138" s="6">
        <v>63.35</v>
      </c>
      <c r="E9138" s="6">
        <v>163.85</v>
      </c>
      <c r="F9138" s="11"/>
    </row>
    <row r="9139" spans="1:6">
      <c r="A9139" s="5" t="str">
        <f t="shared" si="168"/>
        <v>202345</v>
      </c>
      <c r="B9139" s="5" t="str">
        <f>"23085025217"</f>
        <v>23085025217</v>
      </c>
      <c r="C9139" s="6">
        <v>91.5</v>
      </c>
      <c r="D9139" s="6">
        <v>71.53</v>
      </c>
      <c r="E9139" s="6">
        <v>163.03</v>
      </c>
      <c r="F9139" s="11"/>
    </row>
    <row r="9140" spans="1:6">
      <c r="A9140" s="5" t="str">
        <f t="shared" si="168"/>
        <v>202345</v>
      </c>
      <c r="B9140" s="5" t="str">
        <f>"23085025322"</f>
        <v>23085025322</v>
      </c>
      <c r="C9140" s="6">
        <v>94.5</v>
      </c>
      <c r="D9140" s="6">
        <v>67.37</v>
      </c>
      <c r="E9140" s="6">
        <v>161.87</v>
      </c>
      <c r="F9140" s="11"/>
    </row>
    <row r="9141" spans="1:6">
      <c r="A9141" s="5" t="str">
        <f t="shared" si="168"/>
        <v>202345</v>
      </c>
      <c r="B9141" s="5" t="str">
        <f>"23085025222"</f>
        <v>23085025222</v>
      </c>
      <c r="C9141" s="6">
        <v>94.5</v>
      </c>
      <c r="D9141" s="6">
        <v>65.9</v>
      </c>
      <c r="E9141" s="6">
        <v>160.4</v>
      </c>
      <c r="F9141" s="11"/>
    </row>
    <row r="9142" spans="1:6">
      <c r="A9142" s="5" t="str">
        <f t="shared" si="168"/>
        <v>202345</v>
      </c>
      <c r="B9142" s="5" t="str">
        <f>"23085025225"</f>
        <v>23085025225</v>
      </c>
      <c r="C9142" s="6">
        <v>87</v>
      </c>
      <c r="D9142" s="6">
        <v>72.4</v>
      </c>
      <c r="E9142" s="6">
        <v>159.4</v>
      </c>
      <c r="F9142" s="11"/>
    </row>
    <row r="9143" spans="1:6">
      <c r="A9143" s="5" t="str">
        <f t="shared" si="168"/>
        <v>202345</v>
      </c>
      <c r="B9143" s="5" t="str">
        <f>"23085025224"</f>
        <v>23085025224</v>
      </c>
      <c r="C9143" s="6">
        <v>96</v>
      </c>
      <c r="D9143" s="6">
        <v>61.69</v>
      </c>
      <c r="E9143" s="6">
        <v>157.69</v>
      </c>
      <c r="F9143" s="11"/>
    </row>
    <row r="9144" spans="1:6">
      <c r="A9144" s="5" t="str">
        <f t="shared" si="168"/>
        <v>202345</v>
      </c>
      <c r="B9144" s="5" t="str">
        <f>"23085025221"</f>
        <v>23085025221</v>
      </c>
      <c r="C9144" s="6">
        <v>90</v>
      </c>
      <c r="D9144" s="6">
        <v>67.61</v>
      </c>
      <c r="E9144" s="6">
        <v>157.61</v>
      </c>
      <c r="F9144" s="11"/>
    </row>
    <row r="9145" spans="1:6">
      <c r="A9145" s="5" t="str">
        <f t="shared" si="168"/>
        <v>202345</v>
      </c>
      <c r="B9145" s="5" t="str">
        <f>"23085025409"</f>
        <v>23085025409</v>
      </c>
      <c r="C9145" s="6">
        <v>88.5</v>
      </c>
      <c r="D9145" s="6">
        <v>68.61</v>
      </c>
      <c r="E9145" s="6">
        <v>157.11</v>
      </c>
      <c r="F9145" s="11"/>
    </row>
    <row r="9146" spans="1:6">
      <c r="A9146" s="5" t="str">
        <f t="shared" si="168"/>
        <v>202345</v>
      </c>
      <c r="B9146" s="5" t="str">
        <f>"23085025210"</f>
        <v>23085025210</v>
      </c>
      <c r="C9146" s="6">
        <v>90</v>
      </c>
      <c r="D9146" s="6">
        <v>65.95</v>
      </c>
      <c r="E9146" s="6">
        <v>155.95</v>
      </c>
      <c r="F9146" s="11"/>
    </row>
    <row r="9147" spans="1:6">
      <c r="A9147" s="5" t="str">
        <f t="shared" si="168"/>
        <v>202345</v>
      </c>
      <c r="B9147" s="5" t="str">
        <f>"23085025218"</f>
        <v>23085025218</v>
      </c>
      <c r="C9147" s="6">
        <v>90</v>
      </c>
      <c r="D9147" s="6">
        <v>60.19</v>
      </c>
      <c r="E9147" s="6">
        <v>150.19</v>
      </c>
      <c r="F9147" s="11"/>
    </row>
    <row r="9148" spans="1:6">
      <c r="A9148" s="5" t="str">
        <f t="shared" si="168"/>
        <v>202345</v>
      </c>
      <c r="B9148" s="5" t="str">
        <f>"23085025211"</f>
        <v>23085025211</v>
      </c>
      <c r="C9148" s="6">
        <v>96</v>
      </c>
      <c r="D9148" s="6">
        <v>53.32</v>
      </c>
      <c r="E9148" s="6">
        <v>149.32</v>
      </c>
      <c r="F9148" s="11"/>
    </row>
    <row r="9149" spans="1:6">
      <c r="A9149" s="5" t="str">
        <f t="shared" si="168"/>
        <v>202345</v>
      </c>
      <c r="B9149" s="5" t="str">
        <f>"23085025212"</f>
        <v>23085025212</v>
      </c>
      <c r="C9149" s="6">
        <v>88.5</v>
      </c>
      <c r="D9149" s="6">
        <v>60.79</v>
      </c>
      <c r="E9149" s="6">
        <v>149.29</v>
      </c>
      <c r="F9149" s="11"/>
    </row>
    <row r="9150" spans="1:6">
      <c r="A9150" s="5" t="str">
        <f t="shared" si="168"/>
        <v>202345</v>
      </c>
      <c r="B9150" s="5" t="str">
        <f>"23085025223"</f>
        <v>23085025223</v>
      </c>
      <c r="C9150" s="6">
        <v>90</v>
      </c>
      <c r="D9150" s="6">
        <v>57.35</v>
      </c>
      <c r="E9150" s="6">
        <v>147.35</v>
      </c>
      <c r="F9150" s="11"/>
    </row>
    <row r="9151" spans="1:6">
      <c r="A9151" s="5" t="str">
        <f t="shared" si="168"/>
        <v>202345</v>
      </c>
      <c r="B9151" s="5" t="str">
        <f>"23085025310"</f>
        <v>23085025310</v>
      </c>
      <c r="C9151" s="6">
        <v>82.5</v>
      </c>
      <c r="D9151" s="6">
        <v>64.11</v>
      </c>
      <c r="E9151" s="6">
        <v>146.61</v>
      </c>
      <c r="F9151" s="11"/>
    </row>
    <row r="9152" spans="1:6">
      <c r="A9152" s="5" t="str">
        <f t="shared" si="168"/>
        <v>202345</v>
      </c>
      <c r="B9152" s="5" t="str">
        <f>"23085025326"</f>
        <v>23085025326</v>
      </c>
      <c r="C9152" s="6">
        <v>102</v>
      </c>
      <c r="D9152" s="6">
        <v>43.46</v>
      </c>
      <c r="E9152" s="6">
        <v>145.46</v>
      </c>
      <c r="F9152" s="11"/>
    </row>
    <row r="9153" spans="1:6">
      <c r="A9153" s="5" t="str">
        <f t="shared" si="168"/>
        <v>202345</v>
      </c>
      <c r="B9153" s="5" t="str">
        <f>"23085025402"</f>
        <v>23085025402</v>
      </c>
      <c r="C9153" s="6">
        <v>90</v>
      </c>
      <c r="D9153" s="6">
        <v>54.87</v>
      </c>
      <c r="E9153" s="6">
        <v>144.87</v>
      </c>
      <c r="F9153" s="11"/>
    </row>
    <row r="9154" spans="1:6">
      <c r="A9154" s="5" t="str">
        <f t="shared" si="168"/>
        <v>202345</v>
      </c>
      <c r="B9154" s="5" t="str">
        <f>"23085025314"</f>
        <v>23085025314</v>
      </c>
      <c r="C9154" s="6">
        <v>75</v>
      </c>
      <c r="D9154" s="6">
        <v>69.42</v>
      </c>
      <c r="E9154" s="6">
        <v>144.42</v>
      </c>
      <c r="F9154" s="11"/>
    </row>
    <row r="9155" spans="1:6">
      <c r="A9155" s="5" t="str">
        <f t="shared" si="168"/>
        <v>202345</v>
      </c>
      <c r="B9155" s="5" t="str">
        <f>"23085025320"</f>
        <v>23085025320</v>
      </c>
      <c r="C9155" s="6">
        <v>96</v>
      </c>
      <c r="D9155" s="6">
        <v>46.88</v>
      </c>
      <c r="E9155" s="6">
        <v>142.88</v>
      </c>
      <c r="F9155" s="11"/>
    </row>
    <row r="9156" spans="1:6">
      <c r="A9156" s="5" t="str">
        <f t="shared" si="168"/>
        <v>202345</v>
      </c>
      <c r="B9156" s="5" t="str">
        <f>"23085025308"</f>
        <v>23085025308</v>
      </c>
      <c r="C9156" s="6">
        <v>88.5</v>
      </c>
      <c r="D9156" s="6">
        <v>53.16</v>
      </c>
      <c r="E9156" s="6">
        <v>141.66</v>
      </c>
      <c r="F9156" s="11"/>
    </row>
    <row r="9157" spans="1:6">
      <c r="A9157" s="5" t="str">
        <f t="shared" si="168"/>
        <v>202345</v>
      </c>
      <c r="B9157" s="5" t="str">
        <f>"23085025401"</f>
        <v>23085025401</v>
      </c>
      <c r="C9157" s="6">
        <v>78</v>
      </c>
      <c r="D9157" s="6">
        <v>63.66</v>
      </c>
      <c r="E9157" s="6">
        <v>141.66</v>
      </c>
      <c r="F9157" s="11"/>
    </row>
    <row r="9158" spans="1:6">
      <c r="A9158" s="5" t="str">
        <f t="shared" si="168"/>
        <v>202345</v>
      </c>
      <c r="B9158" s="5" t="str">
        <f>"23085025215"</f>
        <v>23085025215</v>
      </c>
      <c r="C9158" s="6">
        <v>90</v>
      </c>
      <c r="D9158" s="6">
        <v>51.53</v>
      </c>
      <c r="E9158" s="6">
        <v>141.53</v>
      </c>
      <c r="F9158" s="11"/>
    </row>
    <row r="9159" spans="1:6">
      <c r="A9159" s="5" t="str">
        <f t="shared" si="168"/>
        <v>202345</v>
      </c>
      <c r="B9159" s="5" t="str">
        <f>"23085025403"</f>
        <v>23085025403</v>
      </c>
      <c r="C9159" s="6">
        <v>79.5</v>
      </c>
      <c r="D9159" s="6">
        <v>57.82</v>
      </c>
      <c r="E9159" s="6">
        <v>137.32</v>
      </c>
      <c r="F9159" s="11"/>
    </row>
    <row r="9160" spans="1:6">
      <c r="A9160" s="5" t="str">
        <f t="shared" si="168"/>
        <v>202345</v>
      </c>
      <c r="B9160" s="5" t="str">
        <f>"23085025304"</f>
        <v>23085025304</v>
      </c>
      <c r="C9160" s="6">
        <v>84</v>
      </c>
      <c r="D9160" s="6">
        <v>53.16</v>
      </c>
      <c r="E9160" s="6">
        <v>137.16</v>
      </c>
      <c r="F9160" s="11"/>
    </row>
    <row r="9161" spans="1:6">
      <c r="A9161" s="5" t="str">
        <f t="shared" si="168"/>
        <v>202345</v>
      </c>
      <c r="B9161" s="5" t="str">
        <f>"23085025312"</f>
        <v>23085025312</v>
      </c>
      <c r="C9161" s="6">
        <v>93</v>
      </c>
      <c r="D9161" s="6">
        <v>43.27</v>
      </c>
      <c r="E9161" s="6">
        <v>136.27</v>
      </c>
      <c r="F9161" s="11"/>
    </row>
    <row r="9162" spans="1:6">
      <c r="A9162" s="5" t="str">
        <f t="shared" si="168"/>
        <v>202345</v>
      </c>
      <c r="B9162" s="5" t="str">
        <f>"23085025220"</f>
        <v>23085025220</v>
      </c>
      <c r="C9162" s="6">
        <v>84</v>
      </c>
      <c r="D9162" s="6">
        <v>52.16</v>
      </c>
      <c r="E9162" s="6">
        <v>136.16</v>
      </c>
      <c r="F9162" s="11"/>
    </row>
    <row r="9163" spans="1:6">
      <c r="A9163" s="5" t="str">
        <f t="shared" si="168"/>
        <v>202345</v>
      </c>
      <c r="B9163" s="5" t="str">
        <f>"23085025228"</f>
        <v>23085025228</v>
      </c>
      <c r="C9163" s="6">
        <v>85.5</v>
      </c>
      <c r="D9163" s="6">
        <v>49.4</v>
      </c>
      <c r="E9163" s="6">
        <v>134.9</v>
      </c>
      <c r="F9163" s="11"/>
    </row>
    <row r="9164" spans="1:6">
      <c r="A9164" s="5" t="str">
        <f t="shared" si="168"/>
        <v>202345</v>
      </c>
      <c r="B9164" s="5" t="str">
        <f>"23085025301"</f>
        <v>23085025301</v>
      </c>
      <c r="C9164" s="6">
        <v>78</v>
      </c>
      <c r="D9164" s="6">
        <v>56.77</v>
      </c>
      <c r="E9164" s="6">
        <v>134.77</v>
      </c>
      <c r="F9164" s="11"/>
    </row>
    <row r="9165" spans="1:6">
      <c r="A9165" s="5" t="str">
        <f t="shared" si="168"/>
        <v>202345</v>
      </c>
      <c r="B9165" s="5" t="str">
        <f>"23085025302"</f>
        <v>23085025302</v>
      </c>
      <c r="C9165" s="6">
        <v>75</v>
      </c>
      <c r="D9165" s="6">
        <v>58.45</v>
      </c>
      <c r="E9165" s="6">
        <v>133.45</v>
      </c>
      <c r="F9165" s="11"/>
    </row>
    <row r="9166" spans="1:6">
      <c r="A9166" s="5" t="str">
        <f t="shared" si="168"/>
        <v>202345</v>
      </c>
      <c r="B9166" s="5" t="str">
        <f>"23085025321"</f>
        <v>23085025321</v>
      </c>
      <c r="C9166" s="6">
        <v>69</v>
      </c>
      <c r="D9166" s="6">
        <v>63.45</v>
      </c>
      <c r="E9166" s="6">
        <v>132.45</v>
      </c>
      <c r="F9166" s="11"/>
    </row>
    <row r="9167" spans="1:6">
      <c r="A9167" s="5" t="str">
        <f t="shared" si="168"/>
        <v>202345</v>
      </c>
      <c r="B9167" s="5" t="str">
        <f>"23085025405"</f>
        <v>23085025405</v>
      </c>
      <c r="C9167" s="6">
        <v>76.5</v>
      </c>
      <c r="D9167" s="6">
        <v>54.61</v>
      </c>
      <c r="E9167" s="6">
        <v>131.11</v>
      </c>
      <c r="F9167" s="11"/>
    </row>
    <row r="9168" spans="1:6">
      <c r="A9168" s="5" t="str">
        <f t="shared" si="168"/>
        <v>202345</v>
      </c>
      <c r="B9168" s="5" t="str">
        <f>"23085025315"</f>
        <v>23085025315</v>
      </c>
      <c r="C9168" s="6">
        <v>72</v>
      </c>
      <c r="D9168" s="6">
        <v>57.9</v>
      </c>
      <c r="E9168" s="6">
        <v>129.9</v>
      </c>
      <c r="F9168" s="11"/>
    </row>
    <row r="9169" spans="1:6">
      <c r="A9169" s="5" t="str">
        <f t="shared" si="168"/>
        <v>202345</v>
      </c>
      <c r="B9169" s="5" t="str">
        <f>"23085025226"</f>
        <v>23085025226</v>
      </c>
      <c r="C9169" s="6">
        <v>73.5</v>
      </c>
      <c r="D9169" s="6">
        <v>52.08</v>
      </c>
      <c r="E9169" s="6">
        <v>125.58</v>
      </c>
      <c r="F9169" s="11"/>
    </row>
    <row r="9170" spans="1:6">
      <c r="A9170" s="5" t="str">
        <f t="shared" si="168"/>
        <v>202345</v>
      </c>
      <c r="B9170" s="5" t="str">
        <f>"23085025230"</f>
        <v>23085025230</v>
      </c>
      <c r="C9170" s="6">
        <v>79.5</v>
      </c>
      <c r="D9170" s="6">
        <v>45.14</v>
      </c>
      <c r="E9170" s="6">
        <v>124.64</v>
      </c>
      <c r="F9170" s="11"/>
    </row>
    <row r="9171" spans="1:6">
      <c r="A9171" s="5" t="str">
        <f t="shared" si="168"/>
        <v>202345</v>
      </c>
      <c r="B9171" s="5" t="str">
        <f>"23085025214"</f>
        <v>23085025214</v>
      </c>
      <c r="C9171" s="6">
        <v>85.5</v>
      </c>
      <c r="D9171" s="6">
        <v>38.82</v>
      </c>
      <c r="E9171" s="6">
        <v>124.32</v>
      </c>
      <c r="F9171" s="11"/>
    </row>
    <row r="9172" spans="1:6">
      <c r="A9172" s="5" t="str">
        <f t="shared" si="168"/>
        <v>202345</v>
      </c>
      <c r="B9172" s="5" t="str">
        <f>"23085025311"</f>
        <v>23085025311</v>
      </c>
      <c r="C9172" s="6">
        <v>61.5</v>
      </c>
      <c r="D9172" s="6">
        <v>60.87</v>
      </c>
      <c r="E9172" s="6">
        <v>122.37</v>
      </c>
      <c r="F9172" s="11"/>
    </row>
    <row r="9173" spans="1:6">
      <c r="A9173" s="5" t="str">
        <f t="shared" si="168"/>
        <v>202345</v>
      </c>
      <c r="B9173" s="5" t="str">
        <f>"23085025318"</f>
        <v>23085025318</v>
      </c>
      <c r="C9173" s="6">
        <v>81</v>
      </c>
      <c r="D9173" s="6">
        <v>38.3</v>
      </c>
      <c r="E9173" s="6">
        <v>119.3</v>
      </c>
      <c r="F9173" s="11"/>
    </row>
    <row r="9174" spans="1:6">
      <c r="A9174" s="5" t="str">
        <f t="shared" si="168"/>
        <v>202345</v>
      </c>
      <c r="B9174" s="5" t="str">
        <f>"23085025327"</f>
        <v>23085025327</v>
      </c>
      <c r="C9174" s="6">
        <v>76.5</v>
      </c>
      <c r="D9174" s="6">
        <v>41.22</v>
      </c>
      <c r="E9174" s="6">
        <v>117.72</v>
      </c>
      <c r="F9174" s="11"/>
    </row>
    <row r="9175" spans="1:6">
      <c r="A9175" s="5" t="str">
        <f t="shared" si="168"/>
        <v>202345</v>
      </c>
      <c r="B9175" s="5" t="str">
        <f>"23085025216"</f>
        <v>23085025216</v>
      </c>
      <c r="C9175" s="6">
        <v>64.5</v>
      </c>
      <c r="D9175" s="6">
        <v>47.43</v>
      </c>
      <c r="E9175" s="6">
        <v>111.93</v>
      </c>
      <c r="F9175" s="11"/>
    </row>
    <row r="9176" spans="1:6">
      <c r="A9176" s="5" t="str">
        <f t="shared" si="168"/>
        <v>202345</v>
      </c>
      <c r="B9176" s="5" t="str">
        <f>"23085025227"</f>
        <v>23085025227</v>
      </c>
      <c r="C9176" s="6">
        <v>76.5</v>
      </c>
      <c r="D9176" s="6">
        <v>35.4</v>
      </c>
      <c r="E9176" s="6">
        <v>111.9</v>
      </c>
      <c r="F9176" s="11"/>
    </row>
    <row r="9177" spans="1:6">
      <c r="A9177" s="5" t="str">
        <f t="shared" si="168"/>
        <v>202345</v>
      </c>
      <c r="B9177" s="5" t="str">
        <f>"23085025408"</f>
        <v>23085025408</v>
      </c>
      <c r="C9177" s="6">
        <v>72</v>
      </c>
      <c r="D9177" s="6">
        <v>33.85</v>
      </c>
      <c r="E9177" s="6">
        <v>105.85</v>
      </c>
      <c r="F9177" s="11"/>
    </row>
    <row r="9178" spans="1:6">
      <c r="A9178" s="5" t="str">
        <f t="shared" si="168"/>
        <v>202345</v>
      </c>
      <c r="B9178" s="5" t="str">
        <f>"23085025407"</f>
        <v>23085025407</v>
      </c>
      <c r="C9178" s="6">
        <v>0</v>
      </c>
      <c r="D9178" s="6">
        <v>0</v>
      </c>
      <c r="E9178" s="6">
        <v>0</v>
      </c>
      <c r="F9178" s="11" t="s">
        <v>7</v>
      </c>
    </row>
    <row r="9179" spans="1:6">
      <c r="A9179" s="5" t="str">
        <f t="shared" si="168"/>
        <v>202345</v>
      </c>
      <c r="B9179" s="5" t="str">
        <f>"23085025303"</f>
        <v>23085025303</v>
      </c>
      <c r="C9179" s="6">
        <v>0</v>
      </c>
      <c r="D9179" s="6">
        <v>0</v>
      </c>
      <c r="E9179" s="6">
        <v>0</v>
      </c>
      <c r="F9179" s="11" t="s">
        <v>7</v>
      </c>
    </row>
    <row r="9180" spans="1:6">
      <c r="A9180" s="5" t="str">
        <f t="shared" si="168"/>
        <v>202345</v>
      </c>
      <c r="B9180" s="5" t="str">
        <f>"23085025313"</f>
        <v>23085025313</v>
      </c>
      <c r="C9180" s="6">
        <v>0</v>
      </c>
      <c r="D9180" s="6">
        <v>0</v>
      </c>
      <c r="E9180" s="6">
        <v>0</v>
      </c>
      <c r="F9180" s="11" t="s">
        <v>7</v>
      </c>
    </row>
    <row r="9181" spans="1:6">
      <c r="A9181" s="5" t="str">
        <f t="shared" si="168"/>
        <v>202345</v>
      </c>
      <c r="B9181" s="5" t="str">
        <f>"23085025329"</f>
        <v>23085025329</v>
      </c>
      <c r="C9181" s="6">
        <v>0</v>
      </c>
      <c r="D9181" s="6">
        <v>0</v>
      </c>
      <c r="E9181" s="6">
        <v>0</v>
      </c>
      <c r="F9181" s="11" t="s">
        <v>7</v>
      </c>
    </row>
    <row r="9182" spans="1:6">
      <c r="A9182" s="5" t="str">
        <f t="shared" si="168"/>
        <v>202345</v>
      </c>
      <c r="B9182" s="5" t="str">
        <f>"23085025305"</f>
        <v>23085025305</v>
      </c>
      <c r="C9182" s="6">
        <v>0</v>
      </c>
      <c r="D9182" s="6">
        <v>0</v>
      </c>
      <c r="E9182" s="6">
        <v>0</v>
      </c>
      <c r="F9182" s="11" t="s">
        <v>7</v>
      </c>
    </row>
    <row r="9183" spans="1:6">
      <c r="A9183" s="5" t="str">
        <f t="shared" si="168"/>
        <v>202345</v>
      </c>
      <c r="B9183" s="5" t="str">
        <f>"23085025323"</f>
        <v>23085025323</v>
      </c>
      <c r="C9183" s="6">
        <v>0</v>
      </c>
      <c r="D9183" s="6">
        <v>0</v>
      </c>
      <c r="E9183" s="6">
        <v>0</v>
      </c>
      <c r="F9183" s="11" t="s">
        <v>7</v>
      </c>
    </row>
    <row r="9184" spans="1:6">
      <c r="A9184" s="5" t="str">
        <f t="shared" si="168"/>
        <v>202345</v>
      </c>
      <c r="B9184" s="5" t="str">
        <f>"23085025309"</f>
        <v>23085025309</v>
      </c>
      <c r="C9184" s="6">
        <v>0</v>
      </c>
      <c r="D9184" s="6">
        <v>0</v>
      </c>
      <c r="E9184" s="6">
        <v>0</v>
      </c>
      <c r="F9184" s="11" t="s">
        <v>7</v>
      </c>
    </row>
    <row r="9185" spans="1:6">
      <c r="A9185" s="5" t="str">
        <f>"202346"</f>
        <v>202346</v>
      </c>
      <c r="B9185" s="5" t="str">
        <f>"23085025410"</f>
        <v>23085025410</v>
      </c>
      <c r="C9185" s="6">
        <v>81</v>
      </c>
      <c r="D9185" s="6">
        <v>70.01</v>
      </c>
      <c r="E9185" s="6">
        <v>151.01</v>
      </c>
      <c r="F9185" s="11"/>
    </row>
    <row r="9186" spans="1:6">
      <c r="A9186" s="5" t="str">
        <f t="shared" ref="A9186:A9194" si="169">"202347"</f>
        <v>202347</v>
      </c>
      <c r="B9186" s="5" t="str">
        <f>"23085025412"</f>
        <v>23085025412</v>
      </c>
      <c r="C9186" s="6">
        <v>103.5</v>
      </c>
      <c r="D9186" s="6">
        <v>98.66</v>
      </c>
      <c r="E9186" s="6">
        <v>202.16</v>
      </c>
      <c r="F9186" s="11"/>
    </row>
    <row r="9187" spans="1:6">
      <c r="A9187" s="5" t="str">
        <f t="shared" si="169"/>
        <v>202347</v>
      </c>
      <c r="B9187" s="5" t="str">
        <f>"23085025417"</f>
        <v>23085025417</v>
      </c>
      <c r="C9187" s="6">
        <v>103.5</v>
      </c>
      <c r="D9187" s="6">
        <v>80.21</v>
      </c>
      <c r="E9187" s="6">
        <v>183.71</v>
      </c>
      <c r="F9187" s="11"/>
    </row>
    <row r="9188" spans="1:6">
      <c r="A9188" s="5" t="str">
        <f t="shared" si="169"/>
        <v>202347</v>
      </c>
      <c r="B9188" s="5" t="str">
        <f>"23085025419"</f>
        <v>23085025419</v>
      </c>
      <c r="C9188" s="6">
        <v>102</v>
      </c>
      <c r="D9188" s="6">
        <v>71.85</v>
      </c>
      <c r="E9188" s="6">
        <v>173.85</v>
      </c>
      <c r="F9188" s="11"/>
    </row>
    <row r="9189" spans="1:6">
      <c r="A9189" s="5" t="str">
        <f t="shared" si="169"/>
        <v>202347</v>
      </c>
      <c r="B9189" s="5" t="str">
        <f>"23085025415"</f>
        <v>23085025415</v>
      </c>
      <c r="C9189" s="6">
        <v>106.5</v>
      </c>
      <c r="D9189" s="6">
        <v>63.85</v>
      </c>
      <c r="E9189" s="6">
        <v>170.35</v>
      </c>
      <c r="F9189" s="11"/>
    </row>
    <row r="9190" spans="1:6">
      <c r="A9190" s="5" t="str">
        <f t="shared" si="169"/>
        <v>202347</v>
      </c>
      <c r="B9190" s="5" t="str">
        <f>"23085025414"</f>
        <v>23085025414</v>
      </c>
      <c r="C9190" s="6">
        <v>100.5</v>
      </c>
      <c r="D9190" s="6">
        <v>65.88</v>
      </c>
      <c r="E9190" s="6">
        <v>166.38</v>
      </c>
      <c r="F9190" s="11"/>
    </row>
    <row r="9191" spans="1:6">
      <c r="A9191" s="5" t="str">
        <f t="shared" si="169"/>
        <v>202347</v>
      </c>
      <c r="B9191" s="5" t="str">
        <f>"23085025416"</f>
        <v>23085025416</v>
      </c>
      <c r="C9191" s="6">
        <v>79.5</v>
      </c>
      <c r="D9191" s="6">
        <v>79.19</v>
      </c>
      <c r="E9191" s="6">
        <v>158.69</v>
      </c>
      <c r="F9191" s="11"/>
    </row>
    <row r="9192" spans="1:6">
      <c r="A9192" s="5" t="str">
        <f t="shared" si="169"/>
        <v>202347</v>
      </c>
      <c r="B9192" s="5" t="str">
        <f>"23085025418"</f>
        <v>23085025418</v>
      </c>
      <c r="C9192" s="6">
        <v>84</v>
      </c>
      <c r="D9192" s="6">
        <v>69.35</v>
      </c>
      <c r="E9192" s="6">
        <v>153.35</v>
      </c>
      <c r="F9192" s="11"/>
    </row>
    <row r="9193" spans="1:6">
      <c r="A9193" s="5" t="str">
        <f t="shared" si="169"/>
        <v>202347</v>
      </c>
      <c r="B9193" s="5" t="str">
        <f>"23085025413"</f>
        <v>23085025413</v>
      </c>
      <c r="C9193" s="6">
        <v>84</v>
      </c>
      <c r="D9193" s="6">
        <v>66.93</v>
      </c>
      <c r="E9193" s="6">
        <v>150.93</v>
      </c>
      <c r="F9193" s="11"/>
    </row>
    <row r="9194" spans="1:6">
      <c r="A9194" s="5" t="str">
        <f t="shared" si="169"/>
        <v>202347</v>
      </c>
      <c r="B9194" s="5" t="str">
        <f>"23085025411"</f>
        <v>23085025411</v>
      </c>
      <c r="C9194" s="6">
        <v>0</v>
      </c>
      <c r="D9194" s="6">
        <v>0</v>
      </c>
      <c r="E9194" s="6">
        <v>0</v>
      </c>
      <c r="F9194" s="11" t="s">
        <v>7</v>
      </c>
    </row>
    <row r="9195" spans="1:6">
      <c r="A9195" s="5" t="str">
        <f t="shared" ref="A9195:A9203" si="170">"202348"</f>
        <v>202348</v>
      </c>
      <c r="B9195" s="5" t="str">
        <f>"23085025425"</f>
        <v>23085025425</v>
      </c>
      <c r="C9195" s="6">
        <v>105</v>
      </c>
      <c r="D9195" s="6">
        <v>86.37</v>
      </c>
      <c r="E9195" s="6">
        <v>191.37</v>
      </c>
      <c r="F9195" s="11"/>
    </row>
    <row r="9196" spans="1:6">
      <c r="A9196" s="5" t="str">
        <f t="shared" si="170"/>
        <v>202348</v>
      </c>
      <c r="B9196" s="5" t="str">
        <f>"23085025426"</f>
        <v>23085025426</v>
      </c>
      <c r="C9196" s="6">
        <v>106.5</v>
      </c>
      <c r="D9196" s="6">
        <v>62.98</v>
      </c>
      <c r="E9196" s="6">
        <v>169.48</v>
      </c>
      <c r="F9196" s="11"/>
    </row>
    <row r="9197" spans="1:6">
      <c r="A9197" s="5" t="str">
        <f t="shared" si="170"/>
        <v>202348</v>
      </c>
      <c r="B9197" s="5" t="str">
        <f>"23085025427"</f>
        <v>23085025427</v>
      </c>
      <c r="C9197" s="6">
        <v>100.5</v>
      </c>
      <c r="D9197" s="6">
        <v>66.56</v>
      </c>
      <c r="E9197" s="6">
        <v>167.06</v>
      </c>
      <c r="F9197" s="11"/>
    </row>
    <row r="9198" spans="1:6">
      <c r="A9198" s="5" t="str">
        <f t="shared" si="170"/>
        <v>202348</v>
      </c>
      <c r="B9198" s="5" t="str">
        <f>"23085025420"</f>
        <v>23085025420</v>
      </c>
      <c r="C9198" s="6">
        <v>97.5</v>
      </c>
      <c r="D9198" s="6">
        <v>66.06</v>
      </c>
      <c r="E9198" s="6">
        <v>163.56</v>
      </c>
      <c r="F9198" s="11"/>
    </row>
    <row r="9199" spans="1:6">
      <c r="A9199" s="5" t="str">
        <f t="shared" si="170"/>
        <v>202348</v>
      </c>
      <c r="B9199" s="5" t="str">
        <f>"23085025424"</f>
        <v>23085025424</v>
      </c>
      <c r="C9199" s="6">
        <v>93</v>
      </c>
      <c r="D9199" s="6">
        <v>69.4</v>
      </c>
      <c r="E9199" s="6">
        <v>162.4</v>
      </c>
      <c r="F9199" s="11"/>
    </row>
    <row r="9200" spans="1:6">
      <c r="A9200" s="5" t="str">
        <f t="shared" si="170"/>
        <v>202348</v>
      </c>
      <c r="B9200" s="5" t="str">
        <f>"23085025423"</f>
        <v>23085025423</v>
      </c>
      <c r="C9200" s="6">
        <v>70.5</v>
      </c>
      <c r="D9200" s="6">
        <v>68.32</v>
      </c>
      <c r="E9200" s="6">
        <v>138.82</v>
      </c>
      <c r="F9200" s="11"/>
    </row>
    <row r="9201" spans="1:6">
      <c r="A9201" s="5" t="str">
        <f t="shared" si="170"/>
        <v>202348</v>
      </c>
      <c r="B9201" s="5" t="str">
        <f>"23085025428"</f>
        <v>23085025428</v>
      </c>
      <c r="C9201" s="6">
        <v>0</v>
      </c>
      <c r="D9201" s="6">
        <v>0</v>
      </c>
      <c r="E9201" s="6">
        <v>0</v>
      </c>
      <c r="F9201" s="11" t="s">
        <v>7</v>
      </c>
    </row>
    <row r="9202" spans="1:6">
      <c r="A9202" s="5" t="str">
        <f t="shared" si="170"/>
        <v>202348</v>
      </c>
      <c r="B9202" s="5" t="str">
        <f>"23085025421"</f>
        <v>23085025421</v>
      </c>
      <c r="C9202" s="6">
        <v>0</v>
      </c>
      <c r="D9202" s="6">
        <v>0</v>
      </c>
      <c r="E9202" s="6">
        <v>0</v>
      </c>
      <c r="F9202" s="11" t="s">
        <v>7</v>
      </c>
    </row>
    <row r="9203" spans="1:6">
      <c r="A9203" s="5" t="str">
        <f t="shared" si="170"/>
        <v>202348</v>
      </c>
      <c r="B9203" s="5" t="str">
        <f>"23085025422"</f>
        <v>23085025422</v>
      </c>
      <c r="C9203" s="6">
        <v>0</v>
      </c>
      <c r="D9203" s="6">
        <v>0</v>
      </c>
      <c r="E9203" s="6">
        <v>0</v>
      </c>
      <c r="F9203" s="11" t="s">
        <v>7</v>
      </c>
    </row>
    <row r="9204" spans="1:6">
      <c r="A9204" s="5" t="str">
        <f t="shared" ref="A9204:A9207" si="171">"202349"</f>
        <v>202349</v>
      </c>
      <c r="B9204" s="5" t="str">
        <f>"23085025501"</f>
        <v>23085025501</v>
      </c>
      <c r="C9204" s="6">
        <v>97.5</v>
      </c>
      <c r="D9204" s="6">
        <v>82.24</v>
      </c>
      <c r="E9204" s="6">
        <v>179.74</v>
      </c>
      <c r="F9204" s="11"/>
    </row>
    <row r="9205" spans="1:6">
      <c r="A9205" s="5" t="str">
        <f t="shared" si="171"/>
        <v>202349</v>
      </c>
      <c r="B9205" s="5" t="str">
        <f>"23085025502"</f>
        <v>23085025502</v>
      </c>
      <c r="C9205" s="6">
        <v>90</v>
      </c>
      <c r="D9205" s="6">
        <v>75.53</v>
      </c>
      <c r="E9205" s="6">
        <v>165.53</v>
      </c>
      <c r="F9205" s="11"/>
    </row>
    <row r="9206" spans="1:6">
      <c r="A9206" s="5" t="str">
        <f t="shared" si="171"/>
        <v>202349</v>
      </c>
      <c r="B9206" s="5" t="str">
        <f>"23085025430"</f>
        <v>23085025430</v>
      </c>
      <c r="C9206" s="6">
        <v>96</v>
      </c>
      <c r="D9206" s="6">
        <v>62.64</v>
      </c>
      <c r="E9206" s="6">
        <v>158.64</v>
      </c>
      <c r="F9206" s="11"/>
    </row>
    <row r="9207" spans="1:6">
      <c r="A9207" s="5" t="str">
        <f t="shared" si="171"/>
        <v>202349</v>
      </c>
      <c r="B9207" s="5" t="str">
        <f>"23085025429"</f>
        <v>23085025429</v>
      </c>
      <c r="C9207" s="6">
        <v>0</v>
      </c>
      <c r="D9207" s="6">
        <v>0</v>
      </c>
      <c r="E9207" s="6">
        <v>0</v>
      </c>
      <c r="F9207" s="11" t="s">
        <v>7</v>
      </c>
    </row>
    <row r="9208" spans="1:6">
      <c r="A9208" s="5" t="str">
        <f t="shared" ref="A9208:A9217" si="172">"202350"</f>
        <v>202350</v>
      </c>
      <c r="B9208" s="5" t="str">
        <f>"23085025504"</f>
        <v>23085025504</v>
      </c>
      <c r="C9208" s="6">
        <v>117</v>
      </c>
      <c r="D9208" s="6">
        <v>87.16</v>
      </c>
      <c r="E9208" s="6">
        <v>204.16</v>
      </c>
      <c r="F9208" s="11"/>
    </row>
    <row r="9209" spans="1:6">
      <c r="A9209" s="5" t="str">
        <f t="shared" si="172"/>
        <v>202350</v>
      </c>
      <c r="B9209" s="5" t="str">
        <f>"23085025505"</f>
        <v>23085025505</v>
      </c>
      <c r="C9209" s="6">
        <v>105</v>
      </c>
      <c r="D9209" s="6">
        <v>88.85</v>
      </c>
      <c r="E9209" s="6">
        <v>193.85</v>
      </c>
      <c r="F9209" s="11"/>
    </row>
    <row r="9210" spans="1:6">
      <c r="A9210" s="5" t="str">
        <f t="shared" si="172"/>
        <v>202350</v>
      </c>
      <c r="B9210" s="5" t="str">
        <f>"23085025510"</f>
        <v>23085025510</v>
      </c>
      <c r="C9210" s="6">
        <v>106.5</v>
      </c>
      <c r="D9210" s="6">
        <v>86.98</v>
      </c>
      <c r="E9210" s="6">
        <v>193.48</v>
      </c>
      <c r="F9210" s="11"/>
    </row>
    <row r="9211" spans="1:6">
      <c r="A9211" s="5" t="str">
        <f t="shared" si="172"/>
        <v>202350</v>
      </c>
      <c r="B9211" s="5" t="str">
        <f>"23085025511"</f>
        <v>23085025511</v>
      </c>
      <c r="C9211" s="6">
        <v>105</v>
      </c>
      <c r="D9211" s="6">
        <v>87.01</v>
      </c>
      <c r="E9211" s="6">
        <v>192.01</v>
      </c>
      <c r="F9211" s="11"/>
    </row>
    <row r="9212" spans="1:6">
      <c r="A9212" s="5" t="str">
        <f t="shared" si="172"/>
        <v>202350</v>
      </c>
      <c r="B9212" s="5" t="str">
        <f>"23085025509"</f>
        <v>23085025509</v>
      </c>
      <c r="C9212" s="6">
        <v>108</v>
      </c>
      <c r="D9212" s="6">
        <v>75.9</v>
      </c>
      <c r="E9212" s="6">
        <v>183.9</v>
      </c>
      <c r="F9212" s="11"/>
    </row>
    <row r="9213" spans="1:6">
      <c r="A9213" s="5" t="str">
        <f t="shared" si="172"/>
        <v>202350</v>
      </c>
      <c r="B9213" s="5" t="str">
        <f>"23085025507"</f>
        <v>23085025507</v>
      </c>
      <c r="C9213" s="6">
        <v>84</v>
      </c>
      <c r="D9213" s="6">
        <v>84.37</v>
      </c>
      <c r="E9213" s="6">
        <v>168.37</v>
      </c>
      <c r="F9213" s="11"/>
    </row>
    <row r="9214" spans="1:6">
      <c r="A9214" s="5" t="str">
        <f t="shared" si="172"/>
        <v>202350</v>
      </c>
      <c r="B9214" s="5" t="str">
        <f>"23085025508"</f>
        <v>23085025508</v>
      </c>
      <c r="C9214" s="6">
        <v>99</v>
      </c>
      <c r="D9214" s="6">
        <v>69.14</v>
      </c>
      <c r="E9214" s="6">
        <v>168.14</v>
      </c>
      <c r="F9214" s="11"/>
    </row>
    <row r="9215" spans="1:6">
      <c r="A9215" s="5" t="str">
        <f t="shared" si="172"/>
        <v>202350</v>
      </c>
      <c r="B9215" s="5" t="str">
        <f>"23085025506"</f>
        <v>23085025506</v>
      </c>
      <c r="C9215" s="6">
        <v>0</v>
      </c>
      <c r="D9215" s="6">
        <v>0</v>
      </c>
      <c r="E9215" s="6">
        <v>0</v>
      </c>
      <c r="F9215" s="11" t="s">
        <v>7</v>
      </c>
    </row>
    <row r="9216" spans="1:6">
      <c r="A9216" s="5" t="str">
        <f t="shared" si="172"/>
        <v>202350</v>
      </c>
      <c r="B9216" s="5" t="str">
        <f>"23085025503"</f>
        <v>23085025503</v>
      </c>
      <c r="C9216" s="6">
        <v>0</v>
      </c>
      <c r="D9216" s="6">
        <v>0</v>
      </c>
      <c r="E9216" s="6">
        <v>0</v>
      </c>
      <c r="F9216" s="11" t="s">
        <v>7</v>
      </c>
    </row>
    <row r="9217" spans="1:6">
      <c r="A9217" s="5" t="str">
        <f t="shared" si="172"/>
        <v>202350</v>
      </c>
      <c r="B9217" s="5" t="str">
        <f>"23085025512"</f>
        <v>23085025512</v>
      </c>
      <c r="C9217" s="6">
        <v>0</v>
      </c>
      <c r="D9217" s="6">
        <v>0</v>
      </c>
      <c r="E9217" s="6">
        <v>0</v>
      </c>
      <c r="F9217" s="11" t="s">
        <v>7</v>
      </c>
    </row>
    <row r="9218" spans="1:6">
      <c r="A9218" s="5" t="str">
        <f t="shared" ref="A9218:A9227" si="173">"202351"</f>
        <v>202351</v>
      </c>
      <c r="B9218" s="5" t="str">
        <f>"23085025522"</f>
        <v>23085025522</v>
      </c>
      <c r="C9218" s="6">
        <v>106.5</v>
      </c>
      <c r="D9218" s="6">
        <v>93.24</v>
      </c>
      <c r="E9218" s="6">
        <v>199.74</v>
      </c>
      <c r="F9218" s="11"/>
    </row>
    <row r="9219" spans="1:6">
      <c r="A9219" s="5" t="str">
        <f t="shared" si="173"/>
        <v>202351</v>
      </c>
      <c r="B9219" s="5" t="str">
        <f>"23085025519"</f>
        <v>23085025519</v>
      </c>
      <c r="C9219" s="6">
        <v>114</v>
      </c>
      <c r="D9219" s="6">
        <v>84.27</v>
      </c>
      <c r="E9219" s="6">
        <v>198.27</v>
      </c>
      <c r="F9219" s="11"/>
    </row>
    <row r="9220" spans="1:6">
      <c r="A9220" s="5" t="str">
        <f t="shared" si="173"/>
        <v>202351</v>
      </c>
      <c r="B9220" s="5" t="str">
        <f>"23085025515"</f>
        <v>23085025515</v>
      </c>
      <c r="C9220" s="6">
        <v>105</v>
      </c>
      <c r="D9220" s="6">
        <v>82.11</v>
      </c>
      <c r="E9220" s="6">
        <v>187.11</v>
      </c>
      <c r="F9220" s="11"/>
    </row>
    <row r="9221" spans="1:6">
      <c r="A9221" s="5" t="str">
        <f t="shared" si="173"/>
        <v>202351</v>
      </c>
      <c r="B9221" s="5" t="str">
        <f>"23085025520"</f>
        <v>23085025520</v>
      </c>
      <c r="C9221" s="6">
        <v>93</v>
      </c>
      <c r="D9221" s="6">
        <v>76.32</v>
      </c>
      <c r="E9221" s="6">
        <v>169.32</v>
      </c>
      <c r="F9221" s="11"/>
    </row>
    <row r="9222" spans="1:6">
      <c r="A9222" s="5" t="str">
        <f t="shared" si="173"/>
        <v>202351</v>
      </c>
      <c r="B9222" s="5" t="str">
        <f>"23085025514"</f>
        <v>23085025514</v>
      </c>
      <c r="C9222" s="6">
        <v>100.5</v>
      </c>
      <c r="D9222" s="6">
        <v>66.35</v>
      </c>
      <c r="E9222" s="6">
        <v>166.85</v>
      </c>
      <c r="F9222" s="11"/>
    </row>
    <row r="9223" spans="1:6">
      <c r="A9223" s="5" t="str">
        <f t="shared" si="173"/>
        <v>202351</v>
      </c>
      <c r="B9223" s="5" t="str">
        <f>"23085025521"</f>
        <v>23085025521</v>
      </c>
      <c r="C9223" s="6">
        <v>96</v>
      </c>
      <c r="D9223" s="6">
        <v>61.37</v>
      </c>
      <c r="E9223" s="6">
        <v>157.37</v>
      </c>
      <c r="F9223" s="11"/>
    </row>
    <row r="9224" spans="1:6">
      <c r="A9224" s="5" t="str">
        <f t="shared" si="173"/>
        <v>202351</v>
      </c>
      <c r="B9224" s="5" t="str">
        <f>"23085025518"</f>
        <v>23085025518</v>
      </c>
      <c r="C9224" s="6">
        <v>88.5</v>
      </c>
      <c r="D9224" s="6">
        <v>62.45</v>
      </c>
      <c r="E9224" s="6">
        <v>150.95</v>
      </c>
      <c r="F9224" s="11"/>
    </row>
    <row r="9225" spans="1:6">
      <c r="A9225" s="5" t="str">
        <f t="shared" si="173"/>
        <v>202351</v>
      </c>
      <c r="B9225" s="5" t="str">
        <f>"23085025516"</f>
        <v>23085025516</v>
      </c>
      <c r="C9225" s="6">
        <v>66</v>
      </c>
      <c r="D9225" s="6">
        <v>74.01</v>
      </c>
      <c r="E9225" s="6">
        <v>140.01</v>
      </c>
      <c r="F9225" s="11"/>
    </row>
    <row r="9226" spans="1:6">
      <c r="A9226" s="5" t="str">
        <f t="shared" si="173"/>
        <v>202351</v>
      </c>
      <c r="B9226" s="5" t="str">
        <f>"23085025517"</f>
        <v>23085025517</v>
      </c>
      <c r="C9226" s="6">
        <v>69</v>
      </c>
      <c r="D9226" s="6">
        <v>62.37</v>
      </c>
      <c r="E9226" s="6">
        <v>131.37</v>
      </c>
      <c r="F9226" s="11"/>
    </row>
    <row r="9227" spans="1:6">
      <c r="A9227" s="5" t="str">
        <f t="shared" si="173"/>
        <v>202351</v>
      </c>
      <c r="B9227" s="5" t="str">
        <f>"23085025513"</f>
        <v>23085025513</v>
      </c>
      <c r="C9227" s="6">
        <v>0</v>
      </c>
      <c r="D9227" s="6">
        <v>0</v>
      </c>
      <c r="E9227" s="6">
        <v>0</v>
      </c>
      <c r="F9227" s="11" t="s">
        <v>7</v>
      </c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2023-08-14T07:13:00Z</dcterms:created>
  <dcterms:modified xsi:type="dcterms:W3CDTF">2023-08-15T09:46:08Z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A9372E99994542598A2CCB5C58ED70E5_12</vt:lpwstr>
  </property>
  <property fmtid="{D5CDD505-2E9C-101B-9397-08002B2CF9AE}" pid="3" name="KSOProductBuildVer">
    <vt:lpwstr>2052-11.1.0.14309</vt:lpwstr>
  </property>
</Properties>
</file>