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125" windowHeight="12540"/>
  </bookViews>
  <sheets>
    <sheet name="笔试成绩" sheetId="1" r:id="rId1"/>
  </sheets>
  <definedNames>
    <definedName name="_xlnm.Print_Titles" localSheetId="0">笔试成绩!$2:$2</definedName>
  </definedNames>
  <calcPr calcId="144525"/>
</workbook>
</file>

<file path=xl/calcChain.xml><?xml version="1.0" encoding="utf-8"?>
<calcChain xmlns="http://schemas.openxmlformats.org/spreadsheetml/2006/main">
  <c r="C1701" i="1"/>
  <c r="C1700"/>
  <c r="C1699"/>
  <c r="C1698"/>
  <c r="C1697"/>
  <c r="C1696"/>
  <c r="C1695"/>
  <c r="C1694"/>
  <c r="C1693"/>
  <c r="C1692"/>
  <c r="C1691"/>
  <c r="C1690"/>
  <c r="C1689"/>
  <c r="C1688"/>
  <c r="C1687"/>
  <c r="C1686"/>
  <c r="C1685"/>
  <c r="C1684"/>
  <c r="C1683"/>
  <c r="C1682"/>
  <c r="C1681"/>
  <c r="C1680"/>
  <c r="C1679"/>
  <c r="C1678"/>
  <c r="C1677"/>
  <c r="C1676"/>
  <c r="C1675"/>
  <c r="C1674"/>
  <c r="C1673"/>
  <c r="C1672"/>
  <c r="C1671"/>
  <c r="C1670"/>
  <c r="C1669"/>
  <c r="C1668"/>
  <c r="C1667"/>
  <c r="C1666"/>
  <c r="C1665"/>
  <c r="C1664"/>
  <c r="C1663"/>
  <c r="C1662"/>
  <c r="C1661"/>
  <c r="C1660"/>
  <c r="C1659"/>
  <c r="C1658"/>
  <c r="C1657"/>
  <c r="C1656"/>
  <c r="C1655"/>
  <c r="C1654"/>
  <c r="C1653"/>
  <c r="C1652"/>
  <c r="C1651"/>
  <c r="C1650"/>
  <c r="C1649"/>
  <c r="C1648"/>
  <c r="C1647"/>
  <c r="C1646"/>
  <c r="C1645"/>
  <c r="C1644"/>
  <c r="C1643"/>
  <c r="C1642"/>
  <c r="C1641"/>
  <c r="C1640"/>
  <c r="C1639"/>
  <c r="C1638"/>
  <c r="C1637"/>
  <c r="C1636"/>
  <c r="C1635"/>
  <c r="C1634"/>
  <c r="C1633"/>
  <c r="C1632"/>
  <c r="C1631"/>
  <c r="C1630"/>
  <c r="C1629"/>
  <c r="C1628"/>
  <c r="C1627"/>
  <c r="C1626"/>
  <c r="C1625"/>
  <c r="C1624"/>
  <c r="C1623"/>
  <c r="C1622"/>
  <c r="C1621"/>
  <c r="C1620"/>
  <c r="C1619"/>
  <c r="C1618"/>
  <c r="C1617"/>
  <c r="C1616"/>
  <c r="C1615"/>
  <c r="C1614"/>
  <c r="C1613"/>
  <c r="C1612"/>
  <c r="C1611"/>
  <c r="C1610"/>
  <c r="C1609"/>
  <c r="C1608"/>
  <c r="C1607"/>
  <c r="C1606"/>
  <c r="C1605"/>
  <c r="C1604"/>
  <c r="C1603"/>
  <c r="C1602"/>
  <c r="C1601"/>
  <c r="C1600"/>
  <c r="C1599"/>
  <c r="C1598"/>
  <c r="C1597"/>
  <c r="C1596"/>
  <c r="C1595"/>
  <c r="C1594"/>
  <c r="C1593"/>
  <c r="C1592"/>
  <c r="C1591"/>
  <c r="C1590"/>
  <c r="C1589"/>
  <c r="C1588"/>
  <c r="C1587"/>
  <c r="C1586"/>
  <c r="C1585"/>
  <c r="C1584"/>
  <c r="C1583"/>
  <c r="C1582"/>
  <c r="C1581"/>
  <c r="C1580"/>
  <c r="C1579"/>
  <c r="C1578"/>
  <c r="C1577"/>
  <c r="C1576"/>
  <c r="C1575"/>
  <c r="C1574"/>
  <c r="C1573"/>
  <c r="C1572"/>
  <c r="C1571"/>
  <c r="C1570"/>
  <c r="C1569"/>
  <c r="C1568"/>
  <c r="C1567"/>
  <c r="C1566"/>
  <c r="C1565"/>
  <c r="C1564"/>
  <c r="C1563"/>
  <c r="C1562"/>
  <c r="C1561"/>
  <c r="C1560"/>
  <c r="C1559"/>
  <c r="C1558"/>
  <c r="C1557"/>
  <c r="C1556"/>
  <c r="C1555"/>
  <c r="C1554"/>
  <c r="C1553"/>
  <c r="C1552"/>
  <c r="C1551"/>
  <c r="C1550"/>
  <c r="C1549"/>
  <c r="C1548"/>
  <c r="C1547"/>
  <c r="C1546"/>
  <c r="C1545"/>
  <c r="C1544"/>
  <c r="C1543"/>
  <c r="C1542"/>
  <c r="C1541"/>
  <c r="C1540"/>
  <c r="C1539"/>
  <c r="C1538"/>
  <c r="C1537"/>
  <c r="C1536"/>
  <c r="C1535"/>
  <c r="C1534"/>
  <c r="C1533"/>
  <c r="C1532"/>
  <c r="C1531"/>
  <c r="C1530"/>
  <c r="C1529"/>
  <c r="C1528"/>
  <c r="C1527"/>
  <c r="C1526"/>
  <c r="C1525"/>
  <c r="C1524"/>
  <c r="C1523"/>
  <c r="C1522"/>
  <c r="C1521"/>
  <c r="C1520"/>
  <c r="C1519"/>
  <c r="C1518"/>
  <c r="C1517"/>
  <c r="C1516"/>
  <c r="C1515"/>
  <c r="C1514"/>
  <c r="C1513"/>
  <c r="C1512"/>
  <c r="C1511"/>
  <c r="C1510"/>
  <c r="C1509"/>
  <c r="C1508"/>
  <c r="C1507"/>
  <c r="C1506"/>
  <c r="C1505"/>
  <c r="C1504"/>
  <c r="C1503"/>
  <c r="C1502"/>
  <c r="C1501"/>
  <c r="C1500"/>
  <c r="C1499"/>
  <c r="C1498"/>
  <c r="C1497"/>
  <c r="C1496"/>
  <c r="C1495"/>
  <c r="C1494"/>
  <c r="C1493"/>
  <c r="C1492"/>
  <c r="C1491"/>
  <c r="C1490"/>
  <c r="C1489"/>
  <c r="C1488"/>
  <c r="C1487"/>
  <c r="C1486"/>
  <c r="C1485"/>
  <c r="C1484"/>
  <c r="C1483"/>
  <c r="C1482"/>
  <c r="C1481"/>
  <c r="C1480"/>
  <c r="C1479"/>
  <c r="C1478"/>
  <c r="C1477"/>
  <c r="C1476"/>
  <c r="C1475"/>
  <c r="C1474"/>
  <c r="C1473"/>
  <c r="C1472"/>
  <c r="C1471"/>
  <c r="C1470"/>
  <c r="C1469"/>
  <c r="C1468"/>
  <c r="C1467"/>
  <c r="C1466"/>
  <c r="C1465"/>
  <c r="C1464"/>
  <c r="C1463"/>
  <c r="C1462"/>
  <c r="C1461"/>
  <c r="C1460"/>
  <c r="C1459"/>
  <c r="C1458"/>
  <c r="C1457"/>
  <c r="C1456"/>
  <c r="C1455"/>
  <c r="C1454"/>
  <c r="C1453"/>
  <c r="C1452"/>
  <c r="C1451"/>
  <c r="C1450"/>
  <c r="C1449"/>
  <c r="C1448"/>
  <c r="C1447"/>
  <c r="C1446"/>
  <c r="C1445"/>
  <c r="C1444"/>
  <c r="C1443"/>
  <c r="C1442"/>
  <c r="C1441"/>
  <c r="C1440"/>
  <c r="C1439"/>
  <c r="C1438"/>
  <c r="C1437"/>
  <c r="C1436"/>
  <c r="C1435"/>
  <c r="C1434"/>
  <c r="C1433"/>
  <c r="C1432"/>
  <c r="C1431"/>
  <c r="C1430"/>
  <c r="C1429"/>
  <c r="C1428"/>
  <c r="C1427"/>
  <c r="C1426"/>
  <c r="C1425"/>
  <c r="C1424"/>
  <c r="C1423"/>
  <c r="C1422"/>
  <c r="C1421"/>
  <c r="C1420"/>
  <c r="C1419"/>
  <c r="C1418"/>
  <c r="C1417"/>
  <c r="C1416"/>
  <c r="C1415"/>
  <c r="C1414"/>
  <c r="C1413"/>
  <c r="C1412"/>
  <c r="C1411"/>
  <c r="C1410"/>
  <c r="C1409"/>
  <c r="C1408"/>
  <c r="C1407"/>
  <c r="C1406"/>
  <c r="C1405"/>
  <c r="C1404"/>
  <c r="C1403"/>
  <c r="C1402"/>
  <c r="C1401"/>
  <c r="C1400"/>
  <c r="C1399"/>
  <c r="C1398"/>
  <c r="C1397"/>
  <c r="C1396"/>
  <c r="C1395"/>
  <c r="C1394"/>
  <c r="C1393"/>
  <c r="C1392"/>
  <c r="C1391"/>
  <c r="C1390"/>
  <c r="C1389"/>
  <c r="C1388"/>
  <c r="C1387"/>
  <c r="C1386"/>
  <c r="C1385"/>
  <c r="C1384"/>
  <c r="C1383"/>
  <c r="C1382"/>
  <c r="C1381"/>
  <c r="C1380"/>
  <c r="C1379"/>
  <c r="C1378"/>
  <c r="C1377"/>
  <c r="C1376"/>
  <c r="C1375"/>
  <c r="C1374"/>
  <c r="C1373"/>
  <c r="C1372"/>
  <c r="C1371"/>
  <c r="C1370"/>
  <c r="C1369"/>
  <c r="C1368"/>
  <c r="C1367"/>
  <c r="C1366"/>
  <c r="C1365"/>
  <c r="C1364"/>
  <c r="C1363"/>
  <c r="C1362"/>
  <c r="C1361"/>
  <c r="C1360"/>
  <c r="C1359"/>
  <c r="C1358"/>
  <c r="C1357"/>
  <c r="C1356"/>
  <c r="C1355"/>
  <c r="C1354"/>
  <c r="C1353"/>
  <c r="C1352"/>
  <c r="C1351"/>
  <c r="C1350"/>
  <c r="C1349"/>
  <c r="C1348"/>
  <c r="C1347"/>
  <c r="C1346"/>
  <c r="C1345"/>
  <c r="C1344"/>
  <c r="C1343"/>
  <c r="C1342"/>
  <c r="C1341"/>
  <c r="C1340"/>
  <c r="C1339"/>
  <c r="C1338"/>
  <c r="C1337"/>
  <c r="C1336"/>
  <c r="C1335"/>
  <c r="C1334"/>
  <c r="C1333"/>
  <c r="C1332"/>
  <c r="C1331"/>
  <c r="C1330"/>
  <c r="C1329"/>
  <c r="C1328"/>
  <c r="C1327"/>
  <c r="C1326"/>
  <c r="C1325"/>
  <c r="C1324"/>
  <c r="C1323"/>
  <c r="C1322"/>
  <c r="C1321"/>
  <c r="C1320"/>
  <c r="C1319"/>
  <c r="C1318"/>
  <c r="C1317"/>
  <c r="C1316"/>
  <c r="C1315"/>
  <c r="C1314"/>
  <c r="C1313"/>
  <c r="C1312"/>
  <c r="C1311"/>
  <c r="C1310"/>
  <c r="C1309"/>
  <c r="C1308"/>
  <c r="C1307"/>
  <c r="C1306"/>
  <c r="C1305"/>
  <c r="C1304"/>
  <c r="C1303"/>
  <c r="C1302"/>
  <c r="C1301"/>
  <c r="C1300"/>
  <c r="C1299"/>
  <c r="C1298"/>
  <c r="C1297"/>
  <c r="C1296"/>
  <c r="C1295"/>
  <c r="C1294"/>
  <c r="C1293"/>
  <c r="C1292"/>
  <c r="C1291"/>
  <c r="C1290"/>
  <c r="C1289"/>
  <c r="C1288"/>
  <c r="C1287"/>
  <c r="C1286"/>
  <c r="C1285"/>
  <c r="C1284"/>
  <c r="C1283"/>
  <c r="C1282"/>
  <c r="C1281"/>
  <c r="C1280"/>
  <c r="C1279"/>
  <c r="C1278"/>
  <c r="C1277"/>
  <c r="C1276"/>
  <c r="C1275"/>
  <c r="C1274"/>
  <c r="C1273"/>
  <c r="C1272"/>
  <c r="C1271"/>
  <c r="C1270"/>
  <c r="C1269"/>
  <c r="C1268"/>
  <c r="C1267"/>
  <c r="C1266"/>
  <c r="C1265"/>
  <c r="C1264"/>
  <c r="C1263"/>
  <c r="C1262"/>
  <c r="C1261"/>
  <c r="C1260"/>
  <c r="C1259"/>
  <c r="C1258"/>
  <c r="C1257"/>
  <c r="C1256"/>
  <c r="C1255"/>
  <c r="C1254"/>
  <c r="C1253"/>
  <c r="C1252"/>
  <c r="C1251"/>
  <c r="C1250"/>
  <c r="C1249"/>
  <c r="C1248"/>
  <c r="C1247"/>
  <c r="C1246"/>
  <c r="C1245"/>
  <c r="C1244"/>
  <c r="C1243"/>
  <c r="C1242"/>
  <c r="C1241"/>
  <c r="C1240"/>
  <c r="C1239"/>
  <c r="C1238"/>
  <c r="C1237"/>
  <c r="C1236"/>
  <c r="C1235"/>
  <c r="C1234"/>
  <c r="C1233"/>
  <c r="C1232"/>
  <c r="C1231"/>
  <c r="C1230"/>
  <c r="C1229"/>
  <c r="C1228"/>
  <c r="C1227"/>
  <c r="C1226"/>
  <c r="C1225"/>
  <c r="C1224"/>
  <c r="C1223"/>
  <c r="C1222"/>
  <c r="C1221"/>
  <c r="C1220"/>
  <c r="C1219"/>
  <c r="C1218"/>
  <c r="C1217"/>
  <c r="C1216"/>
  <c r="C1215"/>
  <c r="C1214"/>
  <c r="C1213"/>
  <c r="C1212"/>
  <c r="C1211"/>
  <c r="C1210"/>
  <c r="C1209"/>
  <c r="C1208"/>
  <c r="C1207"/>
  <c r="C1206"/>
  <c r="C1205"/>
  <c r="C1204"/>
  <c r="C1203"/>
  <c r="C1202"/>
  <c r="C1201"/>
  <c r="C1200"/>
  <c r="C1199"/>
  <c r="C1198"/>
  <c r="C1197"/>
  <c r="C1196"/>
  <c r="C1195"/>
  <c r="C1194"/>
  <c r="C1193"/>
  <c r="C1192"/>
  <c r="C1191"/>
  <c r="C1190"/>
  <c r="C1189"/>
  <c r="C1188"/>
  <c r="C1187"/>
  <c r="C1186"/>
  <c r="C1185"/>
  <c r="C1184"/>
  <c r="C1183"/>
  <c r="C1182"/>
  <c r="C1181"/>
  <c r="C1180"/>
  <c r="C1179"/>
  <c r="C1178"/>
  <c r="C1177"/>
  <c r="C1176"/>
  <c r="C1175"/>
  <c r="C1174"/>
  <c r="C1173"/>
  <c r="C1172"/>
  <c r="C1171"/>
  <c r="C1170"/>
  <c r="C1169"/>
  <c r="C1168"/>
  <c r="C1167"/>
  <c r="C1166"/>
  <c r="C1165"/>
  <c r="C1164"/>
  <c r="C1163"/>
  <c r="C1162"/>
  <c r="C1161"/>
  <c r="C1160"/>
  <c r="C1159"/>
  <c r="C1158"/>
  <c r="C1157"/>
  <c r="C1156"/>
  <c r="C1155"/>
  <c r="C1154"/>
  <c r="C1153"/>
  <c r="C1152"/>
  <c r="C1151"/>
  <c r="C1150"/>
  <c r="C1149"/>
  <c r="C1148"/>
  <c r="C1147"/>
  <c r="C1146"/>
  <c r="C1145"/>
  <c r="C1144"/>
  <c r="C1143"/>
  <c r="C1142"/>
  <c r="C1141"/>
  <c r="C1140"/>
  <c r="C1139"/>
  <c r="C1138"/>
  <c r="C1137"/>
  <c r="C1136"/>
  <c r="C1135"/>
  <c r="C1134"/>
  <c r="C1133"/>
  <c r="C1132"/>
  <c r="C1131"/>
  <c r="C1130"/>
  <c r="C1129"/>
  <c r="C1128"/>
  <c r="C1127"/>
  <c r="C1126"/>
  <c r="C1125"/>
  <c r="C1124"/>
  <c r="C1123"/>
  <c r="C1122"/>
  <c r="C1121"/>
  <c r="C1120"/>
  <c r="C1119"/>
  <c r="C1118"/>
  <c r="C1117"/>
  <c r="C1116"/>
  <c r="C1115"/>
  <c r="C1114"/>
  <c r="C1113"/>
  <c r="C1112"/>
  <c r="C1111"/>
  <c r="C1110"/>
  <c r="C1109"/>
  <c r="C1108"/>
  <c r="C1107"/>
  <c r="C1106"/>
  <c r="C1105"/>
  <c r="C1104"/>
  <c r="C1103"/>
  <c r="C1102"/>
  <c r="C1101"/>
  <c r="C1100"/>
  <c r="C1099"/>
  <c r="C1098"/>
  <c r="C1097"/>
  <c r="C1096"/>
  <c r="C1095"/>
  <c r="C1094"/>
  <c r="C1093"/>
  <c r="C1092"/>
  <c r="C1091"/>
  <c r="C1090"/>
  <c r="C1089"/>
  <c r="C1088"/>
  <c r="C1087"/>
  <c r="C1086"/>
  <c r="C1085"/>
  <c r="C1084"/>
  <c r="C1083"/>
  <c r="C1082"/>
  <c r="C1081"/>
  <c r="C1080"/>
  <c r="C1079"/>
  <c r="C1078"/>
  <c r="C1077"/>
  <c r="C1076"/>
  <c r="C1075"/>
  <c r="C1074"/>
  <c r="C1073"/>
  <c r="C1072"/>
  <c r="C1071"/>
  <c r="C1070"/>
  <c r="C1069"/>
  <c r="C1068"/>
  <c r="C1067"/>
  <c r="C1066"/>
  <c r="C1065"/>
  <c r="C1064"/>
  <c r="C1063"/>
  <c r="C1062"/>
  <c r="C1061"/>
  <c r="C1060"/>
  <c r="C1059"/>
  <c r="C1058"/>
  <c r="C1057"/>
  <c r="C1056"/>
  <c r="C1055"/>
  <c r="C1054"/>
  <c r="C1053"/>
  <c r="C1052"/>
  <c r="C1051"/>
  <c r="C1050"/>
  <c r="C1049"/>
  <c r="C1048"/>
  <c r="C1047"/>
  <c r="C1046"/>
  <c r="C1045"/>
  <c r="C1044"/>
  <c r="C1043"/>
  <c r="C1042"/>
  <c r="C1041"/>
  <c r="C1040"/>
  <c r="C1039"/>
  <c r="C1038"/>
  <c r="C1037"/>
  <c r="C1036"/>
  <c r="C1035"/>
  <c r="C1034"/>
  <c r="C1033"/>
  <c r="C1032"/>
  <c r="C1031"/>
  <c r="C1030"/>
  <c r="C1029"/>
  <c r="C1028"/>
  <c r="C1027"/>
  <c r="C1026"/>
  <c r="C1025"/>
  <c r="C1024"/>
  <c r="C1023"/>
  <c r="C1022"/>
  <c r="C1021"/>
  <c r="C1020"/>
  <c r="C1019"/>
  <c r="C1018"/>
  <c r="C1017"/>
  <c r="C1016"/>
  <c r="C1015"/>
  <c r="C1014"/>
  <c r="C1013"/>
  <c r="C1012"/>
  <c r="C1011"/>
  <c r="C1010"/>
  <c r="C1009"/>
  <c r="C1008"/>
  <c r="C1007"/>
  <c r="C1006"/>
  <c r="C1005"/>
  <c r="C1004"/>
  <c r="C1003"/>
  <c r="C1002"/>
  <c r="C1001"/>
  <c r="C1000"/>
  <c r="C999"/>
  <c r="C998"/>
  <c r="C997"/>
  <c r="C996"/>
  <c r="C995"/>
  <c r="C994"/>
  <c r="C993"/>
  <c r="C992"/>
  <c r="C991"/>
  <c r="C990"/>
  <c r="C989"/>
  <c r="C988"/>
  <c r="C987"/>
  <c r="C986"/>
  <c r="C985"/>
  <c r="C984"/>
  <c r="C983"/>
  <c r="C982"/>
  <c r="C981"/>
  <c r="C980"/>
  <c r="C979"/>
  <c r="C978"/>
  <c r="C977"/>
  <c r="C976"/>
  <c r="C975"/>
  <c r="C974"/>
  <c r="C973"/>
  <c r="C972"/>
  <c r="C971"/>
  <c r="C970"/>
  <c r="C969"/>
  <c r="C968"/>
  <c r="C967"/>
  <c r="C966"/>
  <c r="C965"/>
  <c r="C964"/>
  <c r="C963"/>
  <c r="C962"/>
  <c r="C961"/>
  <c r="C960"/>
  <c r="C959"/>
  <c r="C958"/>
  <c r="C957"/>
  <c r="C956"/>
  <c r="C955"/>
  <c r="C954"/>
  <c r="C953"/>
  <c r="C952"/>
  <c r="C951"/>
  <c r="C950"/>
  <c r="C949"/>
  <c r="C948"/>
  <c r="C947"/>
  <c r="C946"/>
  <c r="C945"/>
  <c r="C944"/>
  <c r="C943"/>
  <c r="C942"/>
  <c r="C941"/>
  <c r="C940"/>
  <c r="C939"/>
  <c r="C938"/>
  <c r="C937"/>
  <c r="C936"/>
  <c r="C935"/>
  <c r="C934"/>
  <c r="C933"/>
  <c r="C932"/>
  <c r="C931"/>
  <c r="C930"/>
  <c r="C929"/>
  <c r="C928"/>
  <c r="C927"/>
  <c r="C926"/>
  <c r="C925"/>
  <c r="C924"/>
  <c r="C923"/>
  <c r="C922"/>
  <c r="C921"/>
  <c r="C920"/>
  <c r="C919"/>
  <c r="C918"/>
  <c r="C917"/>
  <c r="C916"/>
  <c r="C915"/>
  <c r="C914"/>
  <c r="C913"/>
  <c r="C912"/>
  <c r="C911"/>
  <c r="C910"/>
  <c r="C909"/>
  <c r="C908"/>
  <c r="C907"/>
  <c r="C906"/>
  <c r="C905"/>
  <c r="C904"/>
  <c r="C903"/>
  <c r="C902"/>
  <c r="C901"/>
  <c r="C900"/>
  <c r="C899"/>
  <c r="C898"/>
  <c r="C897"/>
  <c r="C896"/>
  <c r="C895"/>
  <c r="C894"/>
  <c r="C893"/>
  <c r="C892"/>
  <c r="C891"/>
  <c r="C890"/>
  <c r="C889"/>
  <c r="C888"/>
  <c r="C887"/>
  <c r="C886"/>
  <c r="C885"/>
  <c r="C884"/>
  <c r="C883"/>
  <c r="C882"/>
  <c r="C881"/>
  <c r="C880"/>
  <c r="C879"/>
  <c r="C878"/>
  <c r="C877"/>
  <c r="C876"/>
  <c r="C875"/>
  <c r="C874"/>
  <c r="C873"/>
  <c r="C872"/>
  <c r="C871"/>
  <c r="C870"/>
  <c r="C869"/>
  <c r="C868"/>
  <c r="C867"/>
  <c r="C866"/>
  <c r="C865"/>
  <c r="C864"/>
  <c r="C863"/>
  <c r="C862"/>
  <c r="C861"/>
  <c r="C860"/>
  <c r="C859"/>
  <c r="C858"/>
  <c r="C857"/>
  <c r="C856"/>
  <c r="C855"/>
  <c r="C854"/>
  <c r="C853"/>
  <c r="C852"/>
  <c r="C851"/>
  <c r="C850"/>
  <c r="C849"/>
  <c r="C848"/>
  <c r="C847"/>
  <c r="C846"/>
  <c r="C845"/>
  <c r="C844"/>
  <c r="C843"/>
  <c r="C842"/>
  <c r="C841"/>
  <c r="C840"/>
  <c r="C839"/>
  <c r="C838"/>
  <c r="C837"/>
  <c r="C836"/>
  <c r="C835"/>
  <c r="C834"/>
  <c r="C833"/>
  <c r="C832"/>
  <c r="C831"/>
  <c r="C830"/>
  <c r="C829"/>
  <c r="C828"/>
  <c r="C827"/>
  <c r="C826"/>
  <c r="C825"/>
  <c r="C824"/>
  <c r="C823"/>
  <c r="C822"/>
  <c r="C821"/>
  <c r="C820"/>
  <c r="C819"/>
  <c r="C818"/>
  <c r="C817"/>
  <c r="C816"/>
  <c r="C815"/>
  <c r="C814"/>
  <c r="C813"/>
  <c r="C812"/>
  <c r="C811"/>
  <c r="C810"/>
  <c r="C809"/>
  <c r="C808"/>
  <c r="C807"/>
  <c r="C806"/>
  <c r="C805"/>
  <c r="C804"/>
  <c r="C803"/>
  <c r="C802"/>
  <c r="C801"/>
  <c r="C800"/>
  <c r="C799"/>
  <c r="C798"/>
  <c r="C797"/>
  <c r="C796"/>
  <c r="C795"/>
  <c r="C794"/>
  <c r="C793"/>
  <c r="C792"/>
  <c r="C791"/>
  <c r="C790"/>
  <c r="C789"/>
  <c r="C788"/>
  <c r="C787"/>
  <c r="C786"/>
  <c r="C785"/>
  <c r="C784"/>
  <c r="C783"/>
  <c r="C782"/>
  <c r="C781"/>
  <c r="C780"/>
  <c r="C779"/>
  <c r="C778"/>
  <c r="C777"/>
  <c r="C776"/>
  <c r="C775"/>
  <c r="C774"/>
  <c r="C773"/>
  <c r="C772"/>
  <c r="C771"/>
  <c r="C770"/>
  <c r="C769"/>
  <c r="C768"/>
  <c r="C767"/>
  <c r="C766"/>
  <c r="C765"/>
  <c r="C764"/>
  <c r="C763"/>
  <c r="C762"/>
  <c r="C761"/>
  <c r="C760"/>
  <c r="C759"/>
  <c r="C758"/>
  <c r="C757"/>
  <c r="C756"/>
  <c r="C755"/>
  <c r="C754"/>
  <c r="C753"/>
  <c r="C752"/>
  <c r="C751"/>
  <c r="C750"/>
  <c r="C749"/>
  <c r="C748"/>
  <c r="C747"/>
  <c r="C746"/>
  <c r="C745"/>
  <c r="C744"/>
  <c r="C743"/>
  <c r="C742"/>
  <c r="C741"/>
  <c r="C740"/>
  <c r="C739"/>
  <c r="C738"/>
  <c r="C737"/>
  <c r="C736"/>
  <c r="C735"/>
  <c r="C734"/>
  <c r="C733"/>
  <c r="C732"/>
  <c r="C731"/>
  <c r="C730"/>
  <c r="C729"/>
  <c r="C728"/>
  <c r="C727"/>
  <c r="C726"/>
  <c r="C725"/>
  <c r="C724"/>
  <c r="C723"/>
  <c r="C722"/>
  <c r="C721"/>
  <c r="C720"/>
  <c r="C719"/>
  <c r="C718"/>
  <c r="C717"/>
  <c r="C716"/>
  <c r="C715"/>
  <c r="C714"/>
  <c r="C713"/>
  <c r="C712"/>
  <c r="C711"/>
  <c r="C710"/>
  <c r="C709"/>
  <c r="C708"/>
  <c r="C707"/>
  <c r="C706"/>
  <c r="C705"/>
  <c r="C704"/>
  <c r="C703"/>
  <c r="C702"/>
  <c r="C701"/>
  <c r="C700"/>
  <c r="C699"/>
  <c r="C698"/>
  <c r="C697"/>
  <c r="C696"/>
  <c r="C695"/>
  <c r="C694"/>
  <c r="C693"/>
  <c r="C692"/>
  <c r="C691"/>
  <c r="C690"/>
  <c r="C689"/>
  <c r="C688"/>
  <c r="C687"/>
  <c r="C686"/>
  <c r="C685"/>
  <c r="C684"/>
  <c r="C683"/>
  <c r="C682"/>
  <c r="C681"/>
  <c r="C680"/>
  <c r="C679"/>
  <c r="C678"/>
  <c r="C677"/>
  <c r="C676"/>
  <c r="C675"/>
  <c r="C674"/>
  <c r="C673"/>
  <c r="C672"/>
  <c r="C671"/>
  <c r="C670"/>
  <c r="C669"/>
  <c r="C668"/>
  <c r="C667"/>
  <c r="C666"/>
  <c r="C665"/>
  <c r="C664"/>
  <c r="C663"/>
  <c r="C662"/>
  <c r="C661"/>
  <c r="C660"/>
  <c r="C659"/>
  <c r="C658"/>
  <c r="C657"/>
  <c r="C656"/>
  <c r="C655"/>
  <c r="C654"/>
  <c r="C653"/>
  <c r="C652"/>
  <c r="C651"/>
  <c r="C650"/>
  <c r="C649"/>
  <c r="C648"/>
  <c r="C647"/>
  <c r="C646"/>
  <c r="C645"/>
  <c r="C644"/>
  <c r="C643"/>
  <c r="C642"/>
  <c r="C641"/>
  <c r="C640"/>
  <c r="C639"/>
  <c r="C638"/>
  <c r="C637"/>
  <c r="C636"/>
  <c r="C635"/>
  <c r="C634"/>
  <c r="C633"/>
  <c r="C632"/>
  <c r="C631"/>
  <c r="C630"/>
  <c r="C629"/>
  <c r="C628"/>
  <c r="C627"/>
  <c r="C626"/>
  <c r="C625"/>
  <c r="C624"/>
  <c r="C623"/>
  <c r="C622"/>
  <c r="C621"/>
  <c r="C620"/>
  <c r="C619"/>
  <c r="C618"/>
  <c r="C617"/>
  <c r="C616"/>
  <c r="C615"/>
  <c r="C614"/>
  <c r="C613"/>
  <c r="C612"/>
  <c r="C611"/>
  <c r="C610"/>
  <c r="C609"/>
  <c r="C608"/>
  <c r="C607"/>
  <c r="C606"/>
  <c r="C605"/>
  <c r="C604"/>
  <c r="C603"/>
  <c r="C602"/>
  <c r="C601"/>
  <c r="C600"/>
  <c r="C599"/>
  <c r="C598"/>
  <c r="C597"/>
  <c r="C596"/>
  <c r="C595"/>
  <c r="C594"/>
  <c r="C593"/>
  <c r="C592"/>
  <c r="C591"/>
  <c r="C590"/>
  <c r="C589"/>
  <c r="C588"/>
  <c r="C587"/>
  <c r="C586"/>
  <c r="C585"/>
  <c r="C584"/>
  <c r="C583"/>
  <c r="C582"/>
  <c r="C581"/>
  <c r="C580"/>
  <c r="C579"/>
  <c r="C578"/>
  <c r="C577"/>
  <c r="C576"/>
  <c r="C575"/>
  <c r="C574"/>
  <c r="C573"/>
  <c r="C572"/>
  <c r="C571"/>
  <c r="C570"/>
  <c r="C569"/>
  <c r="C568"/>
  <c r="C567"/>
  <c r="C566"/>
  <c r="C565"/>
  <c r="C564"/>
  <c r="C563"/>
  <c r="C562"/>
  <c r="C561"/>
  <c r="C560"/>
  <c r="C559"/>
  <c r="C558"/>
  <c r="C557"/>
  <c r="C556"/>
  <c r="C555"/>
  <c r="C554"/>
  <c r="C553"/>
  <c r="C552"/>
  <c r="C551"/>
  <c r="C550"/>
  <c r="C549"/>
  <c r="C548"/>
  <c r="C547"/>
  <c r="C546"/>
  <c r="C545"/>
  <c r="C544"/>
  <c r="C543"/>
  <c r="C542"/>
  <c r="C541"/>
  <c r="C540"/>
  <c r="C539"/>
  <c r="C538"/>
  <c r="C537"/>
  <c r="C536"/>
  <c r="C535"/>
  <c r="C534"/>
  <c r="C533"/>
  <c r="C532"/>
  <c r="C531"/>
  <c r="C530"/>
  <c r="C529"/>
  <c r="C528"/>
  <c r="C527"/>
  <c r="C526"/>
  <c r="C525"/>
  <c r="C524"/>
  <c r="C523"/>
  <c r="C522"/>
  <c r="C521"/>
  <c r="C520"/>
  <c r="C519"/>
  <c r="C518"/>
  <c r="C517"/>
  <c r="C516"/>
  <c r="C515"/>
  <c r="C514"/>
  <c r="C513"/>
  <c r="C512"/>
  <c r="C511"/>
  <c r="C510"/>
  <c r="C509"/>
  <c r="C508"/>
  <c r="C507"/>
  <c r="C506"/>
  <c r="C505"/>
  <c r="C504"/>
  <c r="C503"/>
  <c r="C502"/>
  <c r="C501"/>
  <c r="C500"/>
  <c r="C499"/>
  <c r="C498"/>
  <c r="C497"/>
  <c r="C496"/>
  <c r="C495"/>
  <c r="C494"/>
  <c r="C493"/>
  <c r="C492"/>
  <c r="C491"/>
  <c r="C490"/>
  <c r="C489"/>
  <c r="C488"/>
  <c r="C487"/>
  <c r="C486"/>
  <c r="C485"/>
  <c r="C484"/>
  <c r="C483"/>
  <c r="C482"/>
  <c r="C481"/>
  <c r="C480"/>
  <c r="C479"/>
  <c r="C478"/>
  <c r="C477"/>
  <c r="C476"/>
  <c r="C475"/>
  <c r="C474"/>
  <c r="C473"/>
  <c r="C472"/>
  <c r="C471"/>
  <c r="C470"/>
  <c r="C469"/>
  <c r="C468"/>
  <c r="C467"/>
  <c r="C466"/>
  <c r="C465"/>
  <c r="C464"/>
  <c r="C463"/>
  <c r="C462"/>
  <c r="C461"/>
  <c r="C460"/>
  <c r="C459"/>
  <c r="C458"/>
  <c r="C457"/>
  <c r="C456"/>
  <c r="C455"/>
  <c r="C454"/>
  <c r="C453"/>
  <c r="C452"/>
  <c r="C451"/>
  <c r="C450"/>
  <c r="C449"/>
  <c r="C448"/>
  <c r="C447"/>
  <c r="C446"/>
  <c r="C445"/>
  <c r="C444"/>
  <c r="C443"/>
  <c r="C442"/>
  <c r="C441"/>
  <c r="C440"/>
  <c r="C439"/>
  <c r="C438"/>
  <c r="C437"/>
  <c r="C436"/>
  <c r="C435"/>
  <c r="C434"/>
  <c r="C433"/>
  <c r="C432"/>
  <c r="C431"/>
  <c r="C430"/>
  <c r="C429"/>
  <c r="C428"/>
  <c r="C427"/>
  <c r="C426"/>
  <c r="C425"/>
  <c r="C424"/>
  <c r="C423"/>
  <c r="C422"/>
  <c r="C421"/>
  <c r="C420"/>
  <c r="C419"/>
  <c r="C418"/>
  <c r="C417"/>
  <c r="C416"/>
  <c r="C415"/>
  <c r="C414"/>
  <c r="C413"/>
  <c r="C412"/>
  <c r="C411"/>
  <c r="C410"/>
  <c r="C409"/>
  <c r="C408"/>
  <c r="C407"/>
  <c r="C406"/>
  <c r="C405"/>
  <c r="C404"/>
  <c r="C403"/>
  <c r="C402"/>
  <c r="C401"/>
  <c r="C400"/>
  <c r="C399"/>
  <c r="C398"/>
  <c r="C397"/>
  <c r="C396"/>
  <c r="C395"/>
  <c r="C394"/>
  <c r="C393"/>
  <c r="C392"/>
  <c r="C391"/>
  <c r="C390"/>
  <c r="C389"/>
  <c r="C388"/>
  <c r="C387"/>
  <c r="C386"/>
  <c r="C385"/>
  <c r="C384"/>
  <c r="C383"/>
  <c r="C382"/>
  <c r="C381"/>
  <c r="C380"/>
  <c r="C379"/>
  <c r="C378"/>
  <c r="C377"/>
  <c r="C376"/>
  <c r="C375"/>
  <c r="C374"/>
  <c r="C373"/>
  <c r="C372"/>
  <c r="C371"/>
  <c r="C370"/>
  <c r="C369"/>
  <c r="C368"/>
  <c r="C367"/>
  <c r="C366"/>
  <c r="C365"/>
  <c r="C364"/>
  <c r="C363"/>
  <c r="C362"/>
  <c r="C361"/>
  <c r="C360"/>
  <c r="C359"/>
  <c r="C358"/>
  <c r="C357"/>
  <c r="C356"/>
  <c r="C355"/>
  <c r="C354"/>
  <c r="C353"/>
  <c r="C352"/>
  <c r="C351"/>
  <c r="C350"/>
  <c r="C349"/>
  <c r="C348"/>
  <c r="C347"/>
  <c r="C346"/>
  <c r="C345"/>
  <c r="C344"/>
  <c r="C343"/>
  <c r="C342"/>
  <c r="C341"/>
  <c r="C340"/>
  <c r="C339"/>
  <c r="C338"/>
  <c r="C337"/>
  <c r="C336"/>
  <c r="C335"/>
  <c r="C334"/>
  <c r="C333"/>
  <c r="C332"/>
  <c r="C331"/>
  <c r="C330"/>
  <c r="C329"/>
  <c r="C328"/>
  <c r="C327"/>
  <c r="C326"/>
  <c r="C325"/>
  <c r="C324"/>
  <c r="C323"/>
  <c r="C322"/>
  <c r="C321"/>
  <c r="C320"/>
  <c r="C319"/>
  <c r="C318"/>
  <c r="C317"/>
  <c r="C316"/>
  <c r="C315"/>
  <c r="C314"/>
  <c r="C313"/>
  <c r="C312"/>
  <c r="C311"/>
  <c r="C310"/>
  <c r="C309"/>
  <c r="C308"/>
  <c r="C307"/>
  <c r="C306"/>
  <c r="C305"/>
  <c r="C304"/>
  <c r="C303"/>
  <c r="C302"/>
  <c r="C301"/>
  <c r="C300"/>
  <c r="C299"/>
  <c r="C298"/>
  <c r="C297"/>
  <c r="C296"/>
  <c r="C295"/>
  <c r="C294"/>
  <c r="C293"/>
  <c r="C292"/>
  <c r="C291"/>
  <c r="C290"/>
  <c r="C289"/>
  <c r="C288"/>
  <c r="C287"/>
  <c r="C286"/>
  <c r="C285"/>
  <c r="C284"/>
  <c r="C283"/>
  <c r="C282"/>
  <c r="C281"/>
  <c r="C280"/>
  <c r="C279"/>
  <c r="C278"/>
  <c r="C277"/>
  <c r="C276"/>
  <c r="C275"/>
  <c r="C274"/>
  <c r="C273"/>
  <c r="C272"/>
  <c r="C271"/>
  <c r="C270"/>
  <c r="C269"/>
  <c r="C268"/>
  <c r="C267"/>
  <c r="C266"/>
  <c r="C265"/>
  <c r="C264"/>
  <c r="C263"/>
  <c r="C262"/>
  <c r="C261"/>
  <c r="C260"/>
  <c r="C259"/>
  <c r="C258"/>
  <c r="C257"/>
  <c r="C256"/>
  <c r="C255"/>
  <c r="C254"/>
  <c r="C253"/>
  <c r="C252"/>
  <c r="C251"/>
  <c r="C250"/>
  <c r="C249"/>
  <c r="C248"/>
  <c r="C247"/>
  <c r="C246"/>
  <c r="C245"/>
  <c r="C244"/>
  <c r="C243"/>
  <c r="C242"/>
  <c r="C241"/>
  <c r="C240"/>
  <c r="C239"/>
  <c r="C238"/>
  <c r="C237"/>
  <c r="C236"/>
  <c r="C235"/>
  <c r="C234"/>
  <c r="C233"/>
  <c r="C232"/>
  <c r="C231"/>
  <c r="C230"/>
  <c r="C229"/>
  <c r="C228"/>
  <c r="C227"/>
  <c r="C226"/>
  <c r="C225"/>
  <c r="C224"/>
  <c r="C223"/>
  <c r="C222"/>
  <c r="C221"/>
  <c r="C220"/>
  <c r="C219"/>
  <c r="C218"/>
  <c r="C217"/>
  <c r="C216"/>
  <c r="C215"/>
  <c r="C214"/>
  <c r="C213"/>
  <c r="C212"/>
  <c r="C211"/>
  <c r="C210"/>
  <c r="C209"/>
  <c r="C208"/>
  <c r="C207"/>
  <c r="C206"/>
  <c r="C205"/>
  <c r="C204"/>
  <c r="C203"/>
  <c r="C202"/>
  <c r="C201"/>
  <c r="C200"/>
  <c r="C199"/>
  <c r="C198"/>
  <c r="C197"/>
  <c r="C196"/>
  <c r="C195"/>
  <c r="C194"/>
  <c r="C193"/>
  <c r="C192"/>
  <c r="C191"/>
  <c r="C190"/>
  <c r="C189"/>
  <c r="C188"/>
  <c r="C187"/>
  <c r="C186"/>
  <c r="C185"/>
  <c r="C184"/>
  <c r="C183"/>
  <c r="C182"/>
  <c r="C181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C102"/>
  <c r="C101"/>
  <c r="C100"/>
  <c r="C99"/>
  <c r="C98"/>
  <c r="C97"/>
  <c r="C96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6"/>
  <c r="C5"/>
  <c r="C4"/>
  <c r="C3"/>
</calcChain>
</file>

<file path=xl/sharedStrings.xml><?xml version="1.0" encoding="utf-8"?>
<sst xmlns="http://schemas.openxmlformats.org/spreadsheetml/2006/main" count="3403" uniqueCount="1708">
  <si>
    <t>2023年度来安县事业单位公开招聘工作人员笔试成绩</t>
  </si>
  <si>
    <t>序号</t>
  </si>
  <si>
    <t>岗位代码</t>
  </si>
  <si>
    <t>准考证号</t>
  </si>
  <si>
    <t>《职业能力倾向测验》成绩</t>
  </si>
  <si>
    <t>《综合应用能力》成绩</t>
  </si>
  <si>
    <t>备注</t>
  </si>
  <si>
    <t>0001</t>
  </si>
  <si>
    <t/>
  </si>
  <si>
    <t>0002</t>
  </si>
  <si>
    <t>0003</t>
  </si>
  <si>
    <t>0004</t>
  </si>
  <si>
    <t>缺考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</si>
  <si>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</si>
  <si>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</si>
  <si>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</si>
  <si>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</si>
  <si>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</si>
  <si>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</si>
  <si>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</si>
  <si>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</si>
  <si>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</si>
  <si>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</si>
  <si>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</si>
  <si>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</si>
  <si>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</si>
  <si>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</si>
  <si>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</si>
  <si>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</si>
  <si>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</si>
  <si>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</si>
  <si>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</si>
  <si>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</si>
  <si>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</si>
  <si>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</si>
  <si>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</si>
  <si>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</si>
  <si>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</si>
  <si>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</si>
  <si>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</si>
  <si>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</si>
  <si>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</si>
  <si>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</si>
  <si>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</si>
  <si>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</si>
  <si>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</si>
  <si>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</si>
  <si>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</si>
  <si>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</si>
  <si>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</si>
  <si>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</si>
  <si>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</si>
  <si>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</si>
  <si>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</si>
  <si>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</si>
  <si>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</si>
  <si>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</si>
  <si>
    <t>0049</t>
  </si>
  <si>
    <t>0050</t>
  </si>
  <si>
    <t>0051</t>
  </si>
  <si>
    <t>0052</t>
  </si>
  <si>
    <t>0053</t>
  </si>
  <si>
    <t>0054</t>
  </si>
  <si>
    <t>0055</t>
  </si>
  <si>
    <t>0056</t>
  </si>
  <si>
    <t>0057</t>
  </si>
  <si>
    <t>0058</t>
  </si>
  <si>
    <t>0059</t>
  </si>
  <si>
    <t>0060</t>
  </si>
  <si>
    <t>0061</t>
  </si>
  <si>
    <t>0062</t>
  </si>
  <si>
    <t>0063</t>
  </si>
  <si>
    <t>0064</t>
  </si>
  <si>
    <t>0065</t>
  </si>
  <si>
    <t>0066</t>
  </si>
  <si>
    <t>0067</t>
  </si>
  <si>
    <t>0068</t>
  </si>
  <si>
    <t>0069</t>
  </si>
  <si>
    <t>0070</t>
  </si>
  <si>
    <t>0071</t>
  </si>
  <si>
    <t>0072</t>
  </si>
  <si>
    <t>0073</t>
  </si>
  <si>
    <t>0074</t>
  </si>
  <si>
    <t>0075</t>
  </si>
  <si>
    <t>0076</t>
  </si>
  <si>
    <t>0077</t>
  </si>
  <si>
    <t>0078</t>
  </si>
  <si>
    <t>0079</t>
  </si>
  <si>
    <t>0080</t>
  </si>
  <si>
    <t>0081</t>
  </si>
  <si>
    <t>0082</t>
  </si>
  <si>
    <t>0083</t>
  </si>
  <si>
    <t>0084</t>
  </si>
  <si>
    <t>0085</t>
  </si>
  <si>
    <t>0086</t>
  </si>
  <si>
    <t>0087</t>
  </si>
  <si>
    <t>0088</t>
  </si>
  <si>
    <t>0089</t>
  </si>
  <si>
    <t>0090</t>
  </si>
  <si>
    <t>0091</t>
  </si>
  <si>
    <t>0092</t>
  </si>
  <si>
    <t>0093</t>
  </si>
  <si>
    <t>0094</t>
  </si>
  <si>
    <t>0095</t>
  </si>
  <si>
    <t>0096</t>
  </si>
  <si>
    <t>0097</t>
  </si>
  <si>
    <t>0098</t>
  </si>
  <si>
    <t>0099</t>
  </si>
  <si>
    <t>0100</t>
  </si>
  <si>
    <t>0101</t>
  </si>
  <si>
    <t>0102</t>
  </si>
  <si>
    <t>0103</t>
  </si>
  <si>
    <t>0104</t>
  </si>
  <si>
    <t>0105</t>
  </si>
  <si>
    <t>0106</t>
  </si>
  <si>
    <t>0107</t>
  </si>
  <si>
    <t>0108</t>
  </si>
  <si>
    <t>0109</t>
  </si>
  <si>
    <t>0110</t>
  </si>
  <si>
    <t>0111</t>
  </si>
  <si>
    <t>0112</t>
  </si>
  <si>
    <t>0113</t>
  </si>
  <si>
    <t>0114</t>
  </si>
  <si>
    <t>0115</t>
  </si>
  <si>
    <t>0116</t>
  </si>
  <si>
    <t>0117</t>
  </si>
  <si>
    <t>0118</t>
  </si>
  <si>
    <t>0119</t>
  </si>
  <si>
    <t>0120</t>
  </si>
  <si>
    <t>0121</t>
  </si>
  <si>
    <t>0122</t>
  </si>
  <si>
    <t>0123</t>
  </si>
  <si>
    <t>0124</t>
  </si>
  <si>
    <t>0125</t>
  </si>
  <si>
    <t>0126</t>
  </si>
  <si>
    <t>0127</t>
  </si>
  <si>
    <t>0128</t>
  </si>
  <si>
    <t>0129</t>
  </si>
  <si>
    <t>0130</t>
  </si>
  <si>
    <t>0131</t>
  </si>
  <si>
    <t>0132</t>
  </si>
  <si>
    <t>0133</t>
  </si>
  <si>
    <t>0134</t>
  </si>
  <si>
    <t>0135</t>
  </si>
  <si>
    <t>0136</t>
  </si>
  <si>
    <t>0137</t>
  </si>
  <si>
    <t>0138</t>
  </si>
  <si>
    <t>0139</t>
  </si>
  <si>
    <t>0140</t>
  </si>
  <si>
    <t>0141</t>
  </si>
  <si>
    <t>0142</t>
  </si>
  <si>
    <t>0143</t>
  </si>
  <si>
    <t>0144</t>
  </si>
  <si>
    <t>0145</t>
  </si>
  <si>
    <t>0146</t>
  </si>
  <si>
    <t>0147</t>
  </si>
  <si>
    <t>0148</t>
  </si>
  <si>
    <t>0149</t>
  </si>
  <si>
    <t>0150</t>
  </si>
  <si>
    <t>0151</t>
  </si>
  <si>
    <t>0152</t>
  </si>
  <si>
    <t>0153</t>
  </si>
  <si>
    <t>0154</t>
  </si>
  <si>
    <t>0155</t>
  </si>
  <si>
    <t>0156</t>
  </si>
  <si>
    <t>0157</t>
  </si>
  <si>
    <t>0158</t>
  </si>
  <si>
    <t>0159</t>
  </si>
  <si>
    <t>0160</t>
  </si>
  <si>
    <t>0161</t>
  </si>
  <si>
    <t>0162</t>
  </si>
  <si>
    <t>0163</t>
  </si>
  <si>
    <t>0164</t>
  </si>
  <si>
    <t>0165</t>
  </si>
  <si>
    <t>0166</t>
  </si>
  <si>
    <t>0167</t>
  </si>
  <si>
    <t>0168</t>
  </si>
  <si>
    <t>0169</t>
  </si>
  <si>
    <t>0170</t>
  </si>
  <si>
    <t>0171</t>
  </si>
  <si>
    <t>0172</t>
  </si>
  <si>
    <t>0173</t>
  </si>
  <si>
    <t>0174</t>
  </si>
  <si>
    <t>0175</t>
  </si>
  <si>
    <t>0176</t>
  </si>
  <si>
    <t>0177</t>
  </si>
  <si>
    <t>0178</t>
  </si>
  <si>
    <t>0179</t>
  </si>
  <si>
    <t>0180</t>
  </si>
  <si>
    <t>0181</t>
  </si>
  <si>
    <t>0182</t>
  </si>
  <si>
    <t>0183</t>
  </si>
  <si>
    <t>0184</t>
  </si>
  <si>
    <t>0185</t>
  </si>
  <si>
    <t>0186</t>
  </si>
  <si>
    <t>0187</t>
  </si>
  <si>
    <t>0188</t>
  </si>
  <si>
    <t>0189</t>
  </si>
  <si>
    <t>0190</t>
  </si>
  <si>
    <t>0191</t>
  </si>
  <si>
    <t>0192</t>
  </si>
  <si>
    <t>0193</t>
  </si>
  <si>
    <t>0194</t>
  </si>
  <si>
    <t>0195</t>
  </si>
  <si>
    <t>0196</t>
  </si>
  <si>
    <t>0197</t>
  </si>
  <si>
    <t>0198</t>
  </si>
  <si>
    <t>0199</t>
  </si>
  <si>
    <t>0200</t>
  </si>
  <si>
    <t>0201</t>
  </si>
  <si>
    <t>0202</t>
  </si>
  <si>
    <t>0203</t>
  </si>
  <si>
    <t>0204</t>
  </si>
  <si>
    <t>0205</t>
  </si>
  <si>
    <t>0206</t>
  </si>
  <si>
    <t>0207</t>
  </si>
  <si>
    <t>0208</t>
  </si>
  <si>
    <t>0209</t>
  </si>
  <si>
    <t>0210</t>
  </si>
  <si>
    <t>0211</t>
  </si>
  <si>
    <t>0212</t>
  </si>
  <si>
    <t>0213</t>
  </si>
  <si>
    <t>0214</t>
  </si>
  <si>
    <t>0215</t>
  </si>
  <si>
    <t>0216</t>
  </si>
  <si>
    <t>0217</t>
  </si>
  <si>
    <t>0218</t>
  </si>
  <si>
    <t>0219</t>
  </si>
  <si>
    <t>0220</t>
  </si>
  <si>
    <t>0221</t>
  </si>
  <si>
    <t>0222</t>
  </si>
  <si>
    <t>0223</t>
  </si>
  <si>
    <t>0224</t>
  </si>
  <si>
    <t>0225</t>
  </si>
  <si>
    <t>0226</t>
  </si>
  <si>
    <t>0227</t>
  </si>
  <si>
    <t>0228</t>
  </si>
  <si>
    <t>0229</t>
  </si>
  <si>
    <t>0230</t>
  </si>
  <si>
    <t>0231</t>
  </si>
  <si>
    <t>0232</t>
  </si>
  <si>
    <t>0233</t>
  </si>
  <si>
    <t>0234</t>
  </si>
  <si>
    <t>0235</t>
  </si>
  <si>
    <t>0236</t>
  </si>
  <si>
    <t>0237</t>
  </si>
  <si>
    <t>0238</t>
  </si>
  <si>
    <t>0239</t>
  </si>
  <si>
    <t>0240</t>
  </si>
  <si>
    <t>0241</t>
  </si>
  <si>
    <t>0242</t>
  </si>
  <si>
    <t>0243</t>
  </si>
  <si>
    <t>0244</t>
  </si>
  <si>
    <t>0245</t>
  </si>
  <si>
    <t>0246</t>
  </si>
  <si>
    <t>0247</t>
  </si>
  <si>
    <t>0248</t>
  </si>
  <si>
    <t>0249</t>
  </si>
  <si>
    <t>0250</t>
  </si>
  <si>
    <t>0251</t>
  </si>
  <si>
    <t>0252</t>
  </si>
  <si>
    <t>0253</t>
  </si>
  <si>
    <t>0254</t>
  </si>
  <si>
    <t>0255</t>
  </si>
  <si>
    <t>0256</t>
  </si>
  <si>
    <t>0257</t>
  </si>
  <si>
    <t>0258</t>
  </si>
  <si>
    <t>0259</t>
  </si>
  <si>
    <t>0260</t>
  </si>
  <si>
    <t>0261</t>
  </si>
  <si>
    <t>0262</t>
  </si>
  <si>
    <t>0263</t>
  </si>
  <si>
    <t>0264</t>
  </si>
  <si>
    <t>0265</t>
  </si>
  <si>
    <t>0266</t>
  </si>
  <si>
    <t>0267</t>
  </si>
  <si>
    <t>0268</t>
  </si>
  <si>
    <t>0269</t>
  </si>
  <si>
    <t>0270</t>
  </si>
  <si>
    <t>0271</t>
  </si>
  <si>
    <t>0272</t>
  </si>
  <si>
    <t>0273</t>
  </si>
  <si>
    <t>0274</t>
  </si>
  <si>
    <t>0275</t>
  </si>
  <si>
    <t>0276</t>
  </si>
  <si>
    <t>0277</t>
  </si>
  <si>
    <t>0278</t>
  </si>
  <si>
    <t>0279</t>
  </si>
  <si>
    <t>0280</t>
  </si>
  <si>
    <t>0281</t>
  </si>
  <si>
    <t>0282</t>
  </si>
  <si>
    <t>0283</t>
  </si>
  <si>
    <t>0284</t>
  </si>
  <si>
    <t>0285</t>
  </si>
  <si>
    <t>0286</t>
  </si>
  <si>
    <t>0287</t>
  </si>
  <si>
    <t>0288</t>
  </si>
  <si>
    <t>0289</t>
  </si>
  <si>
    <t>0290</t>
  </si>
  <si>
    <t>0291</t>
  </si>
  <si>
    <t>0292</t>
  </si>
  <si>
    <t>0293</t>
  </si>
  <si>
    <t>0294</t>
  </si>
  <si>
    <t>0295</t>
  </si>
  <si>
    <t>0296</t>
  </si>
  <si>
    <t>0297</t>
  </si>
  <si>
    <t>0298</t>
  </si>
  <si>
    <t>0299</t>
  </si>
  <si>
    <t>0300</t>
  </si>
  <si>
    <t>0301</t>
  </si>
  <si>
    <t>0302</t>
  </si>
  <si>
    <t>0303</t>
  </si>
  <si>
    <t>0304</t>
  </si>
  <si>
    <t>0305</t>
  </si>
  <si>
    <t>0306</t>
  </si>
  <si>
    <t>0307</t>
  </si>
  <si>
    <t>0308</t>
  </si>
  <si>
    <t>0309</t>
  </si>
  <si>
    <t>0310</t>
  </si>
  <si>
    <t>0311</t>
  </si>
  <si>
    <t>0312</t>
  </si>
  <si>
    <t>0313</t>
  </si>
  <si>
    <t>0314</t>
  </si>
  <si>
    <t>0315</t>
  </si>
  <si>
    <t>0316</t>
  </si>
  <si>
    <t>0317</t>
  </si>
  <si>
    <t>0318</t>
  </si>
  <si>
    <t>0319</t>
  </si>
  <si>
    <t>0320</t>
  </si>
  <si>
    <t>0321</t>
  </si>
  <si>
    <t>0322</t>
  </si>
  <si>
    <t>0323</t>
  </si>
  <si>
    <t>0324</t>
  </si>
  <si>
    <t>0325</t>
  </si>
  <si>
    <t>0326</t>
  </si>
  <si>
    <t>0327</t>
  </si>
  <si>
    <t>0328</t>
  </si>
  <si>
    <t>0329</t>
  </si>
  <si>
    <t>0330</t>
  </si>
  <si>
    <t>0331</t>
  </si>
  <si>
    <t>0332</t>
  </si>
  <si>
    <t>0333</t>
  </si>
  <si>
    <t>0334</t>
  </si>
  <si>
    <t>0335</t>
  </si>
  <si>
    <t>0336</t>
  </si>
  <si>
    <t>0337</t>
  </si>
  <si>
    <t>0338</t>
  </si>
  <si>
    <t>0339</t>
  </si>
  <si>
    <t>0340</t>
  </si>
  <si>
    <t>0341</t>
  </si>
  <si>
    <t>0342</t>
  </si>
  <si>
    <t>0343</t>
  </si>
  <si>
    <t>0344</t>
  </si>
  <si>
    <t>0345</t>
  </si>
  <si>
    <t>0346</t>
  </si>
  <si>
    <t>0347</t>
  </si>
  <si>
    <t>0348</t>
  </si>
  <si>
    <t>0349</t>
  </si>
  <si>
    <t>0350</t>
  </si>
  <si>
    <t>0351</t>
  </si>
  <si>
    <t>0352</t>
  </si>
  <si>
    <t>0353</t>
  </si>
  <si>
    <t>0354</t>
  </si>
  <si>
    <t>0355</t>
  </si>
  <si>
    <t>0356</t>
  </si>
  <si>
    <t>0357</t>
  </si>
  <si>
    <t>0358</t>
  </si>
  <si>
    <t>0359</t>
  </si>
  <si>
    <t>0360</t>
  </si>
  <si>
    <t>0361</t>
  </si>
  <si>
    <t>0362</t>
  </si>
  <si>
    <t>0363</t>
  </si>
  <si>
    <t>0364</t>
  </si>
  <si>
    <t>0365</t>
  </si>
  <si>
    <t>0366</t>
  </si>
  <si>
    <t>0367</t>
  </si>
  <si>
    <t>0368</t>
  </si>
  <si>
    <t>0369</t>
  </si>
  <si>
    <t>0370</t>
  </si>
  <si>
    <t>0371</t>
  </si>
  <si>
    <t>0372</t>
  </si>
  <si>
    <t>0373</t>
  </si>
  <si>
    <t>0374</t>
  </si>
  <si>
    <t>0375</t>
  </si>
  <si>
    <t>0376</t>
  </si>
  <si>
    <t>0377</t>
  </si>
  <si>
    <t>0378</t>
  </si>
  <si>
    <t>0379</t>
  </si>
  <si>
    <t>0380</t>
  </si>
  <si>
    <t>0381</t>
  </si>
  <si>
    <t>0382</t>
  </si>
  <si>
    <t>0383</t>
  </si>
  <si>
    <t>0384</t>
  </si>
  <si>
    <t>0385</t>
  </si>
  <si>
    <t>0386</t>
  </si>
  <si>
    <t>0387</t>
  </si>
  <si>
    <t>0388</t>
  </si>
  <si>
    <t>0389</t>
  </si>
  <si>
    <t>0390</t>
  </si>
  <si>
    <t>0391</t>
  </si>
  <si>
    <t>0392</t>
  </si>
  <si>
    <t>0393</t>
  </si>
  <si>
    <t>0394</t>
  </si>
  <si>
    <t>0395</t>
  </si>
  <si>
    <t>0396</t>
  </si>
  <si>
    <t>0397</t>
  </si>
  <si>
    <t>0398</t>
  </si>
  <si>
    <t>0399</t>
  </si>
  <si>
    <t>0400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</si>
  <si>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</si>
  <si>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</si>
  <si>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</si>
  <si>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</si>
  <si>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</si>
  <si>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</si>
  <si>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</si>
  <si>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</si>
  <si>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</si>
  <si>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0410</t>
  </si>
  <si>
    <t>0411</t>
  </si>
  <si>
    <t>0412</t>
  </si>
  <si>
    <t>0413</t>
  </si>
  <si>
    <t>0414</t>
  </si>
  <si>
    <t>0415</t>
  </si>
  <si>
    <t>0416</t>
  </si>
  <si>
    <t>0417</t>
  </si>
  <si>
    <t>0418</t>
  </si>
  <si>
    <t>0419</t>
  </si>
  <si>
    <t>0420</t>
  </si>
  <si>
    <t>0421</t>
  </si>
  <si>
    <t>0422</t>
  </si>
  <si>
    <t>0423</t>
  </si>
  <si>
    <t>0424</t>
  </si>
  <si>
    <t>0425</t>
  </si>
  <si>
    <t>0426</t>
  </si>
  <si>
    <t>0427</t>
  </si>
  <si>
    <t>0428</t>
  </si>
  <si>
    <t>0429</t>
  </si>
  <si>
    <t>0430</t>
  </si>
  <si>
    <t>0431</t>
  </si>
  <si>
    <t>0432</t>
  </si>
  <si>
    <t>0433</t>
  </si>
  <si>
    <t>0434</t>
  </si>
  <si>
    <t>0435</t>
  </si>
  <si>
    <t>0436</t>
  </si>
  <si>
    <t>0437</t>
  </si>
  <si>
    <t>0438</t>
  </si>
  <si>
    <t>0439</t>
  </si>
  <si>
    <t>0440</t>
  </si>
  <si>
    <t>0441</t>
  </si>
  <si>
    <t>0442</t>
  </si>
  <si>
    <t>0443</t>
  </si>
  <si>
    <t>0444</t>
  </si>
  <si>
    <t>0445</t>
  </si>
  <si>
    <t>0446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</si>
  <si>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</si>
  <si>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</si>
  <si>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</si>
  <si>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</si>
  <si>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</si>
  <si>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</si>
  <si>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</si>
  <si>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</si>
  <si>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</si>
  <si>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</si>
  <si>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</si>
  <si>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</si>
  <si>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</si>
  <si>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</si>
  <si>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</si>
  <si>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</si>
  <si>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</si>
  <si>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</si>
  <si>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</si>
  <si>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</si>
  <si>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</si>
  <si>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</si>
  <si>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</si>
  <si>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</si>
  <si>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</si>
  <si>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</si>
  <si>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</si>
  <si>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</si>
  <si>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</si>
  <si>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</si>
  <si>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</si>
  <si>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</si>
  <si>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</si>
  <si>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</si>
  <si>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</si>
  <si>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</si>
  <si>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</si>
  <si>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</si>
  <si>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</si>
  <si>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</si>
  <si>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</si>
  <si>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</si>
  <si>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</si>
  <si>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</si>
  <si>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0491</t>
  </si>
  <si>
    <t>0492</t>
  </si>
  <si>
    <t>0493</t>
  </si>
  <si>
    <t>0494</t>
  </si>
  <si>
    <t>0495</t>
  </si>
  <si>
    <t>0496</t>
  </si>
  <si>
    <t>0497</t>
  </si>
  <si>
    <t>0498</t>
  </si>
  <si>
    <t>0499</t>
  </si>
  <si>
    <t>0500</t>
  </si>
  <si>
    <t>0501</t>
  </si>
  <si>
    <t>0502</t>
  </si>
  <si>
    <t>0503</t>
  </si>
  <si>
    <t>0504</t>
  </si>
  <si>
    <t>0505</t>
  </si>
  <si>
    <t>0506</t>
  </si>
  <si>
    <t>0507</t>
  </si>
  <si>
    <t>0508</t>
  </si>
  <si>
    <t>0509</t>
  </si>
  <si>
    <t>0510</t>
  </si>
  <si>
    <t>0511</t>
  </si>
  <si>
    <t>0512</t>
  </si>
  <si>
    <t>0513</t>
  </si>
  <si>
    <t>0514</t>
  </si>
  <si>
    <t>0515</t>
  </si>
  <si>
    <t>0516</t>
  </si>
  <si>
    <t>0517</t>
  </si>
  <si>
    <t>0518</t>
  </si>
  <si>
    <t>0519</t>
  </si>
  <si>
    <t>0520</t>
  </si>
  <si>
    <t>0521</t>
  </si>
  <si>
    <t>0522</t>
  </si>
  <si>
    <t>0523</t>
  </si>
  <si>
    <t>0524</t>
  </si>
  <si>
    <t>0525</t>
  </si>
  <si>
    <t>0526</t>
  </si>
  <si>
    <t>0527</t>
  </si>
  <si>
    <t>0528</t>
  </si>
  <si>
    <t>0529</t>
  </si>
  <si>
    <t>0530</t>
  </si>
  <si>
    <t>0531</t>
  </si>
  <si>
    <t>0532</t>
  </si>
  <si>
    <t>0533</t>
  </si>
  <si>
    <t>0534</t>
  </si>
  <si>
    <t>0535</t>
  </si>
  <si>
    <t>0536</t>
  </si>
  <si>
    <t>0537</t>
  </si>
  <si>
    <t>0538</t>
  </si>
  <si>
    <t>0539</t>
  </si>
  <si>
    <t>0540</t>
  </si>
  <si>
    <t>0541</t>
  </si>
  <si>
    <t>0542</t>
  </si>
  <si>
    <t>0543</t>
  </si>
  <si>
    <t>0544</t>
  </si>
  <si>
    <t>0545</t>
  </si>
  <si>
    <t>0546</t>
  </si>
  <si>
    <t>0547</t>
  </si>
  <si>
    <t>0548</t>
  </si>
  <si>
    <t>0549</t>
  </si>
  <si>
    <t>0550</t>
  </si>
  <si>
    <t>0551</t>
  </si>
  <si>
    <t>0552</t>
  </si>
  <si>
    <t>0553</t>
  </si>
  <si>
    <t>0554</t>
  </si>
  <si>
    <t>0555</t>
  </si>
  <si>
    <t>0556</t>
  </si>
  <si>
    <t>0557</t>
  </si>
  <si>
    <t>0558</t>
  </si>
  <si>
    <t>0559</t>
  </si>
  <si>
    <t>0560</t>
  </si>
  <si>
    <t>0561</t>
  </si>
  <si>
    <t>0562</t>
  </si>
  <si>
    <t>0563</t>
  </si>
  <si>
    <t>0564</t>
  </si>
  <si>
    <t>0565</t>
  </si>
  <si>
    <t>0566</t>
  </si>
  <si>
    <t>0567</t>
  </si>
  <si>
    <t>0568</t>
  </si>
  <si>
    <t>0569</t>
  </si>
  <si>
    <t>0570</t>
  </si>
  <si>
    <t>0571</t>
  </si>
  <si>
    <t>0572</t>
  </si>
  <si>
    <t>0573</t>
  </si>
  <si>
    <t>0574</t>
  </si>
  <si>
    <t>0575</t>
  </si>
  <si>
    <t>0576</t>
  </si>
  <si>
    <t>0577</t>
  </si>
  <si>
    <t>0578</t>
  </si>
  <si>
    <t>0579</t>
  </si>
  <si>
    <t>0580</t>
  </si>
  <si>
    <t>0581</t>
  </si>
  <si>
    <t>0582</t>
  </si>
  <si>
    <t>0583</t>
  </si>
  <si>
    <t>0584</t>
  </si>
  <si>
    <t>0585</t>
  </si>
  <si>
    <t>0586</t>
  </si>
  <si>
    <t>0587</t>
  </si>
  <si>
    <t>0588</t>
  </si>
  <si>
    <t>0589</t>
  </si>
  <si>
    <t>0590</t>
  </si>
  <si>
    <t>0591</t>
  </si>
  <si>
    <t>0592</t>
  </si>
  <si>
    <t>0593</t>
  </si>
  <si>
    <t>0594</t>
  </si>
  <si>
    <t>0595</t>
  </si>
  <si>
    <t>0596</t>
  </si>
  <si>
    <t>0597</t>
  </si>
  <si>
    <t>0598</t>
  </si>
  <si>
    <t>0599</t>
  </si>
  <si>
    <t>0600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</si>
  <si>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</si>
  <si>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</si>
  <si>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</si>
  <si>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</si>
  <si>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</si>
  <si>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</si>
  <si>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</si>
  <si>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</si>
  <si>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</si>
  <si>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</si>
  <si>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</si>
  <si>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</si>
  <si>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</si>
  <si>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</si>
  <si>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</si>
  <si>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</si>
  <si>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</si>
  <si>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</si>
  <si>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</si>
  <si>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</si>
  <si>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</si>
  <si>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</si>
  <si>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</si>
  <si>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</si>
  <si>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</si>
  <si>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</si>
  <si>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</si>
  <si>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</si>
  <si>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</si>
  <si>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</si>
  <si>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</si>
  <si>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</si>
  <si>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</si>
  <si>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</si>
  <si>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</si>
  <si>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</si>
  <si>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</si>
  <si>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</si>
  <si>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</si>
  <si>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</si>
  <si>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</si>
  <si>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</si>
  <si>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</si>
  <si>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</si>
  <si>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</si>
  <si>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</si>
  <si>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</si>
  <si>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</si>
  <si>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</si>
  <si>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</si>
  <si>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</si>
  <si>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</si>
  <si>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</si>
  <si>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0654</t>
  </si>
  <si>
    <t>0655</t>
  </si>
  <si>
    <t>0656</t>
  </si>
  <si>
    <t>0657</t>
  </si>
  <si>
    <t>0658</t>
  </si>
  <si>
    <t>0659</t>
  </si>
  <si>
    <t>0660</t>
  </si>
  <si>
    <t>0661</t>
  </si>
  <si>
    <t>0662</t>
  </si>
  <si>
    <t>0663</t>
  </si>
  <si>
    <t>0664</t>
  </si>
  <si>
    <t>0665</t>
  </si>
  <si>
    <t>0666</t>
  </si>
  <si>
    <t>0667</t>
  </si>
  <si>
    <t>0668</t>
  </si>
  <si>
    <t>0669</t>
  </si>
  <si>
    <t>0670</t>
  </si>
  <si>
    <t>0671</t>
  </si>
  <si>
    <t>0672</t>
  </si>
  <si>
    <t>0673</t>
  </si>
  <si>
    <t>0674</t>
  </si>
  <si>
    <t>0675</t>
  </si>
  <si>
    <t>0676</t>
  </si>
  <si>
    <t>0677</t>
  </si>
  <si>
    <t>0678</t>
  </si>
  <si>
    <t>0679</t>
  </si>
  <si>
    <t>0680</t>
  </si>
  <si>
    <t>0681</t>
  </si>
  <si>
    <t>0682</t>
  </si>
  <si>
    <t>0683</t>
  </si>
  <si>
    <t>0684</t>
  </si>
  <si>
    <t>0685</t>
  </si>
  <si>
    <t>0686</t>
  </si>
  <si>
    <t>0687</t>
  </si>
  <si>
    <t>0688</t>
  </si>
  <si>
    <t>0689</t>
  </si>
  <si>
    <t>0690</t>
  </si>
  <si>
    <t>0691</t>
  </si>
  <si>
    <t>0692</t>
  </si>
  <si>
    <t>0693</t>
  </si>
  <si>
    <t>0694</t>
  </si>
  <si>
    <t>0695</t>
  </si>
  <si>
    <t>0696</t>
  </si>
  <si>
    <t>0697</t>
  </si>
  <si>
    <t>0698</t>
  </si>
  <si>
    <t>0699</t>
  </si>
  <si>
    <t>0700</t>
  </si>
  <si>
    <t>0701</t>
  </si>
  <si>
    <t>0702</t>
  </si>
  <si>
    <t>0703</t>
  </si>
  <si>
    <t>0704</t>
  </si>
  <si>
    <t>0705</t>
  </si>
  <si>
    <t>0706</t>
  </si>
  <si>
    <t>0707</t>
  </si>
  <si>
    <t>0708</t>
  </si>
  <si>
    <t>0709</t>
  </si>
  <si>
    <t>0710</t>
  </si>
  <si>
    <t>0711</t>
  </si>
  <si>
    <t>0712</t>
  </si>
  <si>
    <t>0713</t>
  </si>
  <si>
    <t>0714</t>
  </si>
  <si>
    <t>0715</t>
  </si>
  <si>
    <t>0716</t>
  </si>
  <si>
    <t>0717</t>
  </si>
  <si>
    <t>0718</t>
  </si>
  <si>
    <t>0719</t>
  </si>
  <si>
    <t>0720</t>
  </si>
  <si>
    <t>0721</t>
  </si>
  <si>
    <t>0722</t>
  </si>
  <si>
    <t>0723</t>
  </si>
  <si>
    <t>0724</t>
  </si>
  <si>
    <t>0725</t>
  </si>
  <si>
    <t>0726</t>
  </si>
  <si>
    <t>0727</t>
  </si>
  <si>
    <t>0728</t>
  </si>
  <si>
    <t>0729</t>
  </si>
  <si>
    <t>0730</t>
  </si>
  <si>
    <t>0731</t>
  </si>
  <si>
    <t>0732</t>
  </si>
  <si>
    <t>0733</t>
  </si>
  <si>
    <t>0734</t>
  </si>
  <si>
    <t>0735</t>
  </si>
  <si>
    <t>0736</t>
  </si>
  <si>
    <t>0737</t>
  </si>
  <si>
    <t>0738</t>
  </si>
  <si>
    <t>0739</t>
  </si>
  <si>
    <t>0740</t>
  </si>
  <si>
    <t>0741</t>
  </si>
  <si>
    <t>0742</t>
  </si>
  <si>
    <t>0743</t>
  </si>
  <si>
    <t>0744</t>
  </si>
  <si>
    <t>0745</t>
  </si>
  <si>
    <t>0746</t>
  </si>
  <si>
    <t>0747</t>
  </si>
  <si>
    <t>0748</t>
  </si>
  <si>
    <t>0749</t>
  </si>
  <si>
    <t>0750</t>
  </si>
  <si>
    <t>0751</t>
  </si>
  <si>
    <t>0752</t>
  </si>
  <si>
    <t>0753</t>
  </si>
  <si>
    <t>0754</t>
  </si>
  <si>
    <t>0755</t>
  </si>
  <si>
    <t>0756</t>
  </si>
  <si>
    <t>0757</t>
  </si>
  <si>
    <t>0758</t>
  </si>
  <si>
    <t>0759</t>
  </si>
  <si>
    <t>0760</t>
  </si>
  <si>
    <t>0761</t>
  </si>
  <si>
    <t>0762</t>
  </si>
  <si>
    <t>0763</t>
  </si>
  <si>
    <t>0764</t>
  </si>
  <si>
    <t>0765</t>
  </si>
  <si>
    <t>0766</t>
  </si>
  <si>
    <t>0767</t>
  </si>
  <si>
    <t>0768</t>
  </si>
  <si>
    <t>0769</t>
  </si>
  <si>
    <t>0770</t>
  </si>
  <si>
    <t>0771</t>
  </si>
  <si>
    <t>0772</t>
  </si>
  <si>
    <t>0773</t>
  </si>
  <si>
    <t>0774</t>
  </si>
  <si>
    <t>0775</t>
  </si>
  <si>
    <t>0776</t>
  </si>
  <si>
    <t>0777</t>
  </si>
  <si>
    <t>0778</t>
  </si>
  <si>
    <t>0779</t>
  </si>
  <si>
    <t>0780</t>
  </si>
  <si>
    <t>0781</t>
  </si>
  <si>
    <t>0782</t>
  </si>
  <si>
    <t>0783</t>
  </si>
  <si>
    <t>0784</t>
  </si>
  <si>
    <t>0785</t>
  </si>
  <si>
    <t>0786</t>
  </si>
  <si>
    <t>0787</t>
  </si>
  <si>
    <t>0788</t>
  </si>
  <si>
    <t>0789</t>
  </si>
  <si>
    <t>0790</t>
  </si>
  <si>
    <t>0791</t>
  </si>
  <si>
    <t>0792</t>
  </si>
  <si>
    <t>0793</t>
  </si>
  <si>
    <t>0794</t>
  </si>
  <si>
    <t>0795</t>
  </si>
  <si>
    <t>0796</t>
  </si>
  <si>
    <t>0797</t>
  </si>
  <si>
    <t>0798</t>
  </si>
  <si>
    <t>0799</t>
  </si>
  <si>
    <t>0800</t>
  </si>
  <si>
    <t>0801</t>
  </si>
  <si>
    <t>0802</t>
  </si>
  <si>
    <t>0803</t>
  </si>
  <si>
    <t>0804</t>
  </si>
  <si>
    <t>0805</t>
  </si>
  <si>
    <t>0806</t>
  </si>
  <si>
    <t>0807</t>
  </si>
  <si>
    <t>0808</t>
  </si>
  <si>
    <t>0809</t>
  </si>
  <si>
    <t>0810</t>
  </si>
  <si>
    <t>0811</t>
  </si>
  <si>
    <t>0812</t>
  </si>
  <si>
    <t>0813</t>
  </si>
  <si>
    <t>0814</t>
  </si>
  <si>
    <t>0815</t>
  </si>
  <si>
    <t>0816</t>
  </si>
  <si>
    <t>0817</t>
  </si>
  <si>
    <t>0818</t>
  </si>
  <si>
    <t>0819</t>
  </si>
  <si>
    <t>0820</t>
  </si>
  <si>
    <t>0821</t>
  </si>
  <si>
    <t>0822</t>
  </si>
  <si>
    <t>0823</t>
  </si>
  <si>
    <t>0824</t>
  </si>
  <si>
    <t>0825</t>
  </si>
  <si>
    <t>0826</t>
  </si>
  <si>
    <t>0827</t>
  </si>
  <si>
    <t>0828</t>
  </si>
  <si>
    <t>0829</t>
  </si>
  <si>
    <t>0830</t>
  </si>
  <si>
    <t>0831</t>
  </si>
  <si>
    <t>0832</t>
  </si>
  <si>
    <t>0833</t>
  </si>
  <si>
    <t>0834</t>
  </si>
  <si>
    <t>0835</t>
  </si>
  <si>
    <t>0836</t>
  </si>
  <si>
    <t>0837</t>
  </si>
  <si>
    <t>0838</t>
  </si>
  <si>
    <t>0839</t>
  </si>
  <si>
    <t>0840</t>
  </si>
  <si>
    <t>0841</t>
  </si>
  <si>
    <t>0842</t>
  </si>
  <si>
    <t>0843</t>
  </si>
  <si>
    <t>0844</t>
  </si>
  <si>
    <t>0845</t>
  </si>
  <si>
    <t>0846</t>
  </si>
  <si>
    <t>0847</t>
  </si>
  <si>
    <t>0848</t>
  </si>
  <si>
    <t>0849</t>
  </si>
  <si>
    <t>0850</t>
  </si>
  <si>
    <t>0851</t>
  </si>
  <si>
    <t>0852</t>
  </si>
  <si>
    <t>0853</t>
  </si>
  <si>
    <t>0854</t>
  </si>
  <si>
    <t>0855</t>
  </si>
  <si>
    <t>0856</t>
  </si>
  <si>
    <t>0857</t>
  </si>
  <si>
    <t>0858</t>
  </si>
  <si>
    <t>0859</t>
  </si>
  <si>
    <t>0860</t>
  </si>
  <si>
    <t>0861</t>
  </si>
  <si>
    <t>0862</t>
  </si>
  <si>
    <t>0863</t>
  </si>
  <si>
    <t>0864</t>
  </si>
  <si>
    <t>0865</t>
  </si>
  <si>
    <t>0866</t>
  </si>
  <si>
    <t>0867</t>
  </si>
  <si>
    <t>0868</t>
  </si>
  <si>
    <t>0869</t>
  </si>
  <si>
    <t>0870</t>
  </si>
  <si>
    <t>0871</t>
  </si>
  <si>
    <t>0872</t>
  </si>
  <si>
    <t>0873</t>
  </si>
  <si>
    <t>0874</t>
  </si>
  <si>
    <t>0875</t>
  </si>
  <si>
    <t>0876</t>
  </si>
  <si>
    <t>0877</t>
  </si>
  <si>
    <t>0878</t>
  </si>
  <si>
    <t>0879</t>
  </si>
  <si>
    <t>0880</t>
  </si>
  <si>
    <t>0881</t>
  </si>
  <si>
    <t>0882</t>
  </si>
  <si>
    <t>0883</t>
  </si>
  <si>
    <t>0884</t>
  </si>
  <si>
    <t>0885</t>
  </si>
  <si>
    <t>0886</t>
  </si>
  <si>
    <t>0887</t>
  </si>
  <si>
    <t>0888</t>
  </si>
  <si>
    <t>0889</t>
  </si>
  <si>
    <t>0890</t>
  </si>
  <si>
    <t>0891</t>
  </si>
  <si>
    <t>0892</t>
  </si>
  <si>
    <t>0893</t>
  </si>
  <si>
    <t>0894</t>
  </si>
  <si>
    <t>0895</t>
  </si>
  <si>
    <t>0896</t>
  </si>
  <si>
    <t>0897</t>
  </si>
  <si>
    <t>0898</t>
  </si>
  <si>
    <t>0899</t>
  </si>
  <si>
    <t>0900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</si>
  <si>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</si>
  <si>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</si>
  <si>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</si>
  <si>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</si>
  <si>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</si>
  <si>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</si>
  <si>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</si>
  <si>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</si>
  <si>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</si>
  <si>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</si>
  <si>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</si>
  <si>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</si>
  <si>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</si>
  <si>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</si>
  <si>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</si>
  <si>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</si>
  <si>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</si>
  <si>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</si>
  <si>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</si>
  <si>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</si>
  <si>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</si>
  <si>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</si>
  <si>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</si>
  <si>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</si>
  <si>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0925</t>
  </si>
  <si>
    <t>0926</t>
  </si>
  <si>
    <t>0927</t>
  </si>
  <si>
    <t>0928</t>
  </si>
  <si>
    <t>0929</t>
  </si>
  <si>
    <t>0930</t>
  </si>
  <si>
    <t>0931</t>
  </si>
  <si>
    <t>0932</t>
  </si>
  <si>
    <t>0933</t>
  </si>
  <si>
    <t>0934</t>
  </si>
  <si>
    <t>0935</t>
  </si>
  <si>
    <t>0936</t>
  </si>
  <si>
    <t>0937</t>
  </si>
  <si>
    <t>0938</t>
  </si>
  <si>
    <t>0939</t>
  </si>
  <si>
    <t>0940</t>
  </si>
  <si>
    <t>0941</t>
  </si>
  <si>
    <t>0942</t>
  </si>
  <si>
    <t>0943</t>
  </si>
  <si>
    <t>0944</t>
  </si>
  <si>
    <t>0945</t>
  </si>
  <si>
    <t>0946</t>
  </si>
  <si>
    <t>0947</t>
  </si>
  <si>
    <t>0948</t>
  </si>
  <si>
    <t>0949</t>
  </si>
  <si>
    <t>0950</t>
  </si>
  <si>
    <t>0951</t>
  </si>
  <si>
    <t>0952</t>
  </si>
  <si>
    <t>0953</t>
  </si>
  <si>
    <t>0954</t>
  </si>
  <si>
    <t>0955</t>
  </si>
  <si>
    <t>0956</t>
  </si>
  <si>
    <t>0957</t>
  </si>
  <si>
    <t>0958</t>
  </si>
  <si>
    <t>0959</t>
  </si>
  <si>
    <t>0960</t>
  </si>
  <si>
    <t>0961</t>
  </si>
  <si>
    <t>0962</t>
  </si>
  <si>
    <t>0963</t>
  </si>
  <si>
    <t>0964</t>
  </si>
  <si>
    <t>0965</t>
  </si>
  <si>
    <t>0966</t>
  </si>
  <si>
    <t>0967</t>
  </si>
  <si>
    <t>0968</t>
  </si>
  <si>
    <t>0969</t>
  </si>
  <si>
    <t>0970</t>
  </si>
  <si>
    <t>0971</t>
  </si>
  <si>
    <t>0972</t>
  </si>
  <si>
    <t>0973</t>
  </si>
  <si>
    <t>0974</t>
  </si>
  <si>
    <t>0975</t>
  </si>
  <si>
    <t>0976</t>
  </si>
  <si>
    <t>0977</t>
  </si>
  <si>
    <t>0978</t>
  </si>
  <si>
    <t>0979</t>
  </si>
  <si>
    <t>0980</t>
  </si>
  <si>
    <t>0981</t>
  </si>
  <si>
    <t>0982</t>
  </si>
  <si>
    <t>0983</t>
  </si>
  <si>
    <t>0984</t>
  </si>
  <si>
    <t>0985</t>
  </si>
  <si>
    <t>0986</t>
  </si>
  <si>
    <t>0987</t>
  </si>
  <si>
    <t>0988</t>
  </si>
  <si>
    <t>0989</t>
  </si>
  <si>
    <t>0990</t>
  </si>
  <si>
    <t>0991</t>
  </si>
  <si>
    <t>0992</t>
  </si>
  <si>
    <t>0993</t>
  </si>
  <si>
    <t>0994</t>
  </si>
  <si>
    <t>0995</t>
  </si>
  <si>
    <t>0996</t>
  </si>
  <si>
    <t>0997</t>
  </si>
  <si>
    <t>0998</t>
  </si>
  <si>
    <t>0999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</si>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</sst>
</file>

<file path=xl/styles.xml><?xml version="1.0" encoding="utf-8"?>
<styleSheet xmlns="http://schemas.openxmlformats.org/spreadsheetml/2006/main">
  <numFmts count="1">
    <numFmt numFmtId="178" formatCode="0.00;[Red]0.00"/>
  </numFmts>
  <fonts count="5">
    <font>
      <sz val="12"/>
      <name val="宋体"/>
      <charset val="134"/>
    </font>
    <font>
      <sz val="20"/>
      <name val="方正小标宋简体"/>
      <charset val="134"/>
    </font>
    <font>
      <b/>
      <sz val="12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22">
    <xf numFmtId="0" fontId="0" fillId="0" borderId="0" xfId="0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>
      <alignment vertical="center"/>
    </xf>
    <xf numFmtId="0" fontId="0" fillId="0" borderId="0" xfId="0" applyFont="1" applyBorder="1" applyAlignment="1">
      <alignment horizontal="center" vertical="center" wrapText="1"/>
    </xf>
    <xf numFmtId="178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8" fontId="2" fillId="0" borderId="1" xfId="0" applyNumberFormat="1" applyFont="1" applyBorder="1" applyAlignment="1">
      <alignment horizontal="center" vertical="center" wrapText="1"/>
    </xf>
    <xf numFmtId="0" fontId="2" fillId="0" borderId="1" xfId="2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78" fontId="0" fillId="0" borderId="1" xfId="1" applyNumberFormat="1" applyFont="1" applyBorder="1" applyAlignment="1">
      <alignment horizontal="center" vertical="center"/>
    </xf>
    <xf numFmtId="178" fontId="0" fillId="0" borderId="1" xfId="3" applyNumberFormat="1" applyFont="1" applyBorder="1" applyAlignment="1">
      <alignment horizontal="center" vertical="center"/>
    </xf>
    <xf numFmtId="0" fontId="0" fillId="0" borderId="1" xfId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78" fontId="0" fillId="0" borderId="1" xfId="1" applyNumberFormat="1" applyFont="1" applyFill="1" applyBorder="1" applyAlignment="1">
      <alignment horizontal="center" vertical="center"/>
    </xf>
    <xf numFmtId="178" fontId="0" fillId="0" borderId="1" xfId="3" applyNumberFormat="1" applyFont="1" applyFill="1" applyBorder="1" applyAlignment="1">
      <alignment horizontal="center" vertical="center"/>
    </xf>
    <xf numFmtId="0" fontId="0" fillId="0" borderId="1" xfId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1"/>
  <sheetViews>
    <sheetView tabSelected="1" workbookViewId="0">
      <selection sqref="A1:F1"/>
    </sheetView>
  </sheetViews>
  <sheetFormatPr defaultColWidth="9" defaultRowHeight="17.100000000000001" customHeight="1"/>
  <cols>
    <col min="1" max="1" width="6" style="2" customWidth="1"/>
    <col min="2" max="2" width="15.875" style="3" customWidth="1"/>
    <col min="3" max="3" width="18.125" style="3" customWidth="1"/>
    <col min="4" max="4" width="18.625" style="4" customWidth="1"/>
    <col min="5" max="5" width="18.625" style="3" customWidth="1"/>
    <col min="6" max="6" width="11.625" style="5" customWidth="1"/>
    <col min="7" max="16384" width="9" style="6"/>
  </cols>
  <sheetData>
    <row r="1" spans="1:6" ht="32.25" customHeight="1">
      <c r="A1" s="21" t="s">
        <v>0</v>
      </c>
      <c r="B1" s="21"/>
      <c r="C1" s="21"/>
      <c r="D1" s="21"/>
      <c r="E1" s="21"/>
      <c r="F1" s="21"/>
    </row>
    <row r="2" spans="1:6" ht="36.950000000000003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</row>
    <row r="3" spans="1:6" ht="17.100000000000001" customHeight="1">
      <c r="A3" s="11" t="s">
        <v>7</v>
      </c>
      <c r="B3" s="12">
        <v>202303001</v>
      </c>
      <c r="C3" s="12" t="str">
        <f>"202303001001"</f>
        <v>202303001001</v>
      </c>
      <c r="D3" s="13">
        <v>99.5</v>
      </c>
      <c r="E3" s="14">
        <v>96.5</v>
      </c>
      <c r="F3" s="15" t="s">
        <v>8</v>
      </c>
    </row>
    <row r="4" spans="1:6" ht="17.100000000000001" customHeight="1">
      <c r="A4" s="11" t="s">
        <v>9</v>
      </c>
      <c r="B4" s="12">
        <v>202303001</v>
      </c>
      <c r="C4" s="12" t="str">
        <f>"202303001002"</f>
        <v>202303001002</v>
      </c>
      <c r="D4" s="13">
        <v>78</v>
      </c>
      <c r="E4" s="14">
        <v>77.5</v>
      </c>
      <c r="F4" s="15" t="s">
        <v>8</v>
      </c>
    </row>
    <row r="5" spans="1:6" ht="17.100000000000001" customHeight="1">
      <c r="A5" s="11" t="s">
        <v>10</v>
      </c>
      <c r="B5" s="12">
        <v>202303001</v>
      </c>
      <c r="C5" s="12" t="str">
        <f>"202303001003"</f>
        <v>202303001003</v>
      </c>
      <c r="D5" s="13">
        <v>107.7</v>
      </c>
      <c r="E5" s="14">
        <v>103.5</v>
      </c>
      <c r="F5" s="15" t="s">
        <v>8</v>
      </c>
    </row>
    <row r="6" spans="1:6" ht="17.100000000000001" customHeight="1">
      <c r="A6" s="11" t="s">
        <v>11</v>
      </c>
      <c r="B6" s="12">
        <v>202303001</v>
      </c>
      <c r="C6" s="12" t="str">
        <f>"202303001004"</f>
        <v>202303001004</v>
      </c>
      <c r="D6" s="13">
        <v>0</v>
      </c>
      <c r="E6" s="14">
        <v>0</v>
      </c>
      <c r="F6" s="15" t="s">
        <v>12</v>
      </c>
    </row>
    <row r="7" spans="1:6" ht="17.100000000000001" customHeight="1">
      <c r="A7" s="11" t="s">
        <v>13</v>
      </c>
      <c r="B7" s="12">
        <v>202303001</v>
      </c>
      <c r="C7" s="12" t="str">
        <f>"202303001005"</f>
        <v>202303001005</v>
      </c>
      <c r="D7" s="13">
        <v>0</v>
      </c>
      <c r="E7" s="14">
        <v>0</v>
      </c>
      <c r="F7" s="15" t="s">
        <v>12</v>
      </c>
    </row>
    <row r="8" spans="1:6" ht="17.100000000000001" customHeight="1">
      <c r="A8" s="11" t="s">
        <v>14</v>
      </c>
      <c r="B8" s="12">
        <v>202303001</v>
      </c>
      <c r="C8" s="12" t="str">
        <f>"202303001006"</f>
        <v>202303001006</v>
      </c>
      <c r="D8" s="13">
        <v>0</v>
      </c>
      <c r="E8" s="14">
        <v>0</v>
      </c>
      <c r="F8" s="15" t="s">
        <v>12</v>
      </c>
    </row>
    <row r="9" spans="1:6" ht="17.100000000000001" customHeight="1">
      <c r="A9" s="11" t="s">
        <v>15</v>
      </c>
      <c r="B9" s="12">
        <v>202303001</v>
      </c>
      <c r="C9" s="12" t="str">
        <f>"202303001007"</f>
        <v>202303001007</v>
      </c>
      <c r="D9" s="13">
        <v>77</v>
      </c>
      <c r="E9" s="14">
        <v>75</v>
      </c>
      <c r="F9" s="15" t="s">
        <v>8</v>
      </c>
    </row>
    <row r="10" spans="1:6" ht="17.100000000000001" customHeight="1">
      <c r="A10" s="11" t="s">
        <v>16</v>
      </c>
      <c r="B10" s="12">
        <v>202303001</v>
      </c>
      <c r="C10" s="12" t="str">
        <f>"202303001008"</f>
        <v>202303001008</v>
      </c>
      <c r="D10" s="13">
        <v>0</v>
      </c>
      <c r="E10" s="14">
        <v>0</v>
      </c>
      <c r="F10" s="15" t="s">
        <v>12</v>
      </c>
    </row>
    <row r="11" spans="1:6" ht="17.100000000000001" customHeight="1">
      <c r="A11" s="11" t="s">
        <v>17</v>
      </c>
      <c r="B11" s="12">
        <v>202303001</v>
      </c>
      <c r="C11" s="12" t="str">
        <f>"202303001009"</f>
        <v>202303001009</v>
      </c>
      <c r="D11" s="13">
        <v>84.3</v>
      </c>
      <c r="E11" s="14">
        <v>102</v>
      </c>
      <c r="F11" s="15" t="s">
        <v>8</v>
      </c>
    </row>
    <row r="12" spans="1:6" ht="17.100000000000001" customHeight="1">
      <c r="A12" s="11" t="s">
        <v>18</v>
      </c>
      <c r="B12" s="12">
        <v>202303001</v>
      </c>
      <c r="C12" s="12" t="str">
        <f>"202303001010"</f>
        <v>202303001010</v>
      </c>
      <c r="D12" s="13">
        <v>102.6</v>
      </c>
      <c r="E12" s="14">
        <v>106.5</v>
      </c>
      <c r="F12" s="15" t="s">
        <v>8</v>
      </c>
    </row>
    <row r="13" spans="1:6" ht="17.100000000000001" customHeight="1">
      <c r="A13" s="11" t="s">
        <v>19</v>
      </c>
      <c r="B13" s="12">
        <v>202303001</v>
      </c>
      <c r="C13" s="12" t="str">
        <f>"202303001011"</f>
        <v>202303001011</v>
      </c>
      <c r="D13" s="13">
        <v>65.2</v>
      </c>
      <c r="E13" s="14">
        <v>90</v>
      </c>
      <c r="F13" s="15" t="s">
        <v>8</v>
      </c>
    </row>
    <row r="14" spans="1:6" ht="17.100000000000001" customHeight="1">
      <c r="A14" s="11" t="s">
        <v>20</v>
      </c>
      <c r="B14" s="12">
        <v>202303001</v>
      </c>
      <c r="C14" s="12" t="str">
        <f>"202303001012"</f>
        <v>202303001012</v>
      </c>
      <c r="D14" s="13">
        <v>51</v>
      </c>
      <c r="E14" s="14">
        <v>88.5</v>
      </c>
      <c r="F14" s="15" t="s">
        <v>8</v>
      </c>
    </row>
    <row r="15" spans="1:6" ht="17.100000000000001" customHeight="1">
      <c r="A15" s="11" t="s">
        <v>21</v>
      </c>
      <c r="B15" s="12">
        <v>202303002</v>
      </c>
      <c r="C15" s="12" t="str">
        <f>"202303001013"</f>
        <v>202303001013</v>
      </c>
      <c r="D15" s="13">
        <v>75.099999999999994</v>
      </c>
      <c r="E15" s="14">
        <v>105</v>
      </c>
      <c r="F15" s="15" t="s">
        <v>8</v>
      </c>
    </row>
    <row r="16" spans="1:6" ht="17.100000000000001" customHeight="1">
      <c r="A16" s="11" t="s">
        <v>22</v>
      </c>
      <c r="B16" s="12">
        <v>202303002</v>
      </c>
      <c r="C16" s="12" t="str">
        <f>"202303001014"</f>
        <v>202303001014</v>
      </c>
      <c r="D16" s="13">
        <v>0</v>
      </c>
      <c r="E16" s="14">
        <v>0</v>
      </c>
      <c r="F16" s="15" t="s">
        <v>12</v>
      </c>
    </row>
    <row r="17" spans="1:6" ht="17.100000000000001" customHeight="1">
      <c r="A17" s="11" t="s">
        <v>23</v>
      </c>
      <c r="B17" s="12">
        <v>202303002</v>
      </c>
      <c r="C17" s="12" t="str">
        <f>"202303001015"</f>
        <v>202303001015</v>
      </c>
      <c r="D17" s="13">
        <v>0</v>
      </c>
      <c r="E17" s="14">
        <v>0</v>
      </c>
      <c r="F17" s="15" t="s">
        <v>12</v>
      </c>
    </row>
    <row r="18" spans="1:6" ht="17.100000000000001" customHeight="1">
      <c r="A18" s="11" t="s">
        <v>24</v>
      </c>
      <c r="B18" s="12">
        <v>202303002</v>
      </c>
      <c r="C18" s="12" t="str">
        <f>"202303001016"</f>
        <v>202303001016</v>
      </c>
      <c r="D18" s="13">
        <v>94.8</v>
      </c>
      <c r="E18" s="14">
        <v>95.5</v>
      </c>
      <c r="F18" s="15" t="s">
        <v>8</v>
      </c>
    </row>
    <row r="19" spans="1:6" ht="17.100000000000001" customHeight="1">
      <c r="A19" s="11" t="s">
        <v>25</v>
      </c>
      <c r="B19" s="12">
        <v>202303002</v>
      </c>
      <c r="C19" s="12" t="str">
        <f>"202303001017"</f>
        <v>202303001017</v>
      </c>
      <c r="D19" s="13">
        <v>0</v>
      </c>
      <c r="E19" s="14">
        <v>0</v>
      </c>
      <c r="F19" s="15" t="s">
        <v>12</v>
      </c>
    </row>
    <row r="20" spans="1:6" ht="17.100000000000001" customHeight="1">
      <c r="A20" s="11" t="s">
        <v>26</v>
      </c>
      <c r="B20" s="12">
        <v>202303002</v>
      </c>
      <c r="C20" s="12" t="str">
        <f>"202303001018"</f>
        <v>202303001018</v>
      </c>
      <c r="D20" s="13">
        <v>0</v>
      </c>
      <c r="E20" s="14">
        <v>0</v>
      </c>
      <c r="F20" s="15" t="s">
        <v>12</v>
      </c>
    </row>
    <row r="21" spans="1:6" ht="17.100000000000001" customHeight="1">
      <c r="A21" s="11" t="s">
        <v>27</v>
      </c>
      <c r="B21" s="12">
        <v>202303002</v>
      </c>
      <c r="C21" s="12" t="str">
        <f>"202303001019"</f>
        <v>202303001019</v>
      </c>
      <c r="D21" s="13">
        <v>70</v>
      </c>
      <c r="E21" s="14">
        <v>104.5</v>
      </c>
      <c r="F21" s="15" t="s">
        <v>8</v>
      </c>
    </row>
    <row r="22" spans="1:6" ht="17.100000000000001" customHeight="1">
      <c r="A22" s="11" t="s">
        <v>28</v>
      </c>
      <c r="B22" s="12">
        <v>202303002</v>
      </c>
      <c r="C22" s="12" t="str">
        <f>"202303001020"</f>
        <v>202303001020</v>
      </c>
      <c r="D22" s="13">
        <v>0</v>
      </c>
      <c r="E22" s="14">
        <v>0</v>
      </c>
      <c r="F22" s="15" t="s">
        <v>12</v>
      </c>
    </row>
    <row r="23" spans="1:6" ht="17.100000000000001" customHeight="1">
      <c r="A23" s="11" t="s">
        <v>29</v>
      </c>
      <c r="B23" s="12">
        <v>202303002</v>
      </c>
      <c r="C23" s="12" t="str">
        <f>"202303001021"</f>
        <v>202303001021</v>
      </c>
      <c r="D23" s="13">
        <v>0</v>
      </c>
      <c r="E23" s="14">
        <v>0</v>
      </c>
      <c r="F23" s="15" t="s">
        <v>12</v>
      </c>
    </row>
    <row r="24" spans="1:6" ht="17.100000000000001" customHeight="1">
      <c r="A24" s="11" t="s">
        <v>30</v>
      </c>
      <c r="B24" s="12">
        <v>202303002</v>
      </c>
      <c r="C24" s="12" t="str">
        <f>"202303001022"</f>
        <v>202303001022</v>
      </c>
      <c r="D24" s="13">
        <v>73.599999999999994</v>
      </c>
      <c r="E24" s="14">
        <v>100.5</v>
      </c>
      <c r="F24" s="15" t="s">
        <v>8</v>
      </c>
    </row>
    <row r="25" spans="1:6" ht="17.100000000000001" customHeight="1">
      <c r="A25" s="11" t="s">
        <v>31</v>
      </c>
      <c r="B25" s="12">
        <v>202303002</v>
      </c>
      <c r="C25" s="12" t="str">
        <f>"202303001023"</f>
        <v>202303001023</v>
      </c>
      <c r="D25" s="13">
        <v>0</v>
      </c>
      <c r="E25" s="14">
        <v>0</v>
      </c>
      <c r="F25" s="15" t="s">
        <v>12</v>
      </c>
    </row>
    <row r="26" spans="1:6" ht="17.100000000000001" customHeight="1">
      <c r="A26" s="11" t="s">
        <v>32</v>
      </c>
      <c r="B26" s="12">
        <v>202303002</v>
      </c>
      <c r="C26" s="12" t="str">
        <f>"202303001024"</f>
        <v>202303001024</v>
      </c>
      <c r="D26" s="13">
        <v>0</v>
      </c>
      <c r="E26" s="14">
        <v>0</v>
      </c>
      <c r="F26" s="15" t="s">
        <v>12</v>
      </c>
    </row>
    <row r="27" spans="1:6" ht="17.100000000000001" customHeight="1">
      <c r="A27" s="11" t="s">
        <v>33</v>
      </c>
      <c r="B27" s="12">
        <v>202303002</v>
      </c>
      <c r="C27" s="12" t="str">
        <f>"202303001025"</f>
        <v>202303001025</v>
      </c>
      <c r="D27" s="13">
        <v>0</v>
      </c>
      <c r="E27" s="14">
        <v>0</v>
      </c>
      <c r="F27" s="15" t="s">
        <v>12</v>
      </c>
    </row>
    <row r="28" spans="1:6" ht="17.100000000000001" customHeight="1">
      <c r="A28" s="11" t="s">
        <v>34</v>
      </c>
      <c r="B28" s="12">
        <v>202303002</v>
      </c>
      <c r="C28" s="12" t="str">
        <f>"202303001026"</f>
        <v>202303001026</v>
      </c>
      <c r="D28" s="13">
        <v>113.3</v>
      </c>
      <c r="E28" s="14">
        <v>97.5</v>
      </c>
      <c r="F28" s="15" t="s">
        <v>8</v>
      </c>
    </row>
    <row r="29" spans="1:6" ht="17.100000000000001" customHeight="1">
      <c r="A29" s="11" t="s">
        <v>35</v>
      </c>
      <c r="B29" s="12">
        <v>202303002</v>
      </c>
      <c r="C29" s="12" t="str">
        <f>"202303001027"</f>
        <v>202303001027</v>
      </c>
      <c r="D29" s="13">
        <v>0</v>
      </c>
      <c r="E29" s="14">
        <v>0</v>
      </c>
      <c r="F29" s="15" t="s">
        <v>12</v>
      </c>
    </row>
    <row r="30" spans="1:6" ht="17.100000000000001" customHeight="1">
      <c r="A30" s="11" t="s">
        <v>36</v>
      </c>
      <c r="B30" s="12">
        <v>202303002</v>
      </c>
      <c r="C30" s="12" t="str">
        <f>"202303001028"</f>
        <v>202303001028</v>
      </c>
      <c r="D30" s="13">
        <v>0</v>
      </c>
      <c r="E30" s="14">
        <v>0</v>
      </c>
      <c r="F30" s="15" t="s">
        <v>12</v>
      </c>
    </row>
    <row r="31" spans="1:6" ht="17.100000000000001" customHeight="1">
      <c r="A31" s="11" t="s">
        <v>37</v>
      </c>
      <c r="B31" s="12">
        <v>202303003</v>
      </c>
      <c r="C31" s="12" t="str">
        <f>"202303001029"</f>
        <v>202303001029</v>
      </c>
      <c r="D31" s="13">
        <v>97.2</v>
      </c>
      <c r="E31" s="14">
        <v>106.5</v>
      </c>
      <c r="F31" s="15" t="s">
        <v>8</v>
      </c>
    </row>
    <row r="32" spans="1:6" ht="17.100000000000001" customHeight="1">
      <c r="A32" s="11" t="s">
        <v>38</v>
      </c>
      <c r="B32" s="12">
        <v>202303003</v>
      </c>
      <c r="C32" s="12" t="str">
        <f>"202303001030"</f>
        <v>202303001030</v>
      </c>
      <c r="D32" s="13">
        <v>100.7</v>
      </c>
      <c r="E32" s="14">
        <v>112</v>
      </c>
      <c r="F32" s="15" t="s">
        <v>8</v>
      </c>
    </row>
    <row r="33" spans="1:6" ht="17.100000000000001" customHeight="1">
      <c r="A33" s="11" t="s">
        <v>39</v>
      </c>
      <c r="B33" s="12">
        <v>202303003</v>
      </c>
      <c r="C33" s="12" t="str">
        <f>"202303002001"</f>
        <v>202303002001</v>
      </c>
      <c r="D33" s="13">
        <v>112.8</v>
      </c>
      <c r="E33" s="14">
        <v>101</v>
      </c>
      <c r="F33" s="15" t="s">
        <v>8</v>
      </c>
    </row>
    <row r="34" spans="1:6" ht="17.100000000000001" customHeight="1">
      <c r="A34" s="11" t="s">
        <v>40</v>
      </c>
      <c r="B34" s="12">
        <v>202303003</v>
      </c>
      <c r="C34" s="12" t="str">
        <f>"202303002002"</f>
        <v>202303002002</v>
      </c>
      <c r="D34" s="13">
        <v>0</v>
      </c>
      <c r="E34" s="14">
        <v>0</v>
      </c>
      <c r="F34" s="15" t="s">
        <v>12</v>
      </c>
    </row>
    <row r="35" spans="1:6" ht="17.100000000000001" customHeight="1">
      <c r="A35" s="11" t="s">
        <v>41</v>
      </c>
      <c r="B35" s="12">
        <v>202303003</v>
      </c>
      <c r="C35" s="12" t="str">
        <f>"202303002003"</f>
        <v>202303002003</v>
      </c>
      <c r="D35" s="13">
        <v>102.2</v>
      </c>
      <c r="E35" s="14">
        <v>112.5</v>
      </c>
      <c r="F35" s="15" t="s">
        <v>8</v>
      </c>
    </row>
    <row r="36" spans="1:6" ht="17.100000000000001" customHeight="1">
      <c r="A36" s="11" t="s">
        <v>42</v>
      </c>
      <c r="B36" s="12">
        <v>202303003</v>
      </c>
      <c r="C36" s="12" t="str">
        <f>"202303002004"</f>
        <v>202303002004</v>
      </c>
      <c r="D36" s="13">
        <v>97.4</v>
      </c>
      <c r="E36" s="14">
        <v>108.5</v>
      </c>
      <c r="F36" s="15" t="s">
        <v>8</v>
      </c>
    </row>
    <row r="37" spans="1:6" ht="17.100000000000001" customHeight="1">
      <c r="A37" s="11" t="s">
        <v>43</v>
      </c>
      <c r="B37" s="12">
        <v>202303003</v>
      </c>
      <c r="C37" s="12" t="str">
        <f>"202303002005"</f>
        <v>202303002005</v>
      </c>
      <c r="D37" s="13">
        <v>99.5</v>
      </c>
      <c r="E37" s="14">
        <v>106.5</v>
      </c>
      <c r="F37" s="15" t="s">
        <v>8</v>
      </c>
    </row>
    <row r="38" spans="1:6" ht="17.100000000000001" customHeight="1">
      <c r="A38" s="11" t="s">
        <v>44</v>
      </c>
      <c r="B38" s="12">
        <v>202303003</v>
      </c>
      <c r="C38" s="12" t="str">
        <f>"202303002006"</f>
        <v>202303002006</v>
      </c>
      <c r="D38" s="13">
        <v>88.7</v>
      </c>
      <c r="E38" s="14">
        <v>107.5</v>
      </c>
      <c r="F38" s="15" t="s">
        <v>8</v>
      </c>
    </row>
    <row r="39" spans="1:6" ht="17.100000000000001" customHeight="1">
      <c r="A39" s="11" t="s">
        <v>45</v>
      </c>
      <c r="B39" s="12">
        <v>202303003</v>
      </c>
      <c r="C39" s="12" t="str">
        <f>"202303002007"</f>
        <v>202303002007</v>
      </c>
      <c r="D39" s="13">
        <v>83.8</v>
      </c>
      <c r="E39" s="14">
        <v>104.5</v>
      </c>
      <c r="F39" s="15" t="s">
        <v>8</v>
      </c>
    </row>
    <row r="40" spans="1:6" ht="17.100000000000001" customHeight="1">
      <c r="A40" s="11" t="s">
        <v>46</v>
      </c>
      <c r="B40" s="12">
        <v>202303003</v>
      </c>
      <c r="C40" s="12" t="str">
        <f>"202303002008"</f>
        <v>202303002008</v>
      </c>
      <c r="D40" s="13">
        <v>0</v>
      </c>
      <c r="E40" s="14">
        <v>0</v>
      </c>
      <c r="F40" s="15" t="s">
        <v>12</v>
      </c>
    </row>
    <row r="41" spans="1:6" ht="17.100000000000001" customHeight="1">
      <c r="A41" s="11" t="s">
        <v>47</v>
      </c>
      <c r="B41" s="12">
        <v>202303003</v>
      </c>
      <c r="C41" s="12" t="str">
        <f>"202303002009"</f>
        <v>202303002009</v>
      </c>
      <c r="D41" s="13">
        <v>85</v>
      </c>
      <c r="E41" s="14">
        <v>113.5</v>
      </c>
      <c r="F41" s="15" t="s">
        <v>8</v>
      </c>
    </row>
    <row r="42" spans="1:6" ht="17.100000000000001" customHeight="1">
      <c r="A42" s="11" t="s">
        <v>48</v>
      </c>
      <c r="B42" s="12">
        <v>202303004</v>
      </c>
      <c r="C42" s="12" t="str">
        <f>"202303002010"</f>
        <v>202303002010</v>
      </c>
      <c r="D42" s="13">
        <v>87.7</v>
      </c>
      <c r="E42" s="14">
        <v>103</v>
      </c>
      <c r="F42" s="15" t="s">
        <v>8</v>
      </c>
    </row>
    <row r="43" spans="1:6" ht="17.100000000000001" customHeight="1">
      <c r="A43" s="11" t="s">
        <v>49</v>
      </c>
      <c r="B43" s="12">
        <v>202303004</v>
      </c>
      <c r="C43" s="12" t="str">
        <f>"202303002011"</f>
        <v>202303002011</v>
      </c>
      <c r="D43" s="13">
        <v>0</v>
      </c>
      <c r="E43" s="14">
        <v>0</v>
      </c>
      <c r="F43" s="15" t="s">
        <v>12</v>
      </c>
    </row>
    <row r="44" spans="1:6" ht="17.100000000000001" customHeight="1">
      <c r="A44" s="11" t="s">
        <v>50</v>
      </c>
      <c r="B44" s="12">
        <v>202303004</v>
      </c>
      <c r="C44" s="12" t="str">
        <f>"202303002012"</f>
        <v>202303002012</v>
      </c>
      <c r="D44" s="13">
        <v>85.9</v>
      </c>
      <c r="E44" s="14">
        <v>102</v>
      </c>
      <c r="F44" s="15" t="s">
        <v>8</v>
      </c>
    </row>
    <row r="45" spans="1:6" ht="17.100000000000001" customHeight="1">
      <c r="A45" s="11" t="s">
        <v>51</v>
      </c>
      <c r="B45" s="12">
        <v>202303004</v>
      </c>
      <c r="C45" s="12" t="str">
        <f>"202303002013"</f>
        <v>202303002013</v>
      </c>
      <c r="D45" s="13">
        <v>0</v>
      </c>
      <c r="E45" s="14">
        <v>0</v>
      </c>
      <c r="F45" s="15" t="s">
        <v>12</v>
      </c>
    </row>
    <row r="46" spans="1:6" ht="17.100000000000001" customHeight="1">
      <c r="A46" s="11" t="s">
        <v>52</v>
      </c>
      <c r="B46" s="12">
        <v>202303004</v>
      </c>
      <c r="C46" s="12" t="str">
        <f>"202303002014"</f>
        <v>202303002014</v>
      </c>
      <c r="D46" s="13">
        <v>86</v>
      </c>
      <c r="E46" s="14">
        <v>109.5</v>
      </c>
      <c r="F46" s="15" t="s">
        <v>8</v>
      </c>
    </row>
    <row r="47" spans="1:6" ht="17.100000000000001" customHeight="1">
      <c r="A47" s="11" t="s">
        <v>53</v>
      </c>
      <c r="B47" s="12">
        <v>202303004</v>
      </c>
      <c r="C47" s="12" t="str">
        <f>"202303002015"</f>
        <v>202303002015</v>
      </c>
      <c r="D47" s="13">
        <v>86.2</v>
      </c>
      <c r="E47" s="14">
        <v>109</v>
      </c>
      <c r="F47" s="15" t="s">
        <v>8</v>
      </c>
    </row>
    <row r="48" spans="1:6" ht="17.100000000000001" customHeight="1">
      <c r="A48" s="11" t="s">
        <v>54</v>
      </c>
      <c r="B48" s="12">
        <v>202303004</v>
      </c>
      <c r="C48" s="12" t="str">
        <f>"202303002016"</f>
        <v>202303002016</v>
      </c>
      <c r="D48" s="13">
        <v>77.2</v>
      </c>
      <c r="E48" s="14">
        <v>103.5</v>
      </c>
      <c r="F48" s="15" t="s">
        <v>8</v>
      </c>
    </row>
    <row r="49" spans="1:6" ht="17.100000000000001" customHeight="1">
      <c r="A49" s="11" t="s">
        <v>55</v>
      </c>
      <c r="B49" s="12">
        <v>202303004</v>
      </c>
      <c r="C49" s="12" t="str">
        <f>"202303002017"</f>
        <v>202303002017</v>
      </c>
      <c r="D49" s="13">
        <v>80.5</v>
      </c>
      <c r="E49" s="14">
        <v>89</v>
      </c>
      <c r="F49" s="15" t="s">
        <v>8</v>
      </c>
    </row>
    <row r="50" spans="1:6" ht="17.100000000000001" customHeight="1">
      <c r="A50" s="11" t="s">
        <v>56</v>
      </c>
      <c r="B50" s="12">
        <v>202303004</v>
      </c>
      <c r="C50" s="12" t="str">
        <f>"202303002018"</f>
        <v>202303002018</v>
      </c>
      <c r="D50" s="13">
        <v>86</v>
      </c>
      <c r="E50" s="14">
        <v>99.5</v>
      </c>
      <c r="F50" s="15" t="s">
        <v>8</v>
      </c>
    </row>
    <row r="51" spans="1:6" ht="17.100000000000001" customHeight="1">
      <c r="A51" s="11" t="s">
        <v>57</v>
      </c>
      <c r="B51" s="12">
        <v>202303004</v>
      </c>
      <c r="C51" s="12" t="str">
        <f>"202303002019"</f>
        <v>202303002019</v>
      </c>
      <c r="D51" s="13">
        <v>0</v>
      </c>
      <c r="E51" s="14">
        <v>0</v>
      </c>
      <c r="F51" s="15" t="s">
        <v>12</v>
      </c>
    </row>
    <row r="52" spans="1:6" ht="17.100000000000001" customHeight="1">
      <c r="A52" s="11" t="s">
        <v>58</v>
      </c>
      <c r="B52" s="12">
        <v>202303004</v>
      </c>
      <c r="C52" s="12" t="str">
        <f>"202303002020"</f>
        <v>202303002020</v>
      </c>
      <c r="D52" s="13">
        <v>67.2</v>
      </c>
      <c r="E52" s="14">
        <v>101</v>
      </c>
      <c r="F52" s="15" t="s">
        <v>8</v>
      </c>
    </row>
    <row r="53" spans="1:6" ht="17.100000000000001" customHeight="1">
      <c r="A53" s="11" t="s">
        <v>59</v>
      </c>
      <c r="B53" s="12">
        <v>202303004</v>
      </c>
      <c r="C53" s="12" t="str">
        <f>"202303002021"</f>
        <v>202303002021</v>
      </c>
      <c r="D53" s="13">
        <v>73.8</v>
      </c>
      <c r="E53" s="14">
        <v>75.5</v>
      </c>
      <c r="F53" s="15" t="s">
        <v>8</v>
      </c>
    </row>
    <row r="54" spans="1:6" ht="17.100000000000001" customHeight="1">
      <c r="A54" s="11" t="s">
        <v>60</v>
      </c>
      <c r="B54" s="12">
        <v>202303004</v>
      </c>
      <c r="C54" s="12" t="str">
        <f>"202303002022"</f>
        <v>202303002022</v>
      </c>
      <c r="D54" s="13">
        <v>86.7</v>
      </c>
      <c r="E54" s="14">
        <v>103.5</v>
      </c>
      <c r="F54" s="15" t="s">
        <v>8</v>
      </c>
    </row>
    <row r="55" spans="1:6" ht="17.100000000000001" customHeight="1">
      <c r="A55" s="11" t="s">
        <v>61</v>
      </c>
      <c r="B55" s="12">
        <v>202303004</v>
      </c>
      <c r="C55" s="12" t="str">
        <f>"202303002023"</f>
        <v>202303002023</v>
      </c>
      <c r="D55" s="13">
        <v>0</v>
      </c>
      <c r="E55" s="14">
        <v>0</v>
      </c>
      <c r="F55" s="15" t="s">
        <v>12</v>
      </c>
    </row>
    <row r="56" spans="1:6" ht="17.100000000000001" customHeight="1">
      <c r="A56" s="11" t="s">
        <v>62</v>
      </c>
      <c r="B56" s="12">
        <v>202303004</v>
      </c>
      <c r="C56" s="12" t="str">
        <f>"202303002024"</f>
        <v>202303002024</v>
      </c>
      <c r="D56" s="13">
        <v>92.6</v>
      </c>
      <c r="E56" s="14">
        <v>106</v>
      </c>
      <c r="F56" s="15" t="s">
        <v>8</v>
      </c>
    </row>
    <row r="57" spans="1:6" ht="17.100000000000001" customHeight="1">
      <c r="A57" s="11" t="s">
        <v>63</v>
      </c>
      <c r="B57" s="12">
        <v>202303004</v>
      </c>
      <c r="C57" s="12" t="str">
        <f>"202303002025"</f>
        <v>202303002025</v>
      </c>
      <c r="D57" s="13">
        <v>72.3</v>
      </c>
      <c r="E57" s="14">
        <v>105.5</v>
      </c>
      <c r="F57" s="15" t="s">
        <v>8</v>
      </c>
    </row>
    <row r="58" spans="1:6" ht="17.100000000000001" customHeight="1">
      <c r="A58" s="11" t="s">
        <v>64</v>
      </c>
      <c r="B58" s="12">
        <v>202303004</v>
      </c>
      <c r="C58" s="12" t="str">
        <f>"202303002026"</f>
        <v>202303002026</v>
      </c>
      <c r="D58" s="13">
        <v>0</v>
      </c>
      <c r="E58" s="14">
        <v>0</v>
      </c>
      <c r="F58" s="15" t="s">
        <v>12</v>
      </c>
    </row>
    <row r="59" spans="1:6" ht="17.100000000000001" customHeight="1">
      <c r="A59" s="11" t="s">
        <v>65</v>
      </c>
      <c r="B59" s="12">
        <v>202303004</v>
      </c>
      <c r="C59" s="12" t="str">
        <f>"202303002027"</f>
        <v>202303002027</v>
      </c>
      <c r="D59" s="13">
        <v>86.2</v>
      </c>
      <c r="E59" s="14">
        <v>92</v>
      </c>
      <c r="F59" s="15" t="s">
        <v>8</v>
      </c>
    </row>
    <row r="60" spans="1:6" ht="17.100000000000001" customHeight="1">
      <c r="A60" s="11" t="s">
        <v>66</v>
      </c>
      <c r="B60" s="12">
        <v>202303004</v>
      </c>
      <c r="C60" s="12" t="str">
        <f>"202303002028"</f>
        <v>202303002028</v>
      </c>
      <c r="D60" s="13">
        <v>97.1</v>
      </c>
      <c r="E60" s="14">
        <v>95.5</v>
      </c>
      <c r="F60" s="15" t="s">
        <v>8</v>
      </c>
    </row>
    <row r="61" spans="1:6" ht="17.100000000000001" customHeight="1">
      <c r="A61" s="11" t="s">
        <v>67</v>
      </c>
      <c r="B61" s="12">
        <v>202303004</v>
      </c>
      <c r="C61" s="12" t="str">
        <f>"202303002029"</f>
        <v>202303002029</v>
      </c>
      <c r="D61" s="13">
        <v>89.2</v>
      </c>
      <c r="E61" s="14">
        <v>83.5</v>
      </c>
      <c r="F61" s="15" t="s">
        <v>8</v>
      </c>
    </row>
    <row r="62" spans="1:6" ht="17.100000000000001" customHeight="1">
      <c r="A62" s="11" t="s">
        <v>68</v>
      </c>
      <c r="B62" s="12">
        <v>202303004</v>
      </c>
      <c r="C62" s="12" t="str">
        <f>"202303002030"</f>
        <v>202303002030</v>
      </c>
      <c r="D62" s="13">
        <v>96.5</v>
      </c>
      <c r="E62" s="14">
        <v>95</v>
      </c>
      <c r="F62" s="15" t="s">
        <v>8</v>
      </c>
    </row>
    <row r="63" spans="1:6" ht="17.100000000000001" customHeight="1">
      <c r="A63" s="11" t="s">
        <v>69</v>
      </c>
      <c r="B63" s="12">
        <v>202303004</v>
      </c>
      <c r="C63" s="12" t="str">
        <f>"202303003001"</f>
        <v>202303003001</v>
      </c>
      <c r="D63" s="13">
        <v>0</v>
      </c>
      <c r="E63" s="14">
        <v>0</v>
      </c>
      <c r="F63" s="15" t="s">
        <v>12</v>
      </c>
    </row>
    <row r="64" spans="1:6" ht="17.100000000000001" customHeight="1">
      <c r="A64" s="11" t="s">
        <v>70</v>
      </c>
      <c r="B64" s="12">
        <v>202303004</v>
      </c>
      <c r="C64" s="12" t="str">
        <f>"202303003002"</f>
        <v>202303003002</v>
      </c>
      <c r="D64" s="13">
        <v>81.5</v>
      </c>
      <c r="E64" s="14">
        <v>96</v>
      </c>
      <c r="F64" s="15" t="s">
        <v>8</v>
      </c>
    </row>
    <row r="65" spans="1:6" ht="17.100000000000001" customHeight="1">
      <c r="A65" s="11" t="s">
        <v>71</v>
      </c>
      <c r="B65" s="12">
        <v>202303004</v>
      </c>
      <c r="C65" s="12" t="str">
        <f>"202303003003"</f>
        <v>202303003003</v>
      </c>
      <c r="D65" s="13">
        <v>72.400000000000006</v>
      </c>
      <c r="E65" s="14">
        <v>100.5</v>
      </c>
      <c r="F65" s="15" t="s">
        <v>8</v>
      </c>
    </row>
    <row r="66" spans="1:6" ht="17.100000000000001" customHeight="1">
      <c r="A66" s="11" t="s">
        <v>72</v>
      </c>
      <c r="B66" s="12">
        <v>202303004</v>
      </c>
      <c r="C66" s="12" t="str">
        <f>"202303003004"</f>
        <v>202303003004</v>
      </c>
      <c r="D66" s="13">
        <v>88.4</v>
      </c>
      <c r="E66" s="14">
        <v>101</v>
      </c>
      <c r="F66" s="15" t="s">
        <v>8</v>
      </c>
    </row>
    <row r="67" spans="1:6" ht="17.100000000000001" customHeight="1">
      <c r="A67" s="11" t="s">
        <v>73</v>
      </c>
      <c r="B67" s="12">
        <v>202303004</v>
      </c>
      <c r="C67" s="12" t="str">
        <f>"202303003005"</f>
        <v>202303003005</v>
      </c>
      <c r="D67" s="13">
        <v>77.599999999999994</v>
      </c>
      <c r="E67" s="14">
        <v>94.5</v>
      </c>
      <c r="F67" s="15" t="s">
        <v>8</v>
      </c>
    </row>
    <row r="68" spans="1:6" ht="17.100000000000001" customHeight="1">
      <c r="A68" s="11" t="s">
        <v>74</v>
      </c>
      <c r="B68" s="12">
        <v>202303004</v>
      </c>
      <c r="C68" s="12" t="str">
        <f>"202303003006"</f>
        <v>202303003006</v>
      </c>
      <c r="D68" s="13">
        <v>92.2</v>
      </c>
      <c r="E68" s="14">
        <v>98.5</v>
      </c>
      <c r="F68" s="15" t="s">
        <v>8</v>
      </c>
    </row>
    <row r="69" spans="1:6" ht="17.100000000000001" customHeight="1">
      <c r="A69" s="11" t="s">
        <v>75</v>
      </c>
      <c r="B69" s="12">
        <v>202303004</v>
      </c>
      <c r="C69" s="12" t="str">
        <f>"202303003007"</f>
        <v>202303003007</v>
      </c>
      <c r="D69" s="13">
        <v>71.900000000000006</v>
      </c>
      <c r="E69" s="14">
        <v>103.5</v>
      </c>
      <c r="F69" s="15" t="s">
        <v>8</v>
      </c>
    </row>
    <row r="70" spans="1:6" ht="17.100000000000001" customHeight="1">
      <c r="A70" s="11" t="s">
        <v>76</v>
      </c>
      <c r="B70" s="12">
        <v>202303004</v>
      </c>
      <c r="C70" s="12" t="str">
        <f>"202303003008"</f>
        <v>202303003008</v>
      </c>
      <c r="D70" s="13">
        <v>102.5</v>
      </c>
      <c r="E70" s="14">
        <v>108</v>
      </c>
      <c r="F70" s="15" t="s">
        <v>8</v>
      </c>
    </row>
    <row r="71" spans="1:6" ht="17.100000000000001" customHeight="1">
      <c r="A71" s="11" t="s">
        <v>77</v>
      </c>
      <c r="B71" s="12">
        <v>202303004</v>
      </c>
      <c r="C71" s="12" t="str">
        <f>"202303003009"</f>
        <v>202303003009</v>
      </c>
      <c r="D71" s="13">
        <v>0</v>
      </c>
      <c r="E71" s="14">
        <v>0</v>
      </c>
      <c r="F71" s="15" t="s">
        <v>12</v>
      </c>
    </row>
    <row r="72" spans="1:6" ht="17.100000000000001" customHeight="1">
      <c r="A72" s="11" t="s">
        <v>78</v>
      </c>
      <c r="B72" s="12">
        <v>202303004</v>
      </c>
      <c r="C72" s="12" t="str">
        <f>"202303003010"</f>
        <v>202303003010</v>
      </c>
      <c r="D72" s="13">
        <v>98.2</v>
      </c>
      <c r="E72" s="14">
        <v>79.5</v>
      </c>
      <c r="F72" s="15" t="s">
        <v>8</v>
      </c>
    </row>
    <row r="73" spans="1:6" ht="17.100000000000001" customHeight="1">
      <c r="A73" s="11" t="s">
        <v>79</v>
      </c>
      <c r="B73" s="12">
        <v>202303004</v>
      </c>
      <c r="C73" s="12" t="str">
        <f>"202303003011"</f>
        <v>202303003011</v>
      </c>
      <c r="D73" s="13">
        <v>81.2</v>
      </c>
      <c r="E73" s="14">
        <v>98</v>
      </c>
      <c r="F73" s="15" t="s">
        <v>8</v>
      </c>
    </row>
    <row r="74" spans="1:6" ht="17.100000000000001" customHeight="1">
      <c r="A74" s="11" t="s">
        <v>80</v>
      </c>
      <c r="B74" s="12">
        <v>202303004</v>
      </c>
      <c r="C74" s="12" t="str">
        <f>"202303003012"</f>
        <v>202303003012</v>
      </c>
      <c r="D74" s="13">
        <v>73.7</v>
      </c>
      <c r="E74" s="14">
        <v>96.5</v>
      </c>
      <c r="F74" s="15" t="s">
        <v>8</v>
      </c>
    </row>
    <row r="75" spans="1:6" ht="17.100000000000001" customHeight="1">
      <c r="A75" s="11" t="s">
        <v>81</v>
      </c>
      <c r="B75" s="12">
        <v>202303004</v>
      </c>
      <c r="C75" s="12" t="str">
        <f>"202303003013"</f>
        <v>202303003013</v>
      </c>
      <c r="D75" s="13">
        <v>105.9</v>
      </c>
      <c r="E75" s="14">
        <v>107</v>
      </c>
      <c r="F75" s="15" t="s">
        <v>8</v>
      </c>
    </row>
    <row r="76" spans="1:6" ht="17.100000000000001" customHeight="1">
      <c r="A76" s="11" t="s">
        <v>82</v>
      </c>
      <c r="B76" s="12">
        <v>202303004</v>
      </c>
      <c r="C76" s="12" t="str">
        <f>"202303003014"</f>
        <v>202303003014</v>
      </c>
      <c r="D76" s="13">
        <v>66.5</v>
      </c>
      <c r="E76" s="14">
        <v>89.5</v>
      </c>
      <c r="F76" s="15" t="s">
        <v>8</v>
      </c>
    </row>
    <row r="77" spans="1:6" ht="17.100000000000001" customHeight="1">
      <c r="A77" s="11" t="s">
        <v>83</v>
      </c>
      <c r="B77" s="12">
        <v>202303004</v>
      </c>
      <c r="C77" s="12" t="str">
        <f>"202303003015"</f>
        <v>202303003015</v>
      </c>
      <c r="D77" s="13">
        <v>66.900000000000006</v>
      </c>
      <c r="E77" s="14">
        <v>64</v>
      </c>
      <c r="F77" s="15" t="s">
        <v>8</v>
      </c>
    </row>
    <row r="78" spans="1:6" ht="17.100000000000001" customHeight="1">
      <c r="A78" s="11" t="s">
        <v>84</v>
      </c>
      <c r="B78" s="12">
        <v>202303004</v>
      </c>
      <c r="C78" s="12" t="str">
        <f>"202303003016"</f>
        <v>202303003016</v>
      </c>
      <c r="D78" s="13">
        <v>86.8</v>
      </c>
      <c r="E78" s="14">
        <v>73.5</v>
      </c>
      <c r="F78" s="15" t="s">
        <v>8</v>
      </c>
    </row>
    <row r="79" spans="1:6" ht="17.100000000000001" customHeight="1">
      <c r="A79" s="11" t="s">
        <v>85</v>
      </c>
      <c r="B79" s="12">
        <v>202303004</v>
      </c>
      <c r="C79" s="12" t="str">
        <f>"202303003017"</f>
        <v>202303003017</v>
      </c>
      <c r="D79" s="13">
        <v>83.2</v>
      </c>
      <c r="E79" s="14">
        <v>105.5</v>
      </c>
      <c r="F79" s="15" t="s">
        <v>8</v>
      </c>
    </row>
    <row r="80" spans="1:6" ht="17.100000000000001" customHeight="1">
      <c r="A80" s="11" t="s">
        <v>86</v>
      </c>
      <c r="B80" s="12">
        <v>202303004</v>
      </c>
      <c r="C80" s="12" t="str">
        <f>"202303003018"</f>
        <v>202303003018</v>
      </c>
      <c r="D80" s="13">
        <v>89.9</v>
      </c>
      <c r="E80" s="14">
        <v>100</v>
      </c>
      <c r="F80" s="15" t="s">
        <v>8</v>
      </c>
    </row>
    <row r="81" spans="1:6" ht="17.100000000000001" customHeight="1">
      <c r="A81" s="11" t="s">
        <v>87</v>
      </c>
      <c r="B81" s="12">
        <v>202303004</v>
      </c>
      <c r="C81" s="12" t="str">
        <f>"202303003019"</f>
        <v>202303003019</v>
      </c>
      <c r="D81" s="13">
        <v>99.8</v>
      </c>
      <c r="E81" s="14">
        <v>106</v>
      </c>
      <c r="F81" s="15" t="s">
        <v>8</v>
      </c>
    </row>
    <row r="82" spans="1:6" ht="17.100000000000001" customHeight="1">
      <c r="A82" s="11" t="s">
        <v>88</v>
      </c>
      <c r="B82" s="12">
        <v>202303004</v>
      </c>
      <c r="C82" s="12" t="str">
        <f>"202303003020"</f>
        <v>202303003020</v>
      </c>
      <c r="D82" s="13">
        <v>0</v>
      </c>
      <c r="E82" s="14">
        <v>0</v>
      </c>
      <c r="F82" s="15" t="s">
        <v>12</v>
      </c>
    </row>
    <row r="83" spans="1:6" ht="17.100000000000001" customHeight="1">
      <c r="A83" s="11" t="s">
        <v>89</v>
      </c>
      <c r="B83" s="12">
        <v>202303004</v>
      </c>
      <c r="C83" s="12" t="str">
        <f>"202303003021"</f>
        <v>202303003021</v>
      </c>
      <c r="D83" s="13">
        <v>89.7</v>
      </c>
      <c r="E83" s="14">
        <v>107.5</v>
      </c>
      <c r="F83" s="15" t="s">
        <v>8</v>
      </c>
    </row>
    <row r="84" spans="1:6" ht="17.100000000000001" customHeight="1">
      <c r="A84" s="11" t="s">
        <v>90</v>
      </c>
      <c r="B84" s="12">
        <v>202303004</v>
      </c>
      <c r="C84" s="12" t="str">
        <f>"202303003022"</f>
        <v>202303003022</v>
      </c>
      <c r="D84" s="13">
        <v>0</v>
      </c>
      <c r="E84" s="14">
        <v>0</v>
      </c>
      <c r="F84" s="15" t="s">
        <v>12</v>
      </c>
    </row>
    <row r="85" spans="1:6" ht="17.100000000000001" customHeight="1">
      <c r="A85" s="11" t="s">
        <v>91</v>
      </c>
      <c r="B85" s="12">
        <v>202303004</v>
      </c>
      <c r="C85" s="12" t="str">
        <f>"202303003023"</f>
        <v>202303003023</v>
      </c>
      <c r="D85" s="13">
        <v>0</v>
      </c>
      <c r="E85" s="14">
        <v>0</v>
      </c>
      <c r="F85" s="15" t="s">
        <v>12</v>
      </c>
    </row>
    <row r="86" spans="1:6" ht="17.100000000000001" customHeight="1">
      <c r="A86" s="11" t="s">
        <v>92</v>
      </c>
      <c r="B86" s="12">
        <v>202303004</v>
      </c>
      <c r="C86" s="12" t="str">
        <f>"202303003024"</f>
        <v>202303003024</v>
      </c>
      <c r="D86" s="13">
        <v>87.6</v>
      </c>
      <c r="E86" s="14">
        <v>106</v>
      </c>
      <c r="F86" s="15" t="s">
        <v>8</v>
      </c>
    </row>
    <row r="87" spans="1:6" ht="17.100000000000001" customHeight="1">
      <c r="A87" s="11" t="s">
        <v>93</v>
      </c>
      <c r="B87" s="12">
        <v>202303004</v>
      </c>
      <c r="C87" s="12" t="str">
        <f>"202303003025"</f>
        <v>202303003025</v>
      </c>
      <c r="D87" s="13">
        <v>70.3</v>
      </c>
      <c r="E87" s="14">
        <v>90.5</v>
      </c>
      <c r="F87" s="15" t="s">
        <v>8</v>
      </c>
    </row>
    <row r="88" spans="1:6" ht="17.100000000000001" customHeight="1">
      <c r="A88" s="11" t="s">
        <v>94</v>
      </c>
      <c r="B88" s="12">
        <v>202303004</v>
      </c>
      <c r="C88" s="12" t="str">
        <f>"202303003026"</f>
        <v>202303003026</v>
      </c>
      <c r="D88" s="13">
        <v>71.900000000000006</v>
      </c>
      <c r="E88" s="14">
        <v>99</v>
      </c>
      <c r="F88" s="15" t="s">
        <v>8</v>
      </c>
    </row>
    <row r="89" spans="1:6" ht="17.100000000000001" customHeight="1">
      <c r="A89" s="11" t="s">
        <v>95</v>
      </c>
      <c r="B89" s="12">
        <v>202303004</v>
      </c>
      <c r="C89" s="12" t="str">
        <f>"202303003027"</f>
        <v>202303003027</v>
      </c>
      <c r="D89" s="13">
        <v>102.3</v>
      </c>
      <c r="E89" s="14">
        <v>99.5</v>
      </c>
      <c r="F89" s="15" t="s">
        <v>8</v>
      </c>
    </row>
    <row r="90" spans="1:6" ht="17.100000000000001" customHeight="1">
      <c r="A90" s="11" t="s">
        <v>96</v>
      </c>
      <c r="B90" s="12">
        <v>202303004</v>
      </c>
      <c r="C90" s="12" t="str">
        <f>"202303003028"</f>
        <v>202303003028</v>
      </c>
      <c r="D90" s="13">
        <v>0</v>
      </c>
      <c r="E90" s="14">
        <v>0</v>
      </c>
      <c r="F90" s="15" t="s">
        <v>12</v>
      </c>
    </row>
    <row r="91" spans="1:6" ht="17.100000000000001" customHeight="1">
      <c r="A91" s="11" t="s">
        <v>97</v>
      </c>
      <c r="B91" s="12">
        <v>202303004</v>
      </c>
      <c r="C91" s="12" t="str">
        <f>"202303003029"</f>
        <v>202303003029</v>
      </c>
      <c r="D91" s="13">
        <v>0</v>
      </c>
      <c r="E91" s="14">
        <v>0</v>
      </c>
      <c r="F91" s="15" t="s">
        <v>12</v>
      </c>
    </row>
    <row r="92" spans="1:6" ht="17.100000000000001" customHeight="1">
      <c r="A92" s="11" t="s">
        <v>98</v>
      </c>
      <c r="B92" s="12">
        <v>202303004</v>
      </c>
      <c r="C92" s="12" t="str">
        <f>"202303003030"</f>
        <v>202303003030</v>
      </c>
      <c r="D92" s="13">
        <v>0</v>
      </c>
      <c r="E92" s="14">
        <v>0</v>
      </c>
      <c r="F92" s="15" t="s">
        <v>12</v>
      </c>
    </row>
    <row r="93" spans="1:6" ht="17.100000000000001" customHeight="1">
      <c r="A93" s="11" t="s">
        <v>99</v>
      </c>
      <c r="B93" s="12">
        <v>202303004</v>
      </c>
      <c r="C93" s="12" t="str">
        <f>"202303004001"</f>
        <v>202303004001</v>
      </c>
      <c r="D93" s="13">
        <v>0</v>
      </c>
      <c r="E93" s="14">
        <v>0</v>
      </c>
      <c r="F93" s="15" t="s">
        <v>12</v>
      </c>
    </row>
    <row r="94" spans="1:6" ht="17.100000000000001" customHeight="1">
      <c r="A94" s="11" t="s">
        <v>100</v>
      </c>
      <c r="B94" s="12">
        <v>202303004</v>
      </c>
      <c r="C94" s="12" t="str">
        <f>"202303004002"</f>
        <v>202303004002</v>
      </c>
      <c r="D94" s="13">
        <v>81.3</v>
      </c>
      <c r="E94" s="14">
        <v>85.5</v>
      </c>
      <c r="F94" s="15" t="s">
        <v>8</v>
      </c>
    </row>
    <row r="95" spans="1:6" ht="17.100000000000001" customHeight="1">
      <c r="A95" s="11" t="s">
        <v>101</v>
      </c>
      <c r="B95" s="12">
        <v>202303004</v>
      </c>
      <c r="C95" s="12" t="str">
        <f>"202303004003"</f>
        <v>202303004003</v>
      </c>
      <c r="D95" s="13">
        <v>0</v>
      </c>
      <c r="E95" s="14">
        <v>0</v>
      </c>
      <c r="F95" s="15" t="s">
        <v>12</v>
      </c>
    </row>
    <row r="96" spans="1:6" ht="17.100000000000001" customHeight="1">
      <c r="A96" s="11" t="s">
        <v>102</v>
      </c>
      <c r="B96" s="12">
        <v>202303004</v>
      </c>
      <c r="C96" s="12" t="str">
        <f>"202303004004"</f>
        <v>202303004004</v>
      </c>
      <c r="D96" s="13">
        <v>0</v>
      </c>
      <c r="E96" s="14">
        <v>0</v>
      </c>
      <c r="F96" s="15" t="s">
        <v>12</v>
      </c>
    </row>
    <row r="97" spans="1:6" ht="17.100000000000001" customHeight="1">
      <c r="A97" s="11" t="s">
        <v>103</v>
      </c>
      <c r="B97" s="12">
        <v>202303004</v>
      </c>
      <c r="C97" s="12" t="str">
        <f>"202303004005"</f>
        <v>202303004005</v>
      </c>
      <c r="D97" s="13">
        <v>0</v>
      </c>
      <c r="E97" s="14">
        <v>0</v>
      </c>
      <c r="F97" s="15" t="s">
        <v>12</v>
      </c>
    </row>
    <row r="98" spans="1:6" ht="17.100000000000001" customHeight="1">
      <c r="A98" s="11" t="s">
        <v>104</v>
      </c>
      <c r="B98" s="12">
        <v>202303004</v>
      </c>
      <c r="C98" s="12" t="str">
        <f>"202303004006"</f>
        <v>202303004006</v>
      </c>
      <c r="D98" s="13">
        <v>83.7</v>
      </c>
      <c r="E98" s="14">
        <v>78.5</v>
      </c>
      <c r="F98" s="15" t="s">
        <v>8</v>
      </c>
    </row>
    <row r="99" spans="1:6" ht="17.100000000000001" customHeight="1">
      <c r="A99" s="11" t="s">
        <v>105</v>
      </c>
      <c r="B99" s="12">
        <v>202303004</v>
      </c>
      <c r="C99" s="12" t="str">
        <f>"202303004007"</f>
        <v>202303004007</v>
      </c>
      <c r="D99" s="13">
        <v>68.7</v>
      </c>
      <c r="E99" s="14">
        <v>96.5</v>
      </c>
      <c r="F99" s="15" t="s">
        <v>8</v>
      </c>
    </row>
    <row r="100" spans="1:6" ht="17.100000000000001" customHeight="1">
      <c r="A100" s="11" t="s">
        <v>106</v>
      </c>
      <c r="B100" s="12">
        <v>202303004</v>
      </c>
      <c r="C100" s="12" t="str">
        <f>"202303004008"</f>
        <v>202303004008</v>
      </c>
      <c r="D100" s="13">
        <v>97.6</v>
      </c>
      <c r="E100" s="14">
        <v>97.5</v>
      </c>
      <c r="F100" s="15" t="s">
        <v>8</v>
      </c>
    </row>
    <row r="101" spans="1:6" ht="17.100000000000001" customHeight="1">
      <c r="A101" s="11" t="s">
        <v>107</v>
      </c>
      <c r="B101" s="12">
        <v>202303004</v>
      </c>
      <c r="C101" s="12" t="str">
        <f>"202303004009"</f>
        <v>202303004009</v>
      </c>
      <c r="D101" s="13">
        <v>0</v>
      </c>
      <c r="E101" s="14">
        <v>0</v>
      </c>
      <c r="F101" s="15" t="s">
        <v>12</v>
      </c>
    </row>
    <row r="102" spans="1:6" ht="17.100000000000001" customHeight="1">
      <c r="A102" s="11" t="s">
        <v>108</v>
      </c>
      <c r="B102" s="12">
        <v>202303004</v>
      </c>
      <c r="C102" s="12" t="str">
        <f>"202303004010"</f>
        <v>202303004010</v>
      </c>
      <c r="D102" s="13">
        <v>74.900000000000006</v>
      </c>
      <c r="E102" s="14">
        <v>98.5</v>
      </c>
      <c r="F102" s="15" t="s">
        <v>8</v>
      </c>
    </row>
    <row r="103" spans="1:6" ht="17.100000000000001" customHeight="1">
      <c r="A103" s="11" t="s">
        <v>109</v>
      </c>
      <c r="B103" s="12">
        <v>202303004</v>
      </c>
      <c r="C103" s="12" t="str">
        <f>"202303004011"</f>
        <v>202303004011</v>
      </c>
      <c r="D103" s="13">
        <v>0</v>
      </c>
      <c r="E103" s="14">
        <v>0</v>
      </c>
      <c r="F103" s="15" t="s">
        <v>12</v>
      </c>
    </row>
    <row r="104" spans="1:6" ht="17.100000000000001" customHeight="1">
      <c r="A104" s="11" t="s">
        <v>110</v>
      </c>
      <c r="B104" s="12">
        <v>202303004</v>
      </c>
      <c r="C104" s="12" t="str">
        <f>"202303004012"</f>
        <v>202303004012</v>
      </c>
      <c r="D104" s="13">
        <v>113.3</v>
      </c>
      <c r="E104" s="14">
        <v>113.5</v>
      </c>
      <c r="F104" s="15" t="s">
        <v>8</v>
      </c>
    </row>
    <row r="105" spans="1:6" ht="17.100000000000001" customHeight="1">
      <c r="A105" s="11" t="s">
        <v>111</v>
      </c>
      <c r="B105" s="12">
        <v>202303004</v>
      </c>
      <c r="C105" s="12" t="str">
        <f>"202303004013"</f>
        <v>202303004013</v>
      </c>
      <c r="D105" s="13">
        <v>85.9</v>
      </c>
      <c r="E105" s="14">
        <v>116</v>
      </c>
      <c r="F105" s="15" t="s">
        <v>8</v>
      </c>
    </row>
    <row r="106" spans="1:6" ht="17.100000000000001" customHeight="1">
      <c r="A106" s="11" t="s">
        <v>112</v>
      </c>
      <c r="B106" s="12">
        <v>202303004</v>
      </c>
      <c r="C106" s="12" t="str">
        <f>"202303004014"</f>
        <v>202303004014</v>
      </c>
      <c r="D106" s="13">
        <v>84.5</v>
      </c>
      <c r="E106" s="14">
        <v>115</v>
      </c>
      <c r="F106" s="15" t="s">
        <v>8</v>
      </c>
    </row>
    <row r="107" spans="1:6" ht="17.100000000000001" customHeight="1">
      <c r="A107" s="11" t="s">
        <v>113</v>
      </c>
      <c r="B107" s="12">
        <v>202303004</v>
      </c>
      <c r="C107" s="12" t="str">
        <f>"202303004015"</f>
        <v>202303004015</v>
      </c>
      <c r="D107" s="13">
        <v>0</v>
      </c>
      <c r="E107" s="14">
        <v>0</v>
      </c>
      <c r="F107" s="15" t="s">
        <v>12</v>
      </c>
    </row>
    <row r="108" spans="1:6" ht="17.100000000000001" customHeight="1">
      <c r="A108" s="11" t="s">
        <v>114</v>
      </c>
      <c r="B108" s="12">
        <v>202303004</v>
      </c>
      <c r="C108" s="12" t="str">
        <f>"202303004016"</f>
        <v>202303004016</v>
      </c>
      <c r="D108" s="13">
        <v>0</v>
      </c>
      <c r="E108" s="14">
        <v>0</v>
      </c>
      <c r="F108" s="15" t="s">
        <v>12</v>
      </c>
    </row>
    <row r="109" spans="1:6" ht="17.100000000000001" customHeight="1">
      <c r="A109" s="11" t="s">
        <v>115</v>
      </c>
      <c r="B109" s="12">
        <v>202303005</v>
      </c>
      <c r="C109" s="12" t="str">
        <f>"202303004017"</f>
        <v>202303004017</v>
      </c>
      <c r="D109" s="13">
        <v>92.1</v>
      </c>
      <c r="E109" s="14">
        <v>91</v>
      </c>
      <c r="F109" s="15" t="s">
        <v>8</v>
      </c>
    </row>
    <row r="110" spans="1:6" ht="17.100000000000001" customHeight="1">
      <c r="A110" s="11" t="s">
        <v>116</v>
      </c>
      <c r="B110" s="12">
        <v>202303005</v>
      </c>
      <c r="C110" s="12" t="str">
        <f>"202303004018"</f>
        <v>202303004018</v>
      </c>
      <c r="D110" s="13">
        <v>88.1</v>
      </c>
      <c r="E110" s="14">
        <v>108.5</v>
      </c>
      <c r="F110" s="15" t="s">
        <v>8</v>
      </c>
    </row>
    <row r="111" spans="1:6" ht="17.100000000000001" customHeight="1">
      <c r="A111" s="11" t="s">
        <v>117</v>
      </c>
      <c r="B111" s="12">
        <v>202303005</v>
      </c>
      <c r="C111" s="12" t="str">
        <f>"202303004019"</f>
        <v>202303004019</v>
      </c>
      <c r="D111" s="13">
        <v>95.7</v>
      </c>
      <c r="E111" s="14">
        <v>101</v>
      </c>
      <c r="F111" s="15" t="s">
        <v>8</v>
      </c>
    </row>
    <row r="112" spans="1:6" ht="17.100000000000001" customHeight="1">
      <c r="A112" s="11" t="s">
        <v>118</v>
      </c>
      <c r="B112" s="12">
        <v>202303005</v>
      </c>
      <c r="C112" s="12" t="str">
        <f>"202303004020"</f>
        <v>202303004020</v>
      </c>
      <c r="D112" s="13">
        <v>83</v>
      </c>
      <c r="E112" s="14">
        <v>99.5</v>
      </c>
      <c r="F112" s="15" t="s">
        <v>8</v>
      </c>
    </row>
    <row r="113" spans="1:6" ht="17.100000000000001" customHeight="1">
      <c r="A113" s="11" t="s">
        <v>119</v>
      </c>
      <c r="B113" s="12">
        <v>202303005</v>
      </c>
      <c r="C113" s="12" t="str">
        <f>"202303004021"</f>
        <v>202303004021</v>
      </c>
      <c r="D113" s="13">
        <v>96.7</v>
      </c>
      <c r="E113" s="14">
        <v>99.5</v>
      </c>
      <c r="F113" s="15" t="s">
        <v>8</v>
      </c>
    </row>
    <row r="114" spans="1:6" ht="17.100000000000001" customHeight="1">
      <c r="A114" s="11" t="s">
        <v>120</v>
      </c>
      <c r="B114" s="12">
        <v>202303005</v>
      </c>
      <c r="C114" s="12" t="str">
        <f>"202303004022"</f>
        <v>202303004022</v>
      </c>
      <c r="D114" s="13">
        <v>78.7</v>
      </c>
      <c r="E114" s="14">
        <v>101.5</v>
      </c>
      <c r="F114" s="15" t="s">
        <v>8</v>
      </c>
    </row>
    <row r="115" spans="1:6" ht="17.100000000000001" customHeight="1">
      <c r="A115" s="11" t="s">
        <v>121</v>
      </c>
      <c r="B115" s="12">
        <v>202303005</v>
      </c>
      <c r="C115" s="12" t="str">
        <f>"202303004023"</f>
        <v>202303004023</v>
      </c>
      <c r="D115" s="13">
        <v>78</v>
      </c>
      <c r="E115" s="14">
        <v>95.5</v>
      </c>
      <c r="F115" s="15" t="s">
        <v>8</v>
      </c>
    </row>
    <row r="116" spans="1:6" ht="17.100000000000001" customHeight="1">
      <c r="A116" s="11" t="s">
        <v>122</v>
      </c>
      <c r="B116" s="12">
        <v>202303005</v>
      </c>
      <c r="C116" s="12" t="str">
        <f>"202303004024"</f>
        <v>202303004024</v>
      </c>
      <c r="D116" s="13">
        <v>99.1</v>
      </c>
      <c r="E116" s="14">
        <v>90.5</v>
      </c>
      <c r="F116" s="15" t="s">
        <v>8</v>
      </c>
    </row>
    <row r="117" spans="1:6" ht="17.100000000000001" customHeight="1">
      <c r="A117" s="11" t="s">
        <v>123</v>
      </c>
      <c r="B117" s="12">
        <v>202303005</v>
      </c>
      <c r="C117" s="12" t="str">
        <f>"202303004025"</f>
        <v>202303004025</v>
      </c>
      <c r="D117" s="13">
        <v>0</v>
      </c>
      <c r="E117" s="14">
        <v>0</v>
      </c>
      <c r="F117" s="15" t="s">
        <v>12</v>
      </c>
    </row>
    <row r="118" spans="1:6" ht="17.100000000000001" customHeight="1">
      <c r="A118" s="11" t="s">
        <v>124</v>
      </c>
      <c r="B118" s="12">
        <v>202303005</v>
      </c>
      <c r="C118" s="12" t="str">
        <f>"202303004026"</f>
        <v>202303004026</v>
      </c>
      <c r="D118" s="13">
        <v>0</v>
      </c>
      <c r="E118" s="14">
        <v>0</v>
      </c>
      <c r="F118" s="15" t="s">
        <v>12</v>
      </c>
    </row>
    <row r="119" spans="1:6" ht="17.100000000000001" customHeight="1">
      <c r="A119" s="11" t="s">
        <v>125</v>
      </c>
      <c r="B119" s="12">
        <v>202303005</v>
      </c>
      <c r="C119" s="12" t="str">
        <f>"202303004027"</f>
        <v>202303004027</v>
      </c>
      <c r="D119" s="13">
        <v>107</v>
      </c>
      <c r="E119" s="14">
        <v>104.5</v>
      </c>
      <c r="F119" s="15" t="s">
        <v>8</v>
      </c>
    </row>
    <row r="120" spans="1:6" ht="17.100000000000001" customHeight="1">
      <c r="A120" s="11" t="s">
        <v>126</v>
      </c>
      <c r="B120" s="12">
        <v>202303005</v>
      </c>
      <c r="C120" s="12" t="str">
        <f>"202303004028"</f>
        <v>202303004028</v>
      </c>
      <c r="D120" s="13">
        <v>0</v>
      </c>
      <c r="E120" s="14">
        <v>0</v>
      </c>
      <c r="F120" s="15" t="s">
        <v>12</v>
      </c>
    </row>
    <row r="121" spans="1:6" ht="17.100000000000001" customHeight="1">
      <c r="A121" s="11" t="s">
        <v>127</v>
      </c>
      <c r="B121" s="12">
        <v>202303005</v>
      </c>
      <c r="C121" s="12" t="str">
        <f>"202303004029"</f>
        <v>202303004029</v>
      </c>
      <c r="D121" s="13">
        <v>85.4</v>
      </c>
      <c r="E121" s="14">
        <v>100.5</v>
      </c>
      <c r="F121" s="15" t="s">
        <v>8</v>
      </c>
    </row>
    <row r="122" spans="1:6" ht="17.100000000000001" customHeight="1">
      <c r="A122" s="11" t="s">
        <v>128</v>
      </c>
      <c r="B122" s="12">
        <v>202303005</v>
      </c>
      <c r="C122" s="12" t="str">
        <f>"202303004030"</f>
        <v>202303004030</v>
      </c>
      <c r="D122" s="13">
        <v>80.2</v>
      </c>
      <c r="E122" s="14">
        <v>115.5</v>
      </c>
      <c r="F122" s="15" t="s">
        <v>8</v>
      </c>
    </row>
    <row r="123" spans="1:6" ht="17.100000000000001" customHeight="1">
      <c r="A123" s="11" t="s">
        <v>129</v>
      </c>
      <c r="B123" s="12">
        <v>202303005</v>
      </c>
      <c r="C123" s="12" t="str">
        <f>"202303005001"</f>
        <v>202303005001</v>
      </c>
      <c r="D123" s="13">
        <v>0</v>
      </c>
      <c r="E123" s="14">
        <v>0</v>
      </c>
      <c r="F123" s="15" t="s">
        <v>12</v>
      </c>
    </row>
    <row r="124" spans="1:6" ht="17.100000000000001" customHeight="1">
      <c r="A124" s="11" t="s">
        <v>130</v>
      </c>
      <c r="B124" s="12">
        <v>202303005</v>
      </c>
      <c r="C124" s="12" t="str">
        <f>"202303005002"</f>
        <v>202303005002</v>
      </c>
      <c r="D124" s="13">
        <v>87.5</v>
      </c>
      <c r="E124" s="14">
        <v>100.5</v>
      </c>
      <c r="F124" s="15" t="s">
        <v>8</v>
      </c>
    </row>
    <row r="125" spans="1:6" ht="17.100000000000001" customHeight="1">
      <c r="A125" s="11" t="s">
        <v>131</v>
      </c>
      <c r="B125" s="12">
        <v>202303005</v>
      </c>
      <c r="C125" s="12" t="str">
        <f>"202303005003"</f>
        <v>202303005003</v>
      </c>
      <c r="D125" s="13">
        <v>110.5</v>
      </c>
      <c r="E125" s="14">
        <v>105.5</v>
      </c>
      <c r="F125" s="15" t="s">
        <v>8</v>
      </c>
    </row>
    <row r="126" spans="1:6" ht="17.100000000000001" customHeight="1">
      <c r="A126" s="11" t="s">
        <v>132</v>
      </c>
      <c r="B126" s="12">
        <v>202303005</v>
      </c>
      <c r="C126" s="12" t="str">
        <f>"202303005004"</f>
        <v>202303005004</v>
      </c>
      <c r="D126" s="13">
        <v>59.8</v>
      </c>
      <c r="E126" s="14">
        <v>42</v>
      </c>
      <c r="F126" s="15" t="s">
        <v>8</v>
      </c>
    </row>
    <row r="127" spans="1:6" ht="17.100000000000001" customHeight="1">
      <c r="A127" s="11" t="s">
        <v>133</v>
      </c>
      <c r="B127" s="12">
        <v>202303005</v>
      </c>
      <c r="C127" s="12" t="str">
        <f>"202303005005"</f>
        <v>202303005005</v>
      </c>
      <c r="D127" s="13">
        <v>0</v>
      </c>
      <c r="E127" s="14">
        <v>0</v>
      </c>
      <c r="F127" s="15" t="s">
        <v>12</v>
      </c>
    </row>
    <row r="128" spans="1:6" ht="17.100000000000001" customHeight="1">
      <c r="A128" s="11" t="s">
        <v>134</v>
      </c>
      <c r="B128" s="12">
        <v>202303005</v>
      </c>
      <c r="C128" s="12" t="str">
        <f>"202303005006"</f>
        <v>202303005006</v>
      </c>
      <c r="D128" s="13">
        <v>0</v>
      </c>
      <c r="E128" s="14">
        <v>0</v>
      </c>
      <c r="F128" s="15" t="s">
        <v>12</v>
      </c>
    </row>
    <row r="129" spans="1:6" ht="17.100000000000001" customHeight="1">
      <c r="A129" s="11" t="s">
        <v>135</v>
      </c>
      <c r="B129" s="12">
        <v>202303005</v>
      </c>
      <c r="C129" s="12" t="str">
        <f>"202303005007"</f>
        <v>202303005007</v>
      </c>
      <c r="D129" s="13">
        <v>62.2</v>
      </c>
      <c r="E129" s="14">
        <v>98.5</v>
      </c>
      <c r="F129" s="15" t="s">
        <v>8</v>
      </c>
    </row>
    <row r="130" spans="1:6" ht="17.100000000000001" customHeight="1">
      <c r="A130" s="11" t="s">
        <v>136</v>
      </c>
      <c r="B130" s="12">
        <v>202303005</v>
      </c>
      <c r="C130" s="12" t="str">
        <f>"202303005008"</f>
        <v>202303005008</v>
      </c>
      <c r="D130" s="13">
        <v>0</v>
      </c>
      <c r="E130" s="14">
        <v>0</v>
      </c>
      <c r="F130" s="15" t="s">
        <v>12</v>
      </c>
    </row>
    <row r="131" spans="1:6" ht="17.100000000000001" customHeight="1">
      <c r="A131" s="11" t="s">
        <v>137</v>
      </c>
      <c r="B131" s="12">
        <v>202303005</v>
      </c>
      <c r="C131" s="12" t="str">
        <f>"202303005009"</f>
        <v>202303005009</v>
      </c>
      <c r="D131" s="13">
        <v>95.7</v>
      </c>
      <c r="E131" s="14">
        <v>101.5</v>
      </c>
      <c r="F131" s="15" t="s">
        <v>8</v>
      </c>
    </row>
    <row r="132" spans="1:6" ht="17.100000000000001" customHeight="1">
      <c r="A132" s="11" t="s">
        <v>138</v>
      </c>
      <c r="B132" s="12">
        <v>202303005</v>
      </c>
      <c r="C132" s="12" t="str">
        <f>"202303005010"</f>
        <v>202303005010</v>
      </c>
      <c r="D132" s="13">
        <v>73.099999999999994</v>
      </c>
      <c r="E132" s="14">
        <v>77.5</v>
      </c>
      <c r="F132" s="15" t="s">
        <v>8</v>
      </c>
    </row>
    <row r="133" spans="1:6" ht="17.100000000000001" customHeight="1">
      <c r="A133" s="11" t="s">
        <v>139</v>
      </c>
      <c r="B133" s="12">
        <v>202303005</v>
      </c>
      <c r="C133" s="12" t="str">
        <f>"202303005011"</f>
        <v>202303005011</v>
      </c>
      <c r="D133" s="13">
        <v>0</v>
      </c>
      <c r="E133" s="14">
        <v>0</v>
      </c>
      <c r="F133" s="15" t="s">
        <v>12</v>
      </c>
    </row>
    <row r="134" spans="1:6" ht="17.100000000000001" customHeight="1">
      <c r="A134" s="11" t="s">
        <v>140</v>
      </c>
      <c r="B134" s="12">
        <v>202303005</v>
      </c>
      <c r="C134" s="12" t="str">
        <f>"202303005012"</f>
        <v>202303005012</v>
      </c>
      <c r="D134" s="13">
        <v>0</v>
      </c>
      <c r="E134" s="14">
        <v>0</v>
      </c>
      <c r="F134" s="15" t="s">
        <v>12</v>
      </c>
    </row>
    <row r="135" spans="1:6" ht="17.100000000000001" customHeight="1">
      <c r="A135" s="11" t="s">
        <v>141</v>
      </c>
      <c r="B135" s="12">
        <v>202303005</v>
      </c>
      <c r="C135" s="12" t="str">
        <f>"202303005013"</f>
        <v>202303005013</v>
      </c>
      <c r="D135" s="13">
        <v>0</v>
      </c>
      <c r="E135" s="14">
        <v>0</v>
      </c>
      <c r="F135" s="15" t="s">
        <v>12</v>
      </c>
    </row>
    <row r="136" spans="1:6" ht="17.100000000000001" customHeight="1">
      <c r="A136" s="11" t="s">
        <v>142</v>
      </c>
      <c r="B136" s="12">
        <v>202303005</v>
      </c>
      <c r="C136" s="12" t="str">
        <f>"202303005014"</f>
        <v>202303005014</v>
      </c>
      <c r="D136" s="13">
        <v>0</v>
      </c>
      <c r="E136" s="14">
        <v>0</v>
      </c>
      <c r="F136" s="15" t="s">
        <v>12</v>
      </c>
    </row>
    <row r="137" spans="1:6" ht="17.100000000000001" customHeight="1">
      <c r="A137" s="11" t="s">
        <v>143</v>
      </c>
      <c r="B137" s="12">
        <v>202303005</v>
      </c>
      <c r="C137" s="12" t="str">
        <f>"202303005015"</f>
        <v>202303005015</v>
      </c>
      <c r="D137" s="13">
        <v>90</v>
      </c>
      <c r="E137" s="14">
        <v>81.5</v>
      </c>
      <c r="F137" s="15" t="s">
        <v>8</v>
      </c>
    </row>
    <row r="138" spans="1:6" ht="17.100000000000001" customHeight="1">
      <c r="A138" s="11" t="s">
        <v>144</v>
      </c>
      <c r="B138" s="12">
        <v>202303005</v>
      </c>
      <c r="C138" s="12" t="str">
        <f>"202303005016"</f>
        <v>202303005016</v>
      </c>
      <c r="D138" s="13">
        <v>102.9</v>
      </c>
      <c r="E138" s="14">
        <v>103.5</v>
      </c>
      <c r="F138" s="15" t="s">
        <v>8</v>
      </c>
    </row>
    <row r="139" spans="1:6" ht="17.100000000000001" customHeight="1">
      <c r="A139" s="11" t="s">
        <v>145</v>
      </c>
      <c r="B139" s="12">
        <v>202303005</v>
      </c>
      <c r="C139" s="12" t="str">
        <f>"202303005017"</f>
        <v>202303005017</v>
      </c>
      <c r="D139" s="13">
        <v>76.7</v>
      </c>
      <c r="E139" s="14">
        <v>102.5</v>
      </c>
      <c r="F139" s="15" t="s">
        <v>8</v>
      </c>
    </row>
    <row r="140" spans="1:6" ht="17.100000000000001" customHeight="1">
      <c r="A140" s="11" t="s">
        <v>146</v>
      </c>
      <c r="B140" s="12">
        <v>202303005</v>
      </c>
      <c r="C140" s="12" t="str">
        <f>"202303005018"</f>
        <v>202303005018</v>
      </c>
      <c r="D140" s="13">
        <v>93.4</v>
      </c>
      <c r="E140" s="14">
        <v>86.5</v>
      </c>
      <c r="F140" s="15" t="s">
        <v>8</v>
      </c>
    </row>
    <row r="141" spans="1:6" ht="17.100000000000001" customHeight="1">
      <c r="A141" s="11" t="s">
        <v>147</v>
      </c>
      <c r="B141" s="12">
        <v>202303005</v>
      </c>
      <c r="C141" s="12" t="str">
        <f>"202303005019"</f>
        <v>202303005019</v>
      </c>
      <c r="D141" s="13">
        <v>87</v>
      </c>
      <c r="E141" s="14">
        <v>100</v>
      </c>
      <c r="F141" s="15" t="s">
        <v>8</v>
      </c>
    </row>
    <row r="142" spans="1:6" ht="17.100000000000001" customHeight="1">
      <c r="A142" s="11" t="s">
        <v>148</v>
      </c>
      <c r="B142" s="12">
        <v>202303005</v>
      </c>
      <c r="C142" s="12" t="str">
        <f>"202303005020"</f>
        <v>202303005020</v>
      </c>
      <c r="D142" s="13">
        <v>0</v>
      </c>
      <c r="E142" s="14">
        <v>0</v>
      </c>
      <c r="F142" s="15" t="s">
        <v>12</v>
      </c>
    </row>
    <row r="143" spans="1:6" ht="17.100000000000001" customHeight="1">
      <c r="A143" s="11" t="s">
        <v>149</v>
      </c>
      <c r="B143" s="12">
        <v>202303005</v>
      </c>
      <c r="C143" s="12" t="str">
        <f>"202303005021"</f>
        <v>202303005021</v>
      </c>
      <c r="D143" s="13">
        <v>0</v>
      </c>
      <c r="E143" s="14">
        <v>0</v>
      </c>
      <c r="F143" s="15" t="s">
        <v>12</v>
      </c>
    </row>
    <row r="144" spans="1:6" ht="17.100000000000001" customHeight="1">
      <c r="A144" s="11" t="s">
        <v>150</v>
      </c>
      <c r="B144" s="12">
        <v>202303005</v>
      </c>
      <c r="C144" s="12" t="str">
        <f>"202303005022"</f>
        <v>202303005022</v>
      </c>
      <c r="D144" s="13">
        <v>0</v>
      </c>
      <c r="E144" s="14">
        <v>0</v>
      </c>
      <c r="F144" s="15" t="s">
        <v>12</v>
      </c>
    </row>
    <row r="145" spans="1:6" ht="17.100000000000001" customHeight="1">
      <c r="A145" s="11" t="s">
        <v>151</v>
      </c>
      <c r="B145" s="12">
        <v>202303005</v>
      </c>
      <c r="C145" s="12" t="str">
        <f>"202303005023"</f>
        <v>202303005023</v>
      </c>
      <c r="D145" s="13">
        <v>90.8</v>
      </c>
      <c r="E145" s="14">
        <v>105.5</v>
      </c>
      <c r="F145" s="15" t="s">
        <v>8</v>
      </c>
    </row>
    <row r="146" spans="1:6" ht="17.100000000000001" customHeight="1">
      <c r="A146" s="11" t="s">
        <v>152</v>
      </c>
      <c r="B146" s="12">
        <v>202303005</v>
      </c>
      <c r="C146" s="12" t="str">
        <f>"202303005024"</f>
        <v>202303005024</v>
      </c>
      <c r="D146" s="13">
        <v>0</v>
      </c>
      <c r="E146" s="14">
        <v>0</v>
      </c>
      <c r="F146" s="15" t="s">
        <v>12</v>
      </c>
    </row>
    <row r="147" spans="1:6" ht="17.100000000000001" customHeight="1">
      <c r="A147" s="11" t="s">
        <v>153</v>
      </c>
      <c r="B147" s="12">
        <v>202303005</v>
      </c>
      <c r="C147" s="12" t="str">
        <f>"202303005025"</f>
        <v>202303005025</v>
      </c>
      <c r="D147" s="13">
        <v>59.9</v>
      </c>
      <c r="E147" s="14">
        <v>96</v>
      </c>
      <c r="F147" s="15" t="s">
        <v>8</v>
      </c>
    </row>
    <row r="148" spans="1:6" ht="17.100000000000001" customHeight="1">
      <c r="A148" s="11" t="s">
        <v>154</v>
      </c>
      <c r="B148" s="12">
        <v>202303005</v>
      </c>
      <c r="C148" s="12" t="str">
        <f>"202303005026"</f>
        <v>202303005026</v>
      </c>
      <c r="D148" s="13">
        <v>0</v>
      </c>
      <c r="E148" s="14">
        <v>0</v>
      </c>
      <c r="F148" s="15" t="s">
        <v>12</v>
      </c>
    </row>
    <row r="149" spans="1:6" ht="17.100000000000001" customHeight="1">
      <c r="A149" s="11" t="s">
        <v>155</v>
      </c>
      <c r="B149" s="12">
        <v>202303005</v>
      </c>
      <c r="C149" s="12" t="str">
        <f>"202303005027"</f>
        <v>202303005027</v>
      </c>
      <c r="D149" s="13">
        <v>65.3</v>
      </c>
      <c r="E149" s="14">
        <v>71.5</v>
      </c>
      <c r="F149" s="15" t="s">
        <v>8</v>
      </c>
    </row>
    <row r="150" spans="1:6" ht="17.100000000000001" customHeight="1">
      <c r="A150" s="11" t="s">
        <v>156</v>
      </c>
      <c r="B150" s="12">
        <v>202303005</v>
      </c>
      <c r="C150" s="12" t="str">
        <f>"202303005028"</f>
        <v>202303005028</v>
      </c>
      <c r="D150" s="13">
        <v>90.9</v>
      </c>
      <c r="E150" s="14">
        <v>106.5</v>
      </c>
      <c r="F150" s="15" t="s">
        <v>8</v>
      </c>
    </row>
    <row r="151" spans="1:6" ht="17.100000000000001" customHeight="1">
      <c r="A151" s="11" t="s">
        <v>157</v>
      </c>
      <c r="B151" s="12">
        <v>202303005</v>
      </c>
      <c r="C151" s="12" t="str">
        <f>"202303005029"</f>
        <v>202303005029</v>
      </c>
      <c r="D151" s="13">
        <v>101.6</v>
      </c>
      <c r="E151" s="14">
        <v>99</v>
      </c>
      <c r="F151" s="15" t="s">
        <v>8</v>
      </c>
    </row>
    <row r="152" spans="1:6" ht="17.100000000000001" customHeight="1">
      <c r="A152" s="11" t="s">
        <v>158</v>
      </c>
      <c r="B152" s="12">
        <v>202303005</v>
      </c>
      <c r="C152" s="12" t="str">
        <f>"202303005030"</f>
        <v>202303005030</v>
      </c>
      <c r="D152" s="13">
        <v>0</v>
      </c>
      <c r="E152" s="14">
        <v>0</v>
      </c>
      <c r="F152" s="15" t="s">
        <v>12</v>
      </c>
    </row>
    <row r="153" spans="1:6" ht="17.100000000000001" customHeight="1">
      <c r="A153" s="11" t="s">
        <v>159</v>
      </c>
      <c r="B153" s="12">
        <v>202303005</v>
      </c>
      <c r="C153" s="12" t="str">
        <f>"202303006001"</f>
        <v>202303006001</v>
      </c>
      <c r="D153" s="13">
        <v>101.7</v>
      </c>
      <c r="E153" s="14">
        <v>90.5</v>
      </c>
      <c r="F153" s="15" t="s">
        <v>8</v>
      </c>
    </row>
    <row r="154" spans="1:6" ht="17.100000000000001" customHeight="1">
      <c r="A154" s="11" t="s">
        <v>160</v>
      </c>
      <c r="B154" s="12">
        <v>202303005</v>
      </c>
      <c r="C154" s="12" t="str">
        <f>"202303006002"</f>
        <v>202303006002</v>
      </c>
      <c r="D154" s="13">
        <v>80.5</v>
      </c>
      <c r="E154" s="14">
        <v>103.5</v>
      </c>
      <c r="F154" s="15" t="s">
        <v>8</v>
      </c>
    </row>
    <row r="155" spans="1:6" ht="17.100000000000001" customHeight="1">
      <c r="A155" s="11" t="s">
        <v>161</v>
      </c>
      <c r="B155" s="12">
        <v>202303005</v>
      </c>
      <c r="C155" s="12" t="str">
        <f>"202303006003"</f>
        <v>202303006003</v>
      </c>
      <c r="D155" s="13">
        <v>95.7</v>
      </c>
      <c r="E155" s="14">
        <v>105.5</v>
      </c>
      <c r="F155" s="15" t="s">
        <v>8</v>
      </c>
    </row>
    <row r="156" spans="1:6" ht="17.100000000000001" customHeight="1">
      <c r="A156" s="11" t="s">
        <v>162</v>
      </c>
      <c r="B156" s="12">
        <v>202303005</v>
      </c>
      <c r="C156" s="12" t="str">
        <f>"202303006004"</f>
        <v>202303006004</v>
      </c>
      <c r="D156" s="13">
        <v>89.7</v>
      </c>
      <c r="E156" s="14">
        <v>100.5</v>
      </c>
      <c r="F156" s="15" t="s">
        <v>8</v>
      </c>
    </row>
    <row r="157" spans="1:6" ht="17.100000000000001" customHeight="1">
      <c r="A157" s="11" t="s">
        <v>163</v>
      </c>
      <c r="B157" s="12">
        <v>202303005</v>
      </c>
      <c r="C157" s="12" t="str">
        <f>"202303006005"</f>
        <v>202303006005</v>
      </c>
      <c r="D157" s="13">
        <v>68.900000000000006</v>
      </c>
      <c r="E157" s="14">
        <v>101.5</v>
      </c>
      <c r="F157" s="15" t="s">
        <v>8</v>
      </c>
    </row>
    <row r="158" spans="1:6" ht="17.100000000000001" customHeight="1">
      <c r="A158" s="11" t="s">
        <v>164</v>
      </c>
      <c r="B158" s="12">
        <v>202303005</v>
      </c>
      <c r="C158" s="12" t="str">
        <f>"202303006006"</f>
        <v>202303006006</v>
      </c>
      <c r="D158" s="13">
        <v>93.4</v>
      </c>
      <c r="E158" s="14">
        <v>103</v>
      </c>
      <c r="F158" s="15" t="s">
        <v>8</v>
      </c>
    </row>
    <row r="159" spans="1:6" ht="17.100000000000001" customHeight="1">
      <c r="A159" s="11" t="s">
        <v>165</v>
      </c>
      <c r="B159" s="12">
        <v>202303005</v>
      </c>
      <c r="C159" s="12" t="str">
        <f>"202303006007"</f>
        <v>202303006007</v>
      </c>
      <c r="D159" s="13">
        <v>0</v>
      </c>
      <c r="E159" s="14">
        <v>0</v>
      </c>
      <c r="F159" s="15" t="s">
        <v>12</v>
      </c>
    </row>
    <row r="160" spans="1:6" ht="17.100000000000001" customHeight="1">
      <c r="A160" s="11" t="s">
        <v>166</v>
      </c>
      <c r="B160" s="12">
        <v>202303005</v>
      </c>
      <c r="C160" s="12" t="str">
        <f>"202303006008"</f>
        <v>202303006008</v>
      </c>
      <c r="D160" s="13">
        <v>83.7</v>
      </c>
      <c r="E160" s="14">
        <v>100</v>
      </c>
      <c r="F160" s="15" t="s">
        <v>8</v>
      </c>
    </row>
    <row r="161" spans="1:6" ht="17.100000000000001" customHeight="1">
      <c r="A161" s="11" t="s">
        <v>167</v>
      </c>
      <c r="B161" s="12">
        <v>202303005</v>
      </c>
      <c r="C161" s="12" t="str">
        <f>"202303006009"</f>
        <v>202303006009</v>
      </c>
      <c r="D161" s="13">
        <v>36.1</v>
      </c>
      <c r="E161" s="14">
        <v>94.5</v>
      </c>
      <c r="F161" s="15" t="s">
        <v>8</v>
      </c>
    </row>
    <row r="162" spans="1:6" ht="17.100000000000001" customHeight="1">
      <c r="A162" s="11" t="s">
        <v>168</v>
      </c>
      <c r="B162" s="12">
        <v>202303005</v>
      </c>
      <c r="C162" s="12" t="str">
        <f>"202303006010"</f>
        <v>202303006010</v>
      </c>
      <c r="D162" s="13">
        <v>72.3</v>
      </c>
      <c r="E162" s="14">
        <v>101</v>
      </c>
      <c r="F162" s="15" t="s">
        <v>8</v>
      </c>
    </row>
    <row r="163" spans="1:6" ht="17.100000000000001" customHeight="1">
      <c r="A163" s="11" t="s">
        <v>169</v>
      </c>
      <c r="B163" s="12">
        <v>202303005</v>
      </c>
      <c r="C163" s="12" t="str">
        <f>"202303006011"</f>
        <v>202303006011</v>
      </c>
      <c r="D163" s="13">
        <v>82.5</v>
      </c>
      <c r="E163" s="14">
        <v>103</v>
      </c>
      <c r="F163" s="15" t="s">
        <v>8</v>
      </c>
    </row>
    <row r="164" spans="1:6" ht="17.100000000000001" customHeight="1">
      <c r="A164" s="11" t="s">
        <v>170</v>
      </c>
      <c r="B164" s="12">
        <v>202303005</v>
      </c>
      <c r="C164" s="12" t="str">
        <f>"202303006012"</f>
        <v>202303006012</v>
      </c>
      <c r="D164" s="13">
        <v>70.2</v>
      </c>
      <c r="E164" s="14">
        <v>100.5</v>
      </c>
      <c r="F164" s="15" t="s">
        <v>8</v>
      </c>
    </row>
    <row r="165" spans="1:6" ht="17.100000000000001" customHeight="1">
      <c r="A165" s="11" t="s">
        <v>171</v>
      </c>
      <c r="B165" s="12">
        <v>202303005</v>
      </c>
      <c r="C165" s="12" t="str">
        <f>"202303006013"</f>
        <v>202303006013</v>
      </c>
      <c r="D165" s="13">
        <v>81.400000000000006</v>
      </c>
      <c r="E165" s="14">
        <v>54.5</v>
      </c>
      <c r="F165" s="15" t="s">
        <v>8</v>
      </c>
    </row>
    <row r="166" spans="1:6" ht="17.100000000000001" customHeight="1">
      <c r="A166" s="11" t="s">
        <v>172</v>
      </c>
      <c r="B166" s="12">
        <v>202303005</v>
      </c>
      <c r="C166" s="12" t="str">
        <f>"202303006014"</f>
        <v>202303006014</v>
      </c>
      <c r="D166" s="13">
        <v>0</v>
      </c>
      <c r="E166" s="14">
        <v>0</v>
      </c>
      <c r="F166" s="15" t="s">
        <v>12</v>
      </c>
    </row>
    <row r="167" spans="1:6" ht="17.100000000000001" customHeight="1">
      <c r="A167" s="11" t="s">
        <v>173</v>
      </c>
      <c r="B167" s="12">
        <v>202303006</v>
      </c>
      <c r="C167" s="12" t="str">
        <f>"202303006015"</f>
        <v>202303006015</v>
      </c>
      <c r="D167" s="13">
        <v>0</v>
      </c>
      <c r="E167" s="14">
        <v>0</v>
      </c>
      <c r="F167" s="15" t="s">
        <v>12</v>
      </c>
    </row>
    <row r="168" spans="1:6" ht="17.100000000000001" customHeight="1">
      <c r="A168" s="11" t="s">
        <v>174</v>
      </c>
      <c r="B168" s="12">
        <v>202303006</v>
      </c>
      <c r="C168" s="12" t="str">
        <f>"202303006016"</f>
        <v>202303006016</v>
      </c>
      <c r="D168" s="13">
        <v>100.6</v>
      </c>
      <c r="E168" s="14">
        <v>71.5</v>
      </c>
      <c r="F168" s="15" t="s">
        <v>8</v>
      </c>
    </row>
    <row r="169" spans="1:6" ht="17.100000000000001" customHeight="1">
      <c r="A169" s="11" t="s">
        <v>175</v>
      </c>
      <c r="B169" s="12">
        <v>202303006</v>
      </c>
      <c r="C169" s="12" t="str">
        <f>"202303006017"</f>
        <v>202303006017</v>
      </c>
      <c r="D169" s="13">
        <v>0</v>
      </c>
      <c r="E169" s="14">
        <v>0</v>
      </c>
      <c r="F169" s="15" t="s">
        <v>12</v>
      </c>
    </row>
    <row r="170" spans="1:6" ht="17.100000000000001" customHeight="1">
      <c r="A170" s="11" t="s">
        <v>176</v>
      </c>
      <c r="B170" s="12">
        <v>202303006</v>
      </c>
      <c r="C170" s="12" t="str">
        <f>"202303006018"</f>
        <v>202303006018</v>
      </c>
      <c r="D170" s="13">
        <v>0</v>
      </c>
      <c r="E170" s="14">
        <v>0</v>
      </c>
      <c r="F170" s="15" t="s">
        <v>12</v>
      </c>
    </row>
    <row r="171" spans="1:6" ht="17.100000000000001" customHeight="1">
      <c r="A171" s="11" t="s">
        <v>177</v>
      </c>
      <c r="B171" s="12">
        <v>202303006</v>
      </c>
      <c r="C171" s="12" t="str">
        <f>"202303006019"</f>
        <v>202303006019</v>
      </c>
      <c r="D171" s="13">
        <v>84.1</v>
      </c>
      <c r="E171" s="14">
        <v>108</v>
      </c>
      <c r="F171" s="15" t="s">
        <v>8</v>
      </c>
    </row>
    <row r="172" spans="1:6" ht="17.100000000000001" customHeight="1">
      <c r="A172" s="11" t="s">
        <v>178</v>
      </c>
      <c r="B172" s="12">
        <v>202303006</v>
      </c>
      <c r="C172" s="12" t="str">
        <f>"202303006020"</f>
        <v>202303006020</v>
      </c>
      <c r="D172" s="13">
        <v>0</v>
      </c>
      <c r="E172" s="14">
        <v>0</v>
      </c>
      <c r="F172" s="15" t="s">
        <v>12</v>
      </c>
    </row>
    <row r="173" spans="1:6" ht="17.100000000000001" customHeight="1">
      <c r="A173" s="11" t="s">
        <v>179</v>
      </c>
      <c r="B173" s="12">
        <v>202303006</v>
      </c>
      <c r="C173" s="12" t="str">
        <f>"202303006021"</f>
        <v>202303006021</v>
      </c>
      <c r="D173" s="13">
        <v>88.2</v>
      </c>
      <c r="E173" s="14">
        <v>110.5</v>
      </c>
      <c r="F173" s="15" t="s">
        <v>8</v>
      </c>
    </row>
    <row r="174" spans="1:6" ht="17.100000000000001" customHeight="1">
      <c r="A174" s="11" t="s">
        <v>180</v>
      </c>
      <c r="B174" s="12">
        <v>202303006</v>
      </c>
      <c r="C174" s="12" t="str">
        <f>"202303006022"</f>
        <v>202303006022</v>
      </c>
      <c r="D174" s="13">
        <v>0</v>
      </c>
      <c r="E174" s="14">
        <v>0</v>
      </c>
      <c r="F174" s="15" t="s">
        <v>12</v>
      </c>
    </row>
    <row r="175" spans="1:6" ht="17.100000000000001" customHeight="1">
      <c r="A175" s="11" t="s">
        <v>181</v>
      </c>
      <c r="B175" s="12">
        <v>202303006</v>
      </c>
      <c r="C175" s="12" t="str">
        <f>"202303006023"</f>
        <v>202303006023</v>
      </c>
      <c r="D175" s="13">
        <v>78.099999999999994</v>
      </c>
      <c r="E175" s="14">
        <v>103.5</v>
      </c>
      <c r="F175" s="15" t="s">
        <v>8</v>
      </c>
    </row>
    <row r="176" spans="1:6" ht="17.100000000000001" customHeight="1">
      <c r="A176" s="11" t="s">
        <v>182</v>
      </c>
      <c r="B176" s="12">
        <v>202303006</v>
      </c>
      <c r="C176" s="12" t="str">
        <f>"202303006024"</f>
        <v>202303006024</v>
      </c>
      <c r="D176" s="13">
        <v>79</v>
      </c>
      <c r="E176" s="14">
        <v>105</v>
      </c>
      <c r="F176" s="15" t="s">
        <v>8</v>
      </c>
    </row>
    <row r="177" spans="1:6" ht="17.100000000000001" customHeight="1">
      <c r="A177" s="11" t="s">
        <v>183</v>
      </c>
      <c r="B177" s="12">
        <v>202303006</v>
      </c>
      <c r="C177" s="12" t="str">
        <f>"202303006025"</f>
        <v>202303006025</v>
      </c>
      <c r="D177" s="13">
        <v>92.1</v>
      </c>
      <c r="E177" s="14">
        <v>101</v>
      </c>
      <c r="F177" s="15" t="s">
        <v>8</v>
      </c>
    </row>
    <row r="178" spans="1:6" ht="17.100000000000001" customHeight="1">
      <c r="A178" s="11" t="s">
        <v>184</v>
      </c>
      <c r="B178" s="12">
        <v>202303006</v>
      </c>
      <c r="C178" s="12" t="str">
        <f>"202303006026"</f>
        <v>202303006026</v>
      </c>
      <c r="D178" s="13">
        <v>71.5</v>
      </c>
      <c r="E178" s="14">
        <v>101.5</v>
      </c>
      <c r="F178" s="15" t="s">
        <v>8</v>
      </c>
    </row>
    <row r="179" spans="1:6" ht="17.100000000000001" customHeight="1">
      <c r="A179" s="11" t="s">
        <v>185</v>
      </c>
      <c r="B179" s="12">
        <v>202303006</v>
      </c>
      <c r="C179" s="12" t="str">
        <f>"202303006027"</f>
        <v>202303006027</v>
      </c>
      <c r="D179" s="13">
        <v>79.5</v>
      </c>
      <c r="E179" s="14">
        <v>103.5</v>
      </c>
      <c r="F179" s="15" t="s">
        <v>8</v>
      </c>
    </row>
    <row r="180" spans="1:6" ht="17.100000000000001" customHeight="1">
      <c r="A180" s="11" t="s">
        <v>186</v>
      </c>
      <c r="B180" s="12">
        <v>202303006</v>
      </c>
      <c r="C180" s="12" t="str">
        <f>"202303006028"</f>
        <v>202303006028</v>
      </c>
      <c r="D180" s="13">
        <v>73</v>
      </c>
      <c r="E180" s="14">
        <v>105.5</v>
      </c>
      <c r="F180" s="15" t="s">
        <v>8</v>
      </c>
    </row>
    <row r="181" spans="1:6" ht="17.100000000000001" customHeight="1">
      <c r="A181" s="11" t="s">
        <v>187</v>
      </c>
      <c r="B181" s="12">
        <v>202303006</v>
      </c>
      <c r="C181" s="12" t="str">
        <f>"202303006029"</f>
        <v>202303006029</v>
      </c>
      <c r="D181" s="13">
        <v>83.7</v>
      </c>
      <c r="E181" s="14">
        <v>104.5</v>
      </c>
      <c r="F181" s="15" t="s">
        <v>8</v>
      </c>
    </row>
    <row r="182" spans="1:6" ht="17.100000000000001" customHeight="1">
      <c r="A182" s="11" t="s">
        <v>188</v>
      </c>
      <c r="B182" s="12">
        <v>202303006</v>
      </c>
      <c r="C182" s="12" t="str">
        <f>"202303006030"</f>
        <v>202303006030</v>
      </c>
      <c r="D182" s="13">
        <v>108.8</v>
      </c>
      <c r="E182" s="14">
        <v>104</v>
      </c>
      <c r="F182" s="15" t="s">
        <v>8</v>
      </c>
    </row>
    <row r="183" spans="1:6" ht="17.100000000000001" customHeight="1">
      <c r="A183" s="11" t="s">
        <v>189</v>
      </c>
      <c r="B183" s="12">
        <v>202303006</v>
      </c>
      <c r="C183" s="12" t="str">
        <f>"202303007001"</f>
        <v>202303007001</v>
      </c>
      <c r="D183" s="13">
        <v>0</v>
      </c>
      <c r="E183" s="14">
        <v>0</v>
      </c>
      <c r="F183" s="15" t="s">
        <v>12</v>
      </c>
    </row>
    <row r="184" spans="1:6" ht="17.100000000000001" customHeight="1">
      <c r="A184" s="11" t="s">
        <v>190</v>
      </c>
      <c r="B184" s="12">
        <v>202303007</v>
      </c>
      <c r="C184" s="12" t="str">
        <f>"202303007002"</f>
        <v>202303007002</v>
      </c>
      <c r="D184" s="13">
        <v>84.4</v>
      </c>
      <c r="E184" s="14">
        <v>104</v>
      </c>
      <c r="F184" s="15" t="s">
        <v>8</v>
      </c>
    </row>
    <row r="185" spans="1:6" ht="17.100000000000001" customHeight="1">
      <c r="A185" s="11" t="s">
        <v>191</v>
      </c>
      <c r="B185" s="12">
        <v>202303007</v>
      </c>
      <c r="C185" s="12" t="str">
        <f>"202303007003"</f>
        <v>202303007003</v>
      </c>
      <c r="D185" s="13">
        <v>86.7</v>
      </c>
      <c r="E185" s="14">
        <v>109.5</v>
      </c>
      <c r="F185" s="15" t="s">
        <v>8</v>
      </c>
    </row>
    <row r="186" spans="1:6" ht="17.100000000000001" customHeight="1">
      <c r="A186" s="11" t="s">
        <v>192</v>
      </c>
      <c r="B186" s="12">
        <v>202303007</v>
      </c>
      <c r="C186" s="12" t="str">
        <f>"202303007004"</f>
        <v>202303007004</v>
      </c>
      <c r="D186" s="13">
        <v>83.2</v>
      </c>
      <c r="E186" s="14">
        <v>104.5</v>
      </c>
      <c r="F186" s="15" t="s">
        <v>8</v>
      </c>
    </row>
    <row r="187" spans="1:6" ht="17.100000000000001" customHeight="1">
      <c r="A187" s="11" t="s">
        <v>193</v>
      </c>
      <c r="B187" s="12">
        <v>202303007</v>
      </c>
      <c r="C187" s="12" t="str">
        <f>"202303007005"</f>
        <v>202303007005</v>
      </c>
      <c r="D187" s="13">
        <v>0</v>
      </c>
      <c r="E187" s="14">
        <v>0</v>
      </c>
      <c r="F187" s="15" t="s">
        <v>12</v>
      </c>
    </row>
    <row r="188" spans="1:6" ht="17.100000000000001" customHeight="1">
      <c r="A188" s="11" t="s">
        <v>194</v>
      </c>
      <c r="B188" s="12">
        <v>202303007</v>
      </c>
      <c r="C188" s="12" t="str">
        <f>"202303007006"</f>
        <v>202303007006</v>
      </c>
      <c r="D188" s="13">
        <v>91.8</v>
      </c>
      <c r="E188" s="14">
        <v>102</v>
      </c>
      <c r="F188" s="15" t="s">
        <v>8</v>
      </c>
    </row>
    <row r="189" spans="1:6" ht="17.100000000000001" customHeight="1">
      <c r="A189" s="11" t="s">
        <v>195</v>
      </c>
      <c r="B189" s="12">
        <v>202303007</v>
      </c>
      <c r="C189" s="12" t="str">
        <f>"202303007007"</f>
        <v>202303007007</v>
      </c>
      <c r="D189" s="13">
        <v>0</v>
      </c>
      <c r="E189" s="14">
        <v>0</v>
      </c>
      <c r="F189" s="15" t="s">
        <v>12</v>
      </c>
    </row>
    <row r="190" spans="1:6" ht="17.100000000000001" customHeight="1">
      <c r="A190" s="11" t="s">
        <v>196</v>
      </c>
      <c r="B190" s="12">
        <v>202303007</v>
      </c>
      <c r="C190" s="12" t="str">
        <f>"202303007008"</f>
        <v>202303007008</v>
      </c>
      <c r="D190" s="13">
        <v>85.2</v>
      </c>
      <c r="E190" s="14">
        <v>108.5</v>
      </c>
      <c r="F190" s="15" t="s">
        <v>8</v>
      </c>
    </row>
    <row r="191" spans="1:6" ht="17.100000000000001" customHeight="1">
      <c r="A191" s="11" t="s">
        <v>197</v>
      </c>
      <c r="B191" s="12">
        <v>202303007</v>
      </c>
      <c r="C191" s="12" t="str">
        <f>"202303007009"</f>
        <v>202303007009</v>
      </c>
      <c r="D191" s="13">
        <v>81.2</v>
      </c>
      <c r="E191" s="14">
        <v>105</v>
      </c>
      <c r="F191" s="15" t="s">
        <v>8</v>
      </c>
    </row>
    <row r="192" spans="1:6" ht="17.100000000000001" customHeight="1">
      <c r="A192" s="11" t="s">
        <v>198</v>
      </c>
      <c r="B192" s="12">
        <v>202303007</v>
      </c>
      <c r="C192" s="12" t="str">
        <f>"202303007010"</f>
        <v>202303007010</v>
      </c>
      <c r="D192" s="13">
        <v>81.400000000000006</v>
      </c>
      <c r="E192" s="14">
        <v>104.5</v>
      </c>
      <c r="F192" s="15" t="s">
        <v>8</v>
      </c>
    </row>
    <row r="193" spans="1:6" ht="17.100000000000001" customHeight="1">
      <c r="A193" s="11" t="s">
        <v>199</v>
      </c>
      <c r="B193" s="12">
        <v>202303007</v>
      </c>
      <c r="C193" s="12" t="str">
        <f>"202303007011"</f>
        <v>202303007011</v>
      </c>
      <c r="D193" s="13">
        <v>96.3</v>
      </c>
      <c r="E193" s="14">
        <v>104.5</v>
      </c>
      <c r="F193" s="15" t="s">
        <v>8</v>
      </c>
    </row>
    <row r="194" spans="1:6" ht="17.100000000000001" customHeight="1">
      <c r="A194" s="11" t="s">
        <v>200</v>
      </c>
      <c r="B194" s="12">
        <v>202303007</v>
      </c>
      <c r="C194" s="12" t="str">
        <f>"202303007012"</f>
        <v>202303007012</v>
      </c>
      <c r="D194" s="13">
        <v>0</v>
      </c>
      <c r="E194" s="14">
        <v>0</v>
      </c>
      <c r="F194" s="15" t="s">
        <v>12</v>
      </c>
    </row>
    <row r="195" spans="1:6" ht="17.100000000000001" customHeight="1">
      <c r="A195" s="11" t="s">
        <v>201</v>
      </c>
      <c r="B195" s="12">
        <v>202303007</v>
      </c>
      <c r="C195" s="12" t="str">
        <f>"202303007013"</f>
        <v>202303007013</v>
      </c>
      <c r="D195" s="13">
        <v>84.1</v>
      </c>
      <c r="E195" s="14">
        <v>106.5</v>
      </c>
      <c r="F195" s="15" t="s">
        <v>8</v>
      </c>
    </row>
    <row r="196" spans="1:6" ht="17.100000000000001" customHeight="1">
      <c r="A196" s="11" t="s">
        <v>202</v>
      </c>
      <c r="B196" s="12">
        <v>202303007</v>
      </c>
      <c r="C196" s="12" t="str">
        <f>"202303007014"</f>
        <v>202303007014</v>
      </c>
      <c r="D196" s="13">
        <v>0</v>
      </c>
      <c r="E196" s="14">
        <v>0</v>
      </c>
      <c r="F196" s="15" t="s">
        <v>12</v>
      </c>
    </row>
    <row r="197" spans="1:6" ht="17.100000000000001" customHeight="1">
      <c r="A197" s="11" t="s">
        <v>203</v>
      </c>
      <c r="B197" s="12">
        <v>202303007</v>
      </c>
      <c r="C197" s="12" t="str">
        <f>"202303007015"</f>
        <v>202303007015</v>
      </c>
      <c r="D197" s="13">
        <v>113.7</v>
      </c>
      <c r="E197" s="14">
        <v>103</v>
      </c>
      <c r="F197" s="15" t="s">
        <v>8</v>
      </c>
    </row>
    <row r="198" spans="1:6" ht="17.100000000000001" customHeight="1">
      <c r="A198" s="11" t="s">
        <v>204</v>
      </c>
      <c r="B198" s="12">
        <v>202303007</v>
      </c>
      <c r="C198" s="12" t="str">
        <f>"202303007016"</f>
        <v>202303007016</v>
      </c>
      <c r="D198" s="13">
        <v>64.900000000000006</v>
      </c>
      <c r="E198" s="14">
        <v>88</v>
      </c>
      <c r="F198" s="15" t="s">
        <v>8</v>
      </c>
    </row>
    <row r="199" spans="1:6" ht="17.100000000000001" customHeight="1">
      <c r="A199" s="11" t="s">
        <v>205</v>
      </c>
      <c r="B199" s="12">
        <v>202303007</v>
      </c>
      <c r="C199" s="12" t="str">
        <f>"202303007017"</f>
        <v>202303007017</v>
      </c>
      <c r="D199" s="13">
        <v>84.8</v>
      </c>
      <c r="E199" s="14">
        <v>101.5</v>
      </c>
      <c r="F199" s="15" t="s">
        <v>8</v>
      </c>
    </row>
    <row r="200" spans="1:6" ht="17.100000000000001" customHeight="1">
      <c r="A200" s="11" t="s">
        <v>206</v>
      </c>
      <c r="B200" s="12">
        <v>202303007</v>
      </c>
      <c r="C200" s="12" t="str">
        <f>"202303007018"</f>
        <v>202303007018</v>
      </c>
      <c r="D200" s="13">
        <v>88.5</v>
      </c>
      <c r="E200" s="14">
        <v>109.5</v>
      </c>
      <c r="F200" s="15" t="s">
        <v>8</v>
      </c>
    </row>
    <row r="201" spans="1:6" ht="17.100000000000001" customHeight="1">
      <c r="A201" s="11" t="s">
        <v>207</v>
      </c>
      <c r="B201" s="12">
        <v>202303007</v>
      </c>
      <c r="C201" s="12" t="str">
        <f>"202303007019"</f>
        <v>202303007019</v>
      </c>
      <c r="D201" s="13">
        <v>93.9</v>
      </c>
      <c r="E201" s="14">
        <v>104</v>
      </c>
      <c r="F201" s="15" t="s">
        <v>8</v>
      </c>
    </row>
    <row r="202" spans="1:6" ht="17.100000000000001" customHeight="1">
      <c r="A202" s="11" t="s">
        <v>208</v>
      </c>
      <c r="B202" s="12">
        <v>202303007</v>
      </c>
      <c r="C202" s="12" t="str">
        <f>"202303007020"</f>
        <v>202303007020</v>
      </c>
      <c r="D202" s="13">
        <v>0</v>
      </c>
      <c r="E202" s="14">
        <v>0</v>
      </c>
      <c r="F202" s="15" t="s">
        <v>12</v>
      </c>
    </row>
    <row r="203" spans="1:6" ht="17.100000000000001" customHeight="1">
      <c r="A203" s="11" t="s">
        <v>209</v>
      </c>
      <c r="B203" s="12">
        <v>202303008</v>
      </c>
      <c r="C203" s="12" t="str">
        <f>"202303007021"</f>
        <v>202303007021</v>
      </c>
      <c r="D203" s="13">
        <v>0</v>
      </c>
      <c r="E203" s="14">
        <v>0</v>
      </c>
      <c r="F203" s="15" t="s">
        <v>12</v>
      </c>
    </row>
    <row r="204" spans="1:6" ht="17.100000000000001" customHeight="1">
      <c r="A204" s="11" t="s">
        <v>210</v>
      </c>
      <c r="B204" s="12">
        <v>202303008</v>
      </c>
      <c r="C204" s="12" t="str">
        <f>"202303007022"</f>
        <v>202303007022</v>
      </c>
      <c r="D204" s="13">
        <v>63.6</v>
      </c>
      <c r="E204" s="14">
        <v>95</v>
      </c>
      <c r="F204" s="15" t="s">
        <v>8</v>
      </c>
    </row>
    <row r="205" spans="1:6" ht="17.100000000000001" customHeight="1">
      <c r="A205" s="11" t="s">
        <v>211</v>
      </c>
      <c r="B205" s="12">
        <v>202303008</v>
      </c>
      <c r="C205" s="12" t="str">
        <f>"202303007023"</f>
        <v>202303007023</v>
      </c>
      <c r="D205" s="13">
        <v>85.5</v>
      </c>
      <c r="E205" s="14">
        <v>99</v>
      </c>
      <c r="F205" s="15" t="s">
        <v>8</v>
      </c>
    </row>
    <row r="206" spans="1:6" ht="17.100000000000001" customHeight="1">
      <c r="A206" s="11" t="s">
        <v>212</v>
      </c>
      <c r="B206" s="12">
        <v>202303008</v>
      </c>
      <c r="C206" s="12" t="str">
        <f>"202303007024"</f>
        <v>202303007024</v>
      </c>
      <c r="D206" s="13">
        <v>70.7</v>
      </c>
      <c r="E206" s="14">
        <v>104</v>
      </c>
      <c r="F206" s="15" t="s">
        <v>8</v>
      </c>
    </row>
    <row r="207" spans="1:6" ht="17.100000000000001" customHeight="1">
      <c r="A207" s="11" t="s">
        <v>213</v>
      </c>
      <c r="B207" s="12">
        <v>202303008</v>
      </c>
      <c r="C207" s="12" t="str">
        <f>"202303007025"</f>
        <v>202303007025</v>
      </c>
      <c r="D207" s="13">
        <v>77.7</v>
      </c>
      <c r="E207" s="14">
        <v>95.5</v>
      </c>
      <c r="F207" s="15" t="s">
        <v>8</v>
      </c>
    </row>
    <row r="208" spans="1:6" ht="17.100000000000001" customHeight="1">
      <c r="A208" s="11" t="s">
        <v>214</v>
      </c>
      <c r="B208" s="12">
        <v>202303008</v>
      </c>
      <c r="C208" s="12" t="str">
        <f>"202303007026"</f>
        <v>202303007026</v>
      </c>
      <c r="D208" s="13">
        <v>72.599999999999994</v>
      </c>
      <c r="E208" s="14">
        <v>98</v>
      </c>
      <c r="F208" s="15" t="s">
        <v>8</v>
      </c>
    </row>
    <row r="209" spans="1:6" ht="17.100000000000001" customHeight="1">
      <c r="A209" s="11" t="s">
        <v>215</v>
      </c>
      <c r="B209" s="12">
        <v>202303008</v>
      </c>
      <c r="C209" s="12" t="str">
        <f>"202303007027"</f>
        <v>202303007027</v>
      </c>
      <c r="D209" s="13">
        <v>71.599999999999994</v>
      </c>
      <c r="E209" s="14">
        <v>107.5</v>
      </c>
      <c r="F209" s="15" t="s">
        <v>8</v>
      </c>
    </row>
    <row r="210" spans="1:6" ht="17.100000000000001" customHeight="1">
      <c r="A210" s="11" t="s">
        <v>216</v>
      </c>
      <c r="B210" s="12">
        <v>202303008</v>
      </c>
      <c r="C210" s="12" t="str">
        <f>"202303007028"</f>
        <v>202303007028</v>
      </c>
      <c r="D210" s="13">
        <v>0</v>
      </c>
      <c r="E210" s="14">
        <v>0</v>
      </c>
      <c r="F210" s="15" t="s">
        <v>12</v>
      </c>
    </row>
    <row r="211" spans="1:6" ht="17.100000000000001" customHeight="1">
      <c r="A211" s="11" t="s">
        <v>217</v>
      </c>
      <c r="B211" s="12">
        <v>202303008</v>
      </c>
      <c r="C211" s="12" t="str">
        <f>"202303007029"</f>
        <v>202303007029</v>
      </c>
      <c r="D211" s="13">
        <v>0</v>
      </c>
      <c r="E211" s="14">
        <v>0</v>
      </c>
      <c r="F211" s="15" t="s">
        <v>12</v>
      </c>
    </row>
    <row r="212" spans="1:6" ht="17.100000000000001" customHeight="1">
      <c r="A212" s="11" t="s">
        <v>218</v>
      </c>
      <c r="B212" s="12">
        <v>202303008</v>
      </c>
      <c r="C212" s="12" t="str">
        <f>"202303007030"</f>
        <v>202303007030</v>
      </c>
      <c r="D212" s="13">
        <v>0</v>
      </c>
      <c r="E212" s="14">
        <v>0</v>
      </c>
      <c r="F212" s="15" t="s">
        <v>12</v>
      </c>
    </row>
    <row r="213" spans="1:6" ht="17.100000000000001" customHeight="1">
      <c r="A213" s="11" t="s">
        <v>219</v>
      </c>
      <c r="B213" s="12">
        <v>202303008</v>
      </c>
      <c r="C213" s="12" t="str">
        <f>"202303008001"</f>
        <v>202303008001</v>
      </c>
      <c r="D213" s="13">
        <v>0</v>
      </c>
      <c r="E213" s="14">
        <v>0</v>
      </c>
      <c r="F213" s="15" t="s">
        <v>12</v>
      </c>
    </row>
    <row r="214" spans="1:6" ht="17.100000000000001" customHeight="1">
      <c r="A214" s="11" t="s">
        <v>220</v>
      </c>
      <c r="B214" s="12">
        <v>202303009</v>
      </c>
      <c r="C214" s="12" t="str">
        <f>"202303008002"</f>
        <v>202303008002</v>
      </c>
      <c r="D214" s="13">
        <v>96.5</v>
      </c>
      <c r="E214" s="14">
        <v>93</v>
      </c>
      <c r="F214" s="15" t="s">
        <v>8</v>
      </c>
    </row>
    <row r="215" spans="1:6" ht="17.100000000000001" customHeight="1">
      <c r="A215" s="11" t="s">
        <v>221</v>
      </c>
      <c r="B215" s="12">
        <v>202303009</v>
      </c>
      <c r="C215" s="12" t="str">
        <f>"202303008003"</f>
        <v>202303008003</v>
      </c>
      <c r="D215" s="13">
        <v>112.5</v>
      </c>
      <c r="E215" s="14">
        <v>104</v>
      </c>
      <c r="F215" s="15" t="s">
        <v>8</v>
      </c>
    </row>
    <row r="216" spans="1:6" ht="17.100000000000001" customHeight="1">
      <c r="A216" s="11" t="s">
        <v>222</v>
      </c>
      <c r="B216" s="12">
        <v>202303009</v>
      </c>
      <c r="C216" s="12" t="str">
        <f>"202303008004"</f>
        <v>202303008004</v>
      </c>
      <c r="D216" s="13">
        <v>0</v>
      </c>
      <c r="E216" s="14">
        <v>0</v>
      </c>
      <c r="F216" s="15" t="s">
        <v>12</v>
      </c>
    </row>
    <row r="217" spans="1:6" ht="17.100000000000001" customHeight="1">
      <c r="A217" s="11" t="s">
        <v>223</v>
      </c>
      <c r="B217" s="12">
        <v>202303009</v>
      </c>
      <c r="C217" s="12" t="str">
        <f>"202303008005"</f>
        <v>202303008005</v>
      </c>
      <c r="D217" s="13">
        <v>91.9</v>
      </c>
      <c r="E217" s="14">
        <v>103.5</v>
      </c>
      <c r="F217" s="15" t="s">
        <v>8</v>
      </c>
    </row>
    <row r="218" spans="1:6" ht="17.100000000000001" customHeight="1">
      <c r="A218" s="11" t="s">
        <v>224</v>
      </c>
      <c r="B218" s="12">
        <v>202303009</v>
      </c>
      <c r="C218" s="12" t="str">
        <f>"202303008006"</f>
        <v>202303008006</v>
      </c>
      <c r="D218" s="13">
        <v>79.5</v>
      </c>
      <c r="E218" s="14">
        <v>102.5</v>
      </c>
      <c r="F218" s="15" t="s">
        <v>8</v>
      </c>
    </row>
    <row r="219" spans="1:6" ht="17.100000000000001" customHeight="1">
      <c r="A219" s="11" t="s">
        <v>225</v>
      </c>
      <c r="B219" s="12">
        <v>202303009</v>
      </c>
      <c r="C219" s="12" t="str">
        <f>"202303008007"</f>
        <v>202303008007</v>
      </c>
      <c r="D219" s="13">
        <v>0</v>
      </c>
      <c r="E219" s="14">
        <v>0</v>
      </c>
      <c r="F219" s="15" t="s">
        <v>12</v>
      </c>
    </row>
    <row r="220" spans="1:6" ht="17.100000000000001" customHeight="1">
      <c r="A220" s="11" t="s">
        <v>226</v>
      </c>
      <c r="B220" s="12">
        <v>202303009</v>
      </c>
      <c r="C220" s="12" t="str">
        <f>"202303008008"</f>
        <v>202303008008</v>
      </c>
      <c r="D220" s="13">
        <v>82</v>
      </c>
      <c r="E220" s="14">
        <v>110</v>
      </c>
      <c r="F220" s="15" t="s">
        <v>8</v>
      </c>
    </row>
    <row r="221" spans="1:6" ht="17.100000000000001" customHeight="1">
      <c r="A221" s="11" t="s">
        <v>227</v>
      </c>
      <c r="B221" s="12">
        <v>202303009</v>
      </c>
      <c r="C221" s="12" t="str">
        <f>"202303008009"</f>
        <v>202303008009</v>
      </c>
      <c r="D221" s="13">
        <v>77.599999999999994</v>
      </c>
      <c r="E221" s="14">
        <v>108.5</v>
      </c>
      <c r="F221" s="15" t="s">
        <v>8</v>
      </c>
    </row>
    <row r="222" spans="1:6" ht="17.100000000000001" customHeight="1">
      <c r="A222" s="11" t="s">
        <v>228</v>
      </c>
      <c r="B222" s="12">
        <v>202303009</v>
      </c>
      <c r="C222" s="12" t="str">
        <f>"202303008010"</f>
        <v>202303008010</v>
      </c>
      <c r="D222" s="13">
        <v>80.7</v>
      </c>
      <c r="E222" s="14">
        <v>105</v>
      </c>
      <c r="F222" s="15" t="s">
        <v>8</v>
      </c>
    </row>
    <row r="223" spans="1:6" ht="17.100000000000001" customHeight="1">
      <c r="A223" s="11" t="s">
        <v>229</v>
      </c>
      <c r="B223" s="12">
        <v>202303009</v>
      </c>
      <c r="C223" s="12" t="str">
        <f>"202303008011"</f>
        <v>202303008011</v>
      </c>
      <c r="D223" s="13">
        <v>71.7</v>
      </c>
      <c r="E223" s="14">
        <v>107.5</v>
      </c>
      <c r="F223" s="15" t="s">
        <v>8</v>
      </c>
    </row>
    <row r="224" spans="1:6" ht="17.100000000000001" customHeight="1">
      <c r="A224" s="11" t="s">
        <v>230</v>
      </c>
      <c r="B224" s="12">
        <v>202303009</v>
      </c>
      <c r="C224" s="12" t="str">
        <f>"202303008012"</f>
        <v>202303008012</v>
      </c>
      <c r="D224" s="13">
        <v>74.5</v>
      </c>
      <c r="E224" s="14">
        <v>109</v>
      </c>
      <c r="F224" s="15" t="s">
        <v>8</v>
      </c>
    </row>
    <row r="225" spans="1:6" ht="17.100000000000001" customHeight="1">
      <c r="A225" s="11" t="s">
        <v>231</v>
      </c>
      <c r="B225" s="12">
        <v>202303009</v>
      </c>
      <c r="C225" s="12" t="str">
        <f>"202303008013"</f>
        <v>202303008013</v>
      </c>
      <c r="D225" s="13">
        <v>77.400000000000006</v>
      </c>
      <c r="E225" s="14">
        <v>104</v>
      </c>
      <c r="F225" s="15" t="s">
        <v>8</v>
      </c>
    </row>
    <row r="226" spans="1:6" ht="17.100000000000001" customHeight="1">
      <c r="A226" s="11" t="s">
        <v>232</v>
      </c>
      <c r="B226" s="12">
        <v>202303009</v>
      </c>
      <c r="C226" s="12" t="str">
        <f>"202303008014"</f>
        <v>202303008014</v>
      </c>
      <c r="D226" s="13">
        <v>78.8</v>
      </c>
      <c r="E226" s="14">
        <v>97</v>
      </c>
      <c r="F226" s="15" t="s">
        <v>8</v>
      </c>
    </row>
    <row r="227" spans="1:6" ht="17.100000000000001" customHeight="1">
      <c r="A227" s="11" t="s">
        <v>233</v>
      </c>
      <c r="B227" s="12">
        <v>202303010</v>
      </c>
      <c r="C227" s="12" t="str">
        <f>"202303008015"</f>
        <v>202303008015</v>
      </c>
      <c r="D227" s="13">
        <v>81.2</v>
      </c>
      <c r="E227" s="14">
        <v>100</v>
      </c>
      <c r="F227" s="15" t="s">
        <v>8</v>
      </c>
    </row>
    <row r="228" spans="1:6" ht="17.100000000000001" customHeight="1">
      <c r="A228" s="11" t="s">
        <v>234</v>
      </c>
      <c r="B228" s="12">
        <v>202303010</v>
      </c>
      <c r="C228" s="12" t="str">
        <f>"202303008016"</f>
        <v>202303008016</v>
      </c>
      <c r="D228" s="13">
        <v>93.1</v>
      </c>
      <c r="E228" s="14">
        <v>84</v>
      </c>
      <c r="F228" s="15" t="s">
        <v>8</v>
      </c>
    </row>
    <row r="229" spans="1:6" ht="17.100000000000001" customHeight="1">
      <c r="A229" s="11" t="s">
        <v>235</v>
      </c>
      <c r="B229" s="12">
        <v>202303010</v>
      </c>
      <c r="C229" s="12" t="str">
        <f>"202303008017"</f>
        <v>202303008017</v>
      </c>
      <c r="D229" s="13">
        <v>0</v>
      </c>
      <c r="E229" s="14">
        <v>0</v>
      </c>
      <c r="F229" s="15" t="s">
        <v>12</v>
      </c>
    </row>
    <row r="230" spans="1:6" ht="17.100000000000001" customHeight="1">
      <c r="A230" s="11" t="s">
        <v>236</v>
      </c>
      <c r="B230" s="12">
        <v>202303010</v>
      </c>
      <c r="C230" s="12" t="str">
        <f>"202303008018"</f>
        <v>202303008018</v>
      </c>
      <c r="D230" s="13">
        <v>62.4</v>
      </c>
      <c r="E230" s="14">
        <v>103</v>
      </c>
      <c r="F230" s="15" t="s">
        <v>8</v>
      </c>
    </row>
    <row r="231" spans="1:6" ht="17.100000000000001" customHeight="1">
      <c r="A231" s="11" t="s">
        <v>237</v>
      </c>
      <c r="B231" s="12">
        <v>202303010</v>
      </c>
      <c r="C231" s="12" t="str">
        <f>"202303008019"</f>
        <v>202303008019</v>
      </c>
      <c r="D231" s="13">
        <v>88.3</v>
      </c>
      <c r="E231" s="14">
        <v>105</v>
      </c>
      <c r="F231" s="15" t="s">
        <v>8</v>
      </c>
    </row>
    <row r="232" spans="1:6" ht="17.100000000000001" customHeight="1">
      <c r="A232" s="11" t="s">
        <v>238</v>
      </c>
      <c r="B232" s="12">
        <v>202303010</v>
      </c>
      <c r="C232" s="12" t="str">
        <f>"202303008020"</f>
        <v>202303008020</v>
      </c>
      <c r="D232" s="13">
        <v>0</v>
      </c>
      <c r="E232" s="14">
        <v>0</v>
      </c>
      <c r="F232" s="15" t="s">
        <v>12</v>
      </c>
    </row>
    <row r="233" spans="1:6" ht="17.100000000000001" customHeight="1">
      <c r="A233" s="11" t="s">
        <v>239</v>
      </c>
      <c r="B233" s="12">
        <v>202303010</v>
      </c>
      <c r="C233" s="12" t="str">
        <f>"202303008021"</f>
        <v>202303008021</v>
      </c>
      <c r="D233" s="13">
        <v>62.9</v>
      </c>
      <c r="E233" s="14">
        <v>67</v>
      </c>
      <c r="F233" s="15" t="s">
        <v>8</v>
      </c>
    </row>
    <row r="234" spans="1:6" ht="17.100000000000001" customHeight="1">
      <c r="A234" s="11" t="s">
        <v>240</v>
      </c>
      <c r="B234" s="12">
        <v>202303010</v>
      </c>
      <c r="C234" s="12" t="str">
        <f>"202303008022"</f>
        <v>202303008022</v>
      </c>
      <c r="D234" s="13">
        <v>58.8</v>
      </c>
      <c r="E234" s="14">
        <v>85.5</v>
      </c>
      <c r="F234" s="15" t="s">
        <v>8</v>
      </c>
    </row>
    <row r="235" spans="1:6" ht="17.100000000000001" customHeight="1">
      <c r="A235" s="11" t="s">
        <v>241</v>
      </c>
      <c r="B235" s="12">
        <v>202303010</v>
      </c>
      <c r="C235" s="12" t="str">
        <f>"202303008023"</f>
        <v>202303008023</v>
      </c>
      <c r="D235" s="13">
        <v>72.900000000000006</v>
      </c>
      <c r="E235" s="14">
        <v>96.5</v>
      </c>
      <c r="F235" s="15" t="s">
        <v>8</v>
      </c>
    </row>
    <row r="236" spans="1:6" ht="17.100000000000001" customHeight="1">
      <c r="A236" s="11" t="s">
        <v>242</v>
      </c>
      <c r="B236" s="12">
        <v>202303010</v>
      </c>
      <c r="C236" s="12" t="str">
        <f>"202303008024"</f>
        <v>202303008024</v>
      </c>
      <c r="D236" s="13">
        <v>0</v>
      </c>
      <c r="E236" s="14">
        <v>0</v>
      </c>
      <c r="F236" s="15" t="s">
        <v>12</v>
      </c>
    </row>
    <row r="237" spans="1:6" ht="17.100000000000001" customHeight="1">
      <c r="A237" s="11" t="s">
        <v>243</v>
      </c>
      <c r="B237" s="12">
        <v>202303010</v>
      </c>
      <c r="C237" s="12" t="str">
        <f>"202303008025"</f>
        <v>202303008025</v>
      </c>
      <c r="D237" s="13">
        <v>64.5</v>
      </c>
      <c r="E237" s="14">
        <v>77.5</v>
      </c>
      <c r="F237" s="15" t="s">
        <v>8</v>
      </c>
    </row>
    <row r="238" spans="1:6" ht="17.100000000000001" customHeight="1">
      <c r="A238" s="11" t="s">
        <v>244</v>
      </c>
      <c r="B238" s="12">
        <v>202303010</v>
      </c>
      <c r="C238" s="12" t="str">
        <f>"202303008026"</f>
        <v>202303008026</v>
      </c>
      <c r="D238" s="13">
        <v>75.3</v>
      </c>
      <c r="E238" s="14">
        <v>91</v>
      </c>
      <c r="F238" s="15" t="s">
        <v>8</v>
      </c>
    </row>
    <row r="239" spans="1:6" ht="17.100000000000001" customHeight="1">
      <c r="A239" s="11" t="s">
        <v>245</v>
      </c>
      <c r="B239" s="12">
        <v>202303010</v>
      </c>
      <c r="C239" s="12" t="str">
        <f>"202303008027"</f>
        <v>202303008027</v>
      </c>
      <c r="D239" s="13">
        <v>77.2</v>
      </c>
      <c r="E239" s="14">
        <v>92</v>
      </c>
      <c r="F239" s="15" t="s">
        <v>8</v>
      </c>
    </row>
    <row r="240" spans="1:6" ht="17.100000000000001" customHeight="1">
      <c r="A240" s="11" t="s">
        <v>246</v>
      </c>
      <c r="B240" s="12">
        <v>202303010</v>
      </c>
      <c r="C240" s="12" t="str">
        <f>"202303008028"</f>
        <v>202303008028</v>
      </c>
      <c r="D240" s="13">
        <v>66.099999999999994</v>
      </c>
      <c r="E240" s="14">
        <v>80.5</v>
      </c>
      <c r="F240" s="15" t="s">
        <v>8</v>
      </c>
    </row>
    <row r="241" spans="1:6" ht="17.100000000000001" customHeight="1">
      <c r="A241" s="11" t="s">
        <v>247</v>
      </c>
      <c r="B241" s="12">
        <v>202303010</v>
      </c>
      <c r="C241" s="12" t="str">
        <f>"202303008029"</f>
        <v>202303008029</v>
      </c>
      <c r="D241" s="13">
        <v>0</v>
      </c>
      <c r="E241" s="14">
        <v>0</v>
      </c>
      <c r="F241" s="15" t="s">
        <v>12</v>
      </c>
    </row>
    <row r="242" spans="1:6" ht="17.100000000000001" customHeight="1">
      <c r="A242" s="11" t="s">
        <v>248</v>
      </c>
      <c r="B242" s="12">
        <v>202303010</v>
      </c>
      <c r="C242" s="12" t="str">
        <f>"202303008030"</f>
        <v>202303008030</v>
      </c>
      <c r="D242" s="13">
        <v>74.599999999999994</v>
      </c>
      <c r="E242" s="14">
        <v>105.5</v>
      </c>
      <c r="F242" s="15" t="s">
        <v>8</v>
      </c>
    </row>
    <row r="243" spans="1:6" ht="17.100000000000001" customHeight="1">
      <c r="A243" s="11" t="s">
        <v>249</v>
      </c>
      <c r="B243" s="12">
        <v>202303010</v>
      </c>
      <c r="C243" s="12" t="str">
        <f>"202303009001"</f>
        <v>202303009001</v>
      </c>
      <c r="D243" s="13">
        <v>96.1</v>
      </c>
      <c r="E243" s="14">
        <v>107.5</v>
      </c>
      <c r="F243" s="15" t="s">
        <v>8</v>
      </c>
    </row>
    <row r="244" spans="1:6" ht="17.100000000000001" customHeight="1">
      <c r="A244" s="11" t="s">
        <v>250</v>
      </c>
      <c r="B244" s="12">
        <v>202303010</v>
      </c>
      <c r="C244" s="12" t="str">
        <f>"202303009002"</f>
        <v>202303009002</v>
      </c>
      <c r="D244" s="13">
        <v>81.8</v>
      </c>
      <c r="E244" s="14">
        <v>99.5</v>
      </c>
      <c r="F244" s="15" t="s">
        <v>8</v>
      </c>
    </row>
    <row r="245" spans="1:6" ht="17.100000000000001" customHeight="1">
      <c r="A245" s="11" t="s">
        <v>251</v>
      </c>
      <c r="B245" s="12">
        <v>202303010</v>
      </c>
      <c r="C245" s="12" t="str">
        <f>"202303009003"</f>
        <v>202303009003</v>
      </c>
      <c r="D245" s="13">
        <v>83.6</v>
      </c>
      <c r="E245" s="14">
        <v>107</v>
      </c>
      <c r="F245" s="15" t="s">
        <v>8</v>
      </c>
    </row>
    <row r="246" spans="1:6" ht="17.100000000000001" customHeight="1">
      <c r="A246" s="11" t="s">
        <v>252</v>
      </c>
      <c r="B246" s="12">
        <v>202303010</v>
      </c>
      <c r="C246" s="12" t="str">
        <f>"202303009004"</f>
        <v>202303009004</v>
      </c>
      <c r="D246" s="13">
        <v>88.2</v>
      </c>
      <c r="E246" s="14">
        <v>100.5</v>
      </c>
      <c r="F246" s="15" t="s">
        <v>8</v>
      </c>
    </row>
    <row r="247" spans="1:6" ht="17.100000000000001" customHeight="1">
      <c r="A247" s="11" t="s">
        <v>253</v>
      </c>
      <c r="B247" s="12">
        <v>202303010</v>
      </c>
      <c r="C247" s="12" t="str">
        <f>"202303009005"</f>
        <v>202303009005</v>
      </c>
      <c r="D247" s="13">
        <v>108.4</v>
      </c>
      <c r="E247" s="14">
        <v>90</v>
      </c>
      <c r="F247" s="15" t="s">
        <v>8</v>
      </c>
    </row>
    <row r="248" spans="1:6" ht="17.100000000000001" customHeight="1">
      <c r="A248" s="11" t="s">
        <v>254</v>
      </c>
      <c r="B248" s="12">
        <v>202303011</v>
      </c>
      <c r="C248" s="12" t="str">
        <f>"202303009006"</f>
        <v>202303009006</v>
      </c>
      <c r="D248" s="13">
        <v>87.6</v>
      </c>
      <c r="E248" s="14">
        <v>97.5</v>
      </c>
      <c r="F248" s="15" t="s">
        <v>8</v>
      </c>
    </row>
    <row r="249" spans="1:6" ht="17.100000000000001" customHeight="1">
      <c r="A249" s="11" t="s">
        <v>255</v>
      </c>
      <c r="B249" s="12">
        <v>202303011</v>
      </c>
      <c r="C249" s="12" t="str">
        <f>"202303009007"</f>
        <v>202303009007</v>
      </c>
      <c r="D249" s="13">
        <v>102.2</v>
      </c>
      <c r="E249" s="14">
        <v>97.5</v>
      </c>
      <c r="F249" s="15" t="s">
        <v>8</v>
      </c>
    </row>
    <row r="250" spans="1:6" ht="17.100000000000001" customHeight="1">
      <c r="A250" s="11" t="s">
        <v>256</v>
      </c>
      <c r="B250" s="12">
        <v>202303011</v>
      </c>
      <c r="C250" s="12" t="str">
        <f>"202303009008"</f>
        <v>202303009008</v>
      </c>
      <c r="D250" s="13">
        <v>0</v>
      </c>
      <c r="E250" s="14">
        <v>0</v>
      </c>
      <c r="F250" s="15" t="s">
        <v>12</v>
      </c>
    </row>
    <row r="251" spans="1:6" ht="17.100000000000001" customHeight="1">
      <c r="A251" s="11" t="s">
        <v>257</v>
      </c>
      <c r="B251" s="12">
        <v>202303011</v>
      </c>
      <c r="C251" s="12" t="str">
        <f>"202303009009"</f>
        <v>202303009009</v>
      </c>
      <c r="D251" s="13">
        <v>100.9</v>
      </c>
      <c r="E251" s="14">
        <v>101</v>
      </c>
      <c r="F251" s="15" t="s">
        <v>8</v>
      </c>
    </row>
    <row r="252" spans="1:6" ht="17.100000000000001" customHeight="1">
      <c r="A252" s="11" t="s">
        <v>258</v>
      </c>
      <c r="B252" s="12">
        <v>202303011</v>
      </c>
      <c r="C252" s="12" t="str">
        <f>"202303009010"</f>
        <v>202303009010</v>
      </c>
      <c r="D252" s="13">
        <v>77.099999999999994</v>
      </c>
      <c r="E252" s="14">
        <v>95.5</v>
      </c>
      <c r="F252" s="15" t="s">
        <v>8</v>
      </c>
    </row>
    <row r="253" spans="1:6" ht="17.100000000000001" customHeight="1">
      <c r="A253" s="11" t="s">
        <v>259</v>
      </c>
      <c r="B253" s="12">
        <v>202303011</v>
      </c>
      <c r="C253" s="12" t="str">
        <f>"202303009011"</f>
        <v>202303009011</v>
      </c>
      <c r="D253" s="13">
        <v>0</v>
      </c>
      <c r="E253" s="14">
        <v>0</v>
      </c>
      <c r="F253" s="15" t="s">
        <v>12</v>
      </c>
    </row>
    <row r="254" spans="1:6" ht="17.100000000000001" customHeight="1">
      <c r="A254" s="11" t="s">
        <v>260</v>
      </c>
      <c r="B254" s="12">
        <v>202303011</v>
      </c>
      <c r="C254" s="12" t="str">
        <f>"202303009012"</f>
        <v>202303009012</v>
      </c>
      <c r="D254" s="13">
        <v>85.7</v>
      </c>
      <c r="E254" s="14">
        <v>78</v>
      </c>
      <c r="F254" s="15" t="s">
        <v>8</v>
      </c>
    </row>
    <row r="255" spans="1:6" ht="17.100000000000001" customHeight="1">
      <c r="A255" s="11" t="s">
        <v>261</v>
      </c>
      <c r="B255" s="12">
        <v>202303011</v>
      </c>
      <c r="C255" s="12" t="str">
        <f>"202303009013"</f>
        <v>202303009013</v>
      </c>
      <c r="D255" s="13">
        <v>77.5</v>
      </c>
      <c r="E255" s="14">
        <v>96.5</v>
      </c>
      <c r="F255" s="15" t="s">
        <v>8</v>
      </c>
    </row>
    <row r="256" spans="1:6" ht="17.100000000000001" customHeight="1">
      <c r="A256" s="11" t="s">
        <v>262</v>
      </c>
      <c r="B256" s="12">
        <v>202303011</v>
      </c>
      <c r="C256" s="12" t="str">
        <f>"202303009014"</f>
        <v>202303009014</v>
      </c>
      <c r="D256" s="13">
        <v>80.7</v>
      </c>
      <c r="E256" s="14">
        <v>106.5</v>
      </c>
      <c r="F256" s="15" t="s">
        <v>8</v>
      </c>
    </row>
    <row r="257" spans="1:6" ht="17.100000000000001" customHeight="1">
      <c r="A257" s="11" t="s">
        <v>263</v>
      </c>
      <c r="B257" s="12">
        <v>202303011</v>
      </c>
      <c r="C257" s="12" t="str">
        <f>"202303009015"</f>
        <v>202303009015</v>
      </c>
      <c r="D257" s="13">
        <v>93.2</v>
      </c>
      <c r="E257" s="14">
        <v>90</v>
      </c>
      <c r="F257" s="15" t="s">
        <v>8</v>
      </c>
    </row>
    <row r="258" spans="1:6" ht="17.100000000000001" customHeight="1">
      <c r="A258" s="11" t="s">
        <v>264</v>
      </c>
      <c r="B258" s="12">
        <v>202303011</v>
      </c>
      <c r="C258" s="12" t="str">
        <f>"202303009016"</f>
        <v>202303009016</v>
      </c>
      <c r="D258" s="13">
        <v>0</v>
      </c>
      <c r="E258" s="14">
        <v>0</v>
      </c>
      <c r="F258" s="15" t="s">
        <v>12</v>
      </c>
    </row>
    <row r="259" spans="1:6" ht="17.100000000000001" customHeight="1">
      <c r="A259" s="11" t="s">
        <v>265</v>
      </c>
      <c r="B259" s="12">
        <v>202303011</v>
      </c>
      <c r="C259" s="12" t="str">
        <f>"202303009017"</f>
        <v>202303009017</v>
      </c>
      <c r="D259" s="13">
        <v>74.2</v>
      </c>
      <c r="E259" s="14">
        <v>98.5</v>
      </c>
      <c r="F259" s="15" t="s">
        <v>8</v>
      </c>
    </row>
    <row r="260" spans="1:6" ht="17.100000000000001" customHeight="1">
      <c r="A260" s="11" t="s">
        <v>266</v>
      </c>
      <c r="B260" s="12">
        <v>202303011</v>
      </c>
      <c r="C260" s="12" t="str">
        <f>"202303009018"</f>
        <v>202303009018</v>
      </c>
      <c r="D260" s="13">
        <v>64.599999999999994</v>
      </c>
      <c r="E260" s="14">
        <v>94.5</v>
      </c>
      <c r="F260" s="15" t="s">
        <v>8</v>
      </c>
    </row>
    <row r="261" spans="1:6" ht="17.100000000000001" customHeight="1">
      <c r="A261" s="11" t="s">
        <v>267</v>
      </c>
      <c r="B261" s="12">
        <v>202303011</v>
      </c>
      <c r="C261" s="12" t="str">
        <f>"202303009019"</f>
        <v>202303009019</v>
      </c>
      <c r="D261" s="13">
        <v>89.8</v>
      </c>
      <c r="E261" s="14">
        <v>92</v>
      </c>
      <c r="F261" s="15" t="s">
        <v>8</v>
      </c>
    </row>
    <row r="262" spans="1:6" ht="17.100000000000001" customHeight="1">
      <c r="A262" s="11" t="s">
        <v>268</v>
      </c>
      <c r="B262" s="12">
        <v>202303011</v>
      </c>
      <c r="C262" s="12" t="str">
        <f>"202303009020"</f>
        <v>202303009020</v>
      </c>
      <c r="D262" s="13">
        <v>77.5</v>
      </c>
      <c r="E262" s="14">
        <v>103.5</v>
      </c>
      <c r="F262" s="15" t="s">
        <v>8</v>
      </c>
    </row>
    <row r="263" spans="1:6" ht="17.100000000000001" customHeight="1">
      <c r="A263" s="11" t="s">
        <v>269</v>
      </c>
      <c r="B263" s="12">
        <v>202303011</v>
      </c>
      <c r="C263" s="12" t="str">
        <f>"202303009021"</f>
        <v>202303009021</v>
      </c>
      <c r="D263" s="13">
        <v>84.4</v>
      </c>
      <c r="E263" s="14">
        <v>102</v>
      </c>
      <c r="F263" s="15" t="s">
        <v>8</v>
      </c>
    </row>
    <row r="264" spans="1:6" ht="17.100000000000001" customHeight="1">
      <c r="A264" s="11" t="s">
        <v>270</v>
      </c>
      <c r="B264" s="12">
        <v>202303011</v>
      </c>
      <c r="C264" s="12" t="str">
        <f>"202303009022"</f>
        <v>202303009022</v>
      </c>
      <c r="D264" s="13">
        <v>82.2</v>
      </c>
      <c r="E264" s="14">
        <v>107.5</v>
      </c>
      <c r="F264" s="15" t="s">
        <v>8</v>
      </c>
    </row>
    <row r="265" spans="1:6" ht="17.100000000000001" customHeight="1">
      <c r="A265" s="11" t="s">
        <v>271</v>
      </c>
      <c r="B265" s="12">
        <v>202303011</v>
      </c>
      <c r="C265" s="12" t="str">
        <f>"202303009023"</f>
        <v>202303009023</v>
      </c>
      <c r="D265" s="13">
        <v>80</v>
      </c>
      <c r="E265" s="14">
        <v>99</v>
      </c>
      <c r="F265" s="15" t="s">
        <v>8</v>
      </c>
    </row>
    <row r="266" spans="1:6" ht="17.100000000000001" customHeight="1">
      <c r="A266" s="11" t="s">
        <v>272</v>
      </c>
      <c r="B266" s="12">
        <v>202303011</v>
      </c>
      <c r="C266" s="12" t="str">
        <f>"202303009024"</f>
        <v>202303009024</v>
      </c>
      <c r="D266" s="13">
        <v>92.4</v>
      </c>
      <c r="E266" s="14">
        <v>99.5</v>
      </c>
      <c r="F266" s="15" t="s">
        <v>8</v>
      </c>
    </row>
    <row r="267" spans="1:6" ht="17.100000000000001" customHeight="1">
      <c r="A267" s="11" t="s">
        <v>273</v>
      </c>
      <c r="B267" s="12">
        <v>202303011</v>
      </c>
      <c r="C267" s="12" t="str">
        <f>"202303009025"</f>
        <v>202303009025</v>
      </c>
      <c r="D267" s="13">
        <v>88.1</v>
      </c>
      <c r="E267" s="14">
        <v>102.5</v>
      </c>
      <c r="F267" s="15" t="s">
        <v>8</v>
      </c>
    </row>
    <row r="268" spans="1:6" ht="17.100000000000001" customHeight="1">
      <c r="A268" s="11" t="s">
        <v>274</v>
      </c>
      <c r="B268" s="12">
        <v>202303011</v>
      </c>
      <c r="C268" s="12" t="str">
        <f>"202303009026"</f>
        <v>202303009026</v>
      </c>
      <c r="D268" s="13">
        <v>0</v>
      </c>
      <c r="E268" s="14">
        <v>0</v>
      </c>
      <c r="F268" s="15" t="s">
        <v>12</v>
      </c>
    </row>
    <row r="269" spans="1:6" ht="17.100000000000001" customHeight="1">
      <c r="A269" s="11" t="s">
        <v>275</v>
      </c>
      <c r="B269" s="12">
        <v>202303011</v>
      </c>
      <c r="C269" s="12" t="str">
        <f>"202303009027"</f>
        <v>202303009027</v>
      </c>
      <c r="D269" s="13">
        <v>0</v>
      </c>
      <c r="E269" s="14">
        <v>0</v>
      </c>
      <c r="F269" s="15" t="s">
        <v>12</v>
      </c>
    </row>
    <row r="270" spans="1:6" ht="17.100000000000001" customHeight="1">
      <c r="A270" s="11" t="s">
        <v>276</v>
      </c>
      <c r="B270" s="12">
        <v>202303011</v>
      </c>
      <c r="C270" s="12" t="str">
        <f>"202303009028"</f>
        <v>202303009028</v>
      </c>
      <c r="D270" s="13">
        <v>96.6</v>
      </c>
      <c r="E270" s="14">
        <v>106</v>
      </c>
      <c r="F270" s="15" t="s">
        <v>8</v>
      </c>
    </row>
    <row r="271" spans="1:6" ht="17.100000000000001" customHeight="1">
      <c r="A271" s="11" t="s">
        <v>277</v>
      </c>
      <c r="B271" s="12">
        <v>202303011</v>
      </c>
      <c r="C271" s="12" t="str">
        <f>"202303009029"</f>
        <v>202303009029</v>
      </c>
      <c r="D271" s="13">
        <v>86.7</v>
      </c>
      <c r="E271" s="14">
        <v>107.5</v>
      </c>
      <c r="F271" s="15" t="s">
        <v>8</v>
      </c>
    </row>
    <row r="272" spans="1:6" ht="17.100000000000001" customHeight="1">
      <c r="A272" s="11" t="s">
        <v>278</v>
      </c>
      <c r="B272" s="12">
        <v>202303011</v>
      </c>
      <c r="C272" s="12" t="str">
        <f>"202303009030"</f>
        <v>202303009030</v>
      </c>
      <c r="D272" s="13">
        <v>101.4</v>
      </c>
      <c r="E272" s="14">
        <v>101.5</v>
      </c>
      <c r="F272" s="15" t="s">
        <v>8</v>
      </c>
    </row>
    <row r="273" spans="1:6" ht="17.100000000000001" customHeight="1">
      <c r="A273" s="11" t="s">
        <v>279</v>
      </c>
      <c r="B273" s="12">
        <v>202303011</v>
      </c>
      <c r="C273" s="12" t="str">
        <f>"202303010001"</f>
        <v>202303010001</v>
      </c>
      <c r="D273" s="13">
        <v>96.5</v>
      </c>
      <c r="E273" s="14">
        <v>103.5</v>
      </c>
      <c r="F273" s="15" t="s">
        <v>8</v>
      </c>
    </row>
    <row r="274" spans="1:6" ht="17.100000000000001" customHeight="1">
      <c r="A274" s="11" t="s">
        <v>280</v>
      </c>
      <c r="B274" s="12">
        <v>202303011</v>
      </c>
      <c r="C274" s="12" t="str">
        <f>"202303010002"</f>
        <v>202303010002</v>
      </c>
      <c r="D274" s="13">
        <v>0</v>
      </c>
      <c r="E274" s="14">
        <v>0</v>
      </c>
      <c r="F274" s="15" t="s">
        <v>12</v>
      </c>
    </row>
    <row r="275" spans="1:6" ht="17.100000000000001" customHeight="1">
      <c r="A275" s="11" t="s">
        <v>281</v>
      </c>
      <c r="B275" s="12">
        <v>202303011</v>
      </c>
      <c r="C275" s="12" t="str">
        <f>"202303010003"</f>
        <v>202303010003</v>
      </c>
      <c r="D275" s="13">
        <v>93</v>
      </c>
      <c r="E275" s="14">
        <v>102</v>
      </c>
      <c r="F275" s="15" t="s">
        <v>8</v>
      </c>
    </row>
    <row r="276" spans="1:6" ht="17.100000000000001" customHeight="1">
      <c r="A276" s="11" t="s">
        <v>282</v>
      </c>
      <c r="B276" s="12">
        <v>202303011</v>
      </c>
      <c r="C276" s="12" t="str">
        <f>"202303010004"</f>
        <v>202303010004</v>
      </c>
      <c r="D276" s="13">
        <v>75.900000000000006</v>
      </c>
      <c r="E276" s="14">
        <v>105</v>
      </c>
      <c r="F276" s="15" t="s">
        <v>8</v>
      </c>
    </row>
    <row r="277" spans="1:6" ht="17.100000000000001" customHeight="1">
      <c r="A277" s="11" t="s">
        <v>283</v>
      </c>
      <c r="B277" s="12">
        <v>202303011</v>
      </c>
      <c r="C277" s="12" t="str">
        <f>"202303010005"</f>
        <v>202303010005</v>
      </c>
      <c r="D277" s="13">
        <v>0</v>
      </c>
      <c r="E277" s="14">
        <v>0</v>
      </c>
      <c r="F277" s="15" t="s">
        <v>12</v>
      </c>
    </row>
    <row r="278" spans="1:6" ht="17.100000000000001" customHeight="1">
      <c r="A278" s="11" t="s">
        <v>284</v>
      </c>
      <c r="B278" s="12">
        <v>202303011</v>
      </c>
      <c r="C278" s="12" t="str">
        <f>"202303010006"</f>
        <v>202303010006</v>
      </c>
      <c r="D278" s="13">
        <v>103.7</v>
      </c>
      <c r="E278" s="14">
        <v>103.5</v>
      </c>
      <c r="F278" s="15" t="s">
        <v>8</v>
      </c>
    </row>
    <row r="279" spans="1:6" ht="17.100000000000001" customHeight="1">
      <c r="A279" s="11" t="s">
        <v>285</v>
      </c>
      <c r="B279" s="12">
        <v>202303011</v>
      </c>
      <c r="C279" s="12" t="str">
        <f>"202303010007"</f>
        <v>202303010007</v>
      </c>
      <c r="D279" s="13">
        <v>92.5</v>
      </c>
      <c r="E279" s="14">
        <v>100.5</v>
      </c>
      <c r="F279" s="15" t="s">
        <v>8</v>
      </c>
    </row>
    <row r="280" spans="1:6" ht="17.100000000000001" customHeight="1">
      <c r="A280" s="11" t="s">
        <v>286</v>
      </c>
      <c r="B280" s="12">
        <v>202303012</v>
      </c>
      <c r="C280" s="12" t="str">
        <f>"202303010008"</f>
        <v>202303010008</v>
      </c>
      <c r="D280" s="13">
        <v>88.9</v>
      </c>
      <c r="E280" s="14">
        <v>99</v>
      </c>
      <c r="F280" s="15" t="s">
        <v>8</v>
      </c>
    </row>
    <row r="281" spans="1:6" ht="17.100000000000001" customHeight="1">
      <c r="A281" s="11" t="s">
        <v>287</v>
      </c>
      <c r="B281" s="12">
        <v>202303012</v>
      </c>
      <c r="C281" s="12" t="str">
        <f>"202303010009"</f>
        <v>202303010009</v>
      </c>
      <c r="D281" s="13">
        <v>79.8</v>
      </c>
      <c r="E281" s="14">
        <v>103.5</v>
      </c>
      <c r="F281" s="15" t="s">
        <v>8</v>
      </c>
    </row>
    <row r="282" spans="1:6" ht="17.100000000000001" customHeight="1">
      <c r="A282" s="11" t="s">
        <v>288</v>
      </c>
      <c r="B282" s="12">
        <v>202303012</v>
      </c>
      <c r="C282" s="12" t="str">
        <f>"202303010010"</f>
        <v>202303010010</v>
      </c>
      <c r="D282" s="13">
        <v>0</v>
      </c>
      <c r="E282" s="14">
        <v>0</v>
      </c>
      <c r="F282" s="15" t="s">
        <v>12</v>
      </c>
    </row>
    <row r="283" spans="1:6" ht="17.100000000000001" customHeight="1">
      <c r="A283" s="11" t="s">
        <v>289</v>
      </c>
      <c r="B283" s="12">
        <v>202303012</v>
      </c>
      <c r="C283" s="12" t="str">
        <f>"202303010011"</f>
        <v>202303010011</v>
      </c>
      <c r="D283" s="13">
        <v>85.2</v>
      </c>
      <c r="E283" s="14">
        <v>103</v>
      </c>
      <c r="F283" s="15" t="s">
        <v>8</v>
      </c>
    </row>
    <row r="284" spans="1:6" ht="17.100000000000001" customHeight="1">
      <c r="A284" s="11" t="s">
        <v>290</v>
      </c>
      <c r="B284" s="12">
        <v>202303012</v>
      </c>
      <c r="C284" s="12" t="str">
        <f>"202303010012"</f>
        <v>202303010012</v>
      </c>
      <c r="D284" s="13">
        <v>0</v>
      </c>
      <c r="E284" s="14">
        <v>0</v>
      </c>
      <c r="F284" s="15" t="s">
        <v>12</v>
      </c>
    </row>
    <row r="285" spans="1:6" ht="17.100000000000001" customHeight="1">
      <c r="A285" s="11" t="s">
        <v>291</v>
      </c>
      <c r="B285" s="12">
        <v>202303012</v>
      </c>
      <c r="C285" s="12" t="str">
        <f>"202303010013"</f>
        <v>202303010013</v>
      </c>
      <c r="D285" s="13">
        <v>90.6</v>
      </c>
      <c r="E285" s="14">
        <v>102</v>
      </c>
      <c r="F285" s="15" t="s">
        <v>8</v>
      </c>
    </row>
    <row r="286" spans="1:6" ht="17.100000000000001" customHeight="1">
      <c r="A286" s="11" t="s">
        <v>292</v>
      </c>
      <c r="B286" s="12">
        <v>202303012</v>
      </c>
      <c r="C286" s="12" t="str">
        <f>"202303010014"</f>
        <v>202303010014</v>
      </c>
      <c r="D286" s="13">
        <v>102.5</v>
      </c>
      <c r="E286" s="14">
        <v>107</v>
      </c>
      <c r="F286" s="15" t="s">
        <v>8</v>
      </c>
    </row>
    <row r="287" spans="1:6" ht="17.100000000000001" customHeight="1">
      <c r="A287" s="11" t="s">
        <v>293</v>
      </c>
      <c r="B287" s="12">
        <v>202303012</v>
      </c>
      <c r="C287" s="12" t="str">
        <f>"202303010015"</f>
        <v>202303010015</v>
      </c>
      <c r="D287" s="13">
        <v>0</v>
      </c>
      <c r="E287" s="14">
        <v>0</v>
      </c>
      <c r="F287" s="15" t="s">
        <v>12</v>
      </c>
    </row>
    <row r="288" spans="1:6" ht="17.100000000000001" customHeight="1">
      <c r="A288" s="11" t="s">
        <v>294</v>
      </c>
      <c r="B288" s="12">
        <v>202303012</v>
      </c>
      <c r="C288" s="12" t="str">
        <f>"202303010016"</f>
        <v>202303010016</v>
      </c>
      <c r="D288" s="13">
        <v>81</v>
      </c>
      <c r="E288" s="14">
        <v>100</v>
      </c>
      <c r="F288" s="15" t="s">
        <v>8</v>
      </c>
    </row>
    <row r="289" spans="1:6" ht="17.100000000000001" customHeight="1">
      <c r="A289" s="11" t="s">
        <v>295</v>
      </c>
      <c r="B289" s="12">
        <v>202303012</v>
      </c>
      <c r="C289" s="12" t="str">
        <f>"202303010017"</f>
        <v>202303010017</v>
      </c>
      <c r="D289" s="13">
        <v>0</v>
      </c>
      <c r="E289" s="14">
        <v>0</v>
      </c>
      <c r="F289" s="15" t="s">
        <v>12</v>
      </c>
    </row>
    <row r="290" spans="1:6" ht="17.100000000000001" customHeight="1">
      <c r="A290" s="11" t="s">
        <v>296</v>
      </c>
      <c r="B290" s="12">
        <v>202303012</v>
      </c>
      <c r="C290" s="12" t="str">
        <f>"202303010018"</f>
        <v>202303010018</v>
      </c>
      <c r="D290" s="13">
        <v>85.8</v>
      </c>
      <c r="E290" s="14">
        <v>102.5</v>
      </c>
      <c r="F290" s="15" t="s">
        <v>8</v>
      </c>
    </row>
    <row r="291" spans="1:6" ht="17.100000000000001" customHeight="1">
      <c r="A291" s="11" t="s">
        <v>297</v>
      </c>
      <c r="B291" s="12">
        <v>202303012</v>
      </c>
      <c r="C291" s="12" t="str">
        <f>"202303010019"</f>
        <v>202303010019</v>
      </c>
      <c r="D291" s="13">
        <v>0</v>
      </c>
      <c r="E291" s="14">
        <v>0</v>
      </c>
      <c r="F291" s="15" t="s">
        <v>12</v>
      </c>
    </row>
    <row r="292" spans="1:6" ht="17.100000000000001" customHeight="1">
      <c r="A292" s="11" t="s">
        <v>298</v>
      </c>
      <c r="B292" s="12">
        <v>202303012</v>
      </c>
      <c r="C292" s="12" t="str">
        <f>"202303010020"</f>
        <v>202303010020</v>
      </c>
      <c r="D292" s="13">
        <v>96</v>
      </c>
      <c r="E292" s="14">
        <v>101.5</v>
      </c>
      <c r="F292" s="15" t="s">
        <v>8</v>
      </c>
    </row>
    <row r="293" spans="1:6" ht="17.100000000000001" customHeight="1">
      <c r="A293" s="11" t="s">
        <v>299</v>
      </c>
      <c r="B293" s="12">
        <v>202303012</v>
      </c>
      <c r="C293" s="12" t="str">
        <f>"202303010021"</f>
        <v>202303010021</v>
      </c>
      <c r="D293" s="13">
        <v>0</v>
      </c>
      <c r="E293" s="14">
        <v>0</v>
      </c>
      <c r="F293" s="15" t="s">
        <v>12</v>
      </c>
    </row>
    <row r="294" spans="1:6" ht="17.100000000000001" customHeight="1">
      <c r="A294" s="11" t="s">
        <v>300</v>
      </c>
      <c r="B294" s="12">
        <v>202303012</v>
      </c>
      <c r="C294" s="12" t="str">
        <f>"202303010022"</f>
        <v>202303010022</v>
      </c>
      <c r="D294" s="13">
        <v>80.099999999999994</v>
      </c>
      <c r="E294" s="14">
        <v>108.5</v>
      </c>
      <c r="F294" s="15" t="s">
        <v>8</v>
      </c>
    </row>
    <row r="295" spans="1:6" ht="17.100000000000001" customHeight="1">
      <c r="A295" s="11" t="s">
        <v>301</v>
      </c>
      <c r="B295" s="12">
        <v>202303012</v>
      </c>
      <c r="C295" s="12" t="str">
        <f>"202303010023"</f>
        <v>202303010023</v>
      </c>
      <c r="D295" s="13">
        <v>81.400000000000006</v>
      </c>
      <c r="E295" s="14">
        <v>94</v>
      </c>
      <c r="F295" s="15" t="s">
        <v>8</v>
      </c>
    </row>
    <row r="296" spans="1:6" ht="17.100000000000001" customHeight="1">
      <c r="A296" s="11" t="s">
        <v>302</v>
      </c>
      <c r="B296" s="12">
        <v>202303012</v>
      </c>
      <c r="C296" s="12" t="str">
        <f>"202303010024"</f>
        <v>202303010024</v>
      </c>
      <c r="D296" s="13">
        <v>102.4</v>
      </c>
      <c r="E296" s="14">
        <v>114.5</v>
      </c>
      <c r="F296" s="15" t="s">
        <v>8</v>
      </c>
    </row>
    <row r="297" spans="1:6" ht="17.100000000000001" customHeight="1">
      <c r="A297" s="11" t="s">
        <v>303</v>
      </c>
      <c r="B297" s="12">
        <v>202303013</v>
      </c>
      <c r="C297" s="12" t="str">
        <f>"202303010025"</f>
        <v>202303010025</v>
      </c>
      <c r="D297" s="13">
        <v>0</v>
      </c>
      <c r="E297" s="14">
        <v>0</v>
      </c>
      <c r="F297" s="15" t="s">
        <v>12</v>
      </c>
    </row>
    <row r="298" spans="1:6" ht="17.100000000000001" customHeight="1">
      <c r="A298" s="11" t="s">
        <v>304</v>
      </c>
      <c r="B298" s="12">
        <v>202303013</v>
      </c>
      <c r="C298" s="12" t="str">
        <f>"202303010026"</f>
        <v>202303010026</v>
      </c>
      <c r="D298" s="13">
        <v>0</v>
      </c>
      <c r="E298" s="14">
        <v>0</v>
      </c>
      <c r="F298" s="15" t="s">
        <v>12</v>
      </c>
    </row>
    <row r="299" spans="1:6" ht="17.100000000000001" customHeight="1">
      <c r="A299" s="11" t="s">
        <v>305</v>
      </c>
      <c r="B299" s="12">
        <v>202303013</v>
      </c>
      <c r="C299" s="12" t="str">
        <f>"202303010027"</f>
        <v>202303010027</v>
      </c>
      <c r="D299" s="13">
        <v>80.7</v>
      </c>
      <c r="E299" s="14">
        <v>101</v>
      </c>
      <c r="F299" s="15" t="s">
        <v>8</v>
      </c>
    </row>
    <row r="300" spans="1:6" ht="17.100000000000001" customHeight="1">
      <c r="A300" s="11" t="s">
        <v>306</v>
      </c>
      <c r="B300" s="12">
        <v>202303013</v>
      </c>
      <c r="C300" s="12" t="str">
        <f>"202303010028"</f>
        <v>202303010028</v>
      </c>
      <c r="D300" s="13">
        <v>66.5</v>
      </c>
      <c r="E300" s="14">
        <v>105.5</v>
      </c>
      <c r="F300" s="15" t="s">
        <v>8</v>
      </c>
    </row>
    <row r="301" spans="1:6" ht="17.100000000000001" customHeight="1">
      <c r="A301" s="11" t="s">
        <v>307</v>
      </c>
      <c r="B301" s="12">
        <v>202303013</v>
      </c>
      <c r="C301" s="12" t="str">
        <f>"202303010029"</f>
        <v>202303010029</v>
      </c>
      <c r="D301" s="13">
        <v>78.400000000000006</v>
      </c>
      <c r="E301" s="14">
        <v>103.5</v>
      </c>
      <c r="F301" s="15" t="s">
        <v>8</v>
      </c>
    </row>
    <row r="302" spans="1:6" ht="17.100000000000001" customHeight="1">
      <c r="A302" s="11" t="s">
        <v>308</v>
      </c>
      <c r="B302" s="12">
        <v>202303013</v>
      </c>
      <c r="C302" s="12" t="str">
        <f>"202303010030"</f>
        <v>202303010030</v>
      </c>
      <c r="D302" s="13">
        <v>0</v>
      </c>
      <c r="E302" s="14">
        <v>0</v>
      </c>
      <c r="F302" s="15" t="s">
        <v>12</v>
      </c>
    </row>
    <row r="303" spans="1:6" ht="17.100000000000001" customHeight="1">
      <c r="A303" s="11" t="s">
        <v>309</v>
      </c>
      <c r="B303" s="12">
        <v>202303013</v>
      </c>
      <c r="C303" s="12" t="str">
        <f>"202303011001"</f>
        <v>202303011001</v>
      </c>
      <c r="D303" s="13">
        <v>86.1</v>
      </c>
      <c r="E303" s="14">
        <v>58.5</v>
      </c>
      <c r="F303" s="15" t="s">
        <v>8</v>
      </c>
    </row>
    <row r="304" spans="1:6" ht="17.100000000000001" customHeight="1">
      <c r="A304" s="11" t="s">
        <v>310</v>
      </c>
      <c r="B304" s="12">
        <v>202303013</v>
      </c>
      <c r="C304" s="12" t="str">
        <f>"202303011002"</f>
        <v>202303011002</v>
      </c>
      <c r="D304" s="13">
        <v>0</v>
      </c>
      <c r="E304" s="14">
        <v>0</v>
      </c>
      <c r="F304" s="15" t="s">
        <v>12</v>
      </c>
    </row>
    <row r="305" spans="1:6" ht="17.100000000000001" customHeight="1">
      <c r="A305" s="11" t="s">
        <v>311</v>
      </c>
      <c r="B305" s="12">
        <v>202303013</v>
      </c>
      <c r="C305" s="12" t="str">
        <f>"202303011003"</f>
        <v>202303011003</v>
      </c>
      <c r="D305" s="13">
        <v>67.2</v>
      </c>
      <c r="E305" s="14">
        <v>92</v>
      </c>
      <c r="F305" s="15" t="s">
        <v>8</v>
      </c>
    </row>
    <row r="306" spans="1:6" ht="17.100000000000001" customHeight="1">
      <c r="A306" s="11" t="s">
        <v>312</v>
      </c>
      <c r="B306" s="12">
        <v>202303013</v>
      </c>
      <c r="C306" s="12" t="str">
        <f>"202303011004"</f>
        <v>202303011004</v>
      </c>
      <c r="D306" s="13">
        <v>59.3</v>
      </c>
      <c r="E306" s="14">
        <v>108.5</v>
      </c>
      <c r="F306" s="15" t="s">
        <v>8</v>
      </c>
    </row>
    <row r="307" spans="1:6" ht="17.100000000000001" customHeight="1">
      <c r="A307" s="11" t="s">
        <v>313</v>
      </c>
      <c r="B307" s="12">
        <v>202303013</v>
      </c>
      <c r="C307" s="12" t="str">
        <f>"202303011005"</f>
        <v>202303011005</v>
      </c>
      <c r="D307" s="13">
        <v>73.400000000000006</v>
      </c>
      <c r="E307" s="14">
        <v>98.5</v>
      </c>
      <c r="F307" s="15" t="s">
        <v>8</v>
      </c>
    </row>
    <row r="308" spans="1:6" ht="17.100000000000001" customHeight="1">
      <c r="A308" s="11" t="s">
        <v>314</v>
      </c>
      <c r="B308" s="12">
        <v>202303013</v>
      </c>
      <c r="C308" s="12" t="str">
        <f>"202303011006"</f>
        <v>202303011006</v>
      </c>
      <c r="D308" s="13">
        <v>84.3</v>
      </c>
      <c r="E308" s="14">
        <v>104.5</v>
      </c>
      <c r="F308" s="15" t="s">
        <v>8</v>
      </c>
    </row>
    <row r="309" spans="1:6" ht="17.100000000000001" customHeight="1">
      <c r="A309" s="11" t="s">
        <v>315</v>
      </c>
      <c r="B309" s="12">
        <v>202303013</v>
      </c>
      <c r="C309" s="12" t="str">
        <f>"202303011007"</f>
        <v>202303011007</v>
      </c>
      <c r="D309" s="13">
        <v>77</v>
      </c>
      <c r="E309" s="14">
        <v>65</v>
      </c>
      <c r="F309" s="15" t="s">
        <v>8</v>
      </c>
    </row>
    <row r="310" spans="1:6" ht="17.100000000000001" customHeight="1">
      <c r="A310" s="11" t="s">
        <v>316</v>
      </c>
      <c r="B310" s="12">
        <v>202303013</v>
      </c>
      <c r="C310" s="12" t="str">
        <f>"202303011008"</f>
        <v>202303011008</v>
      </c>
      <c r="D310" s="13">
        <v>90.4</v>
      </c>
      <c r="E310" s="14">
        <v>100.5</v>
      </c>
      <c r="F310" s="15" t="s">
        <v>8</v>
      </c>
    </row>
    <row r="311" spans="1:6" ht="17.100000000000001" customHeight="1">
      <c r="A311" s="11" t="s">
        <v>317</v>
      </c>
      <c r="B311" s="12">
        <v>202303013</v>
      </c>
      <c r="C311" s="12" t="str">
        <f>"202303011009"</f>
        <v>202303011009</v>
      </c>
      <c r="D311" s="13">
        <v>92</v>
      </c>
      <c r="E311" s="14">
        <v>108.5</v>
      </c>
      <c r="F311" s="15" t="s">
        <v>8</v>
      </c>
    </row>
    <row r="312" spans="1:6" ht="17.100000000000001" customHeight="1">
      <c r="A312" s="11" t="s">
        <v>318</v>
      </c>
      <c r="B312" s="12">
        <v>202303013</v>
      </c>
      <c r="C312" s="12" t="str">
        <f>"202303011010"</f>
        <v>202303011010</v>
      </c>
      <c r="D312" s="13">
        <v>97.1</v>
      </c>
      <c r="E312" s="14">
        <v>107</v>
      </c>
      <c r="F312" s="15" t="s">
        <v>8</v>
      </c>
    </row>
    <row r="313" spans="1:6" ht="17.100000000000001" customHeight="1">
      <c r="A313" s="11" t="s">
        <v>319</v>
      </c>
      <c r="B313" s="12">
        <v>202303013</v>
      </c>
      <c r="C313" s="12" t="str">
        <f>"202303011011"</f>
        <v>202303011011</v>
      </c>
      <c r="D313" s="13">
        <v>61.2</v>
      </c>
      <c r="E313" s="14">
        <v>93</v>
      </c>
      <c r="F313" s="15" t="s">
        <v>8</v>
      </c>
    </row>
    <row r="314" spans="1:6" ht="17.100000000000001" customHeight="1">
      <c r="A314" s="11" t="s">
        <v>320</v>
      </c>
      <c r="B314" s="12">
        <v>202303013</v>
      </c>
      <c r="C314" s="12" t="str">
        <f>"202303011012"</f>
        <v>202303011012</v>
      </c>
      <c r="D314" s="13">
        <v>65.099999999999994</v>
      </c>
      <c r="E314" s="14">
        <v>106.5</v>
      </c>
      <c r="F314" s="15" t="s">
        <v>8</v>
      </c>
    </row>
    <row r="315" spans="1:6" ht="17.100000000000001" customHeight="1">
      <c r="A315" s="11" t="s">
        <v>321</v>
      </c>
      <c r="B315" s="12">
        <v>202303013</v>
      </c>
      <c r="C315" s="12" t="str">
        <f>"202303011013"</f>
        <v>202303011013</v>
      </c>
      <c r="D315" s="13">
        <v>83.6</v>
      </c>
      <c r="E315" s="14">
        <v>100</v>
      </c>
      <c r="F315" s="15" t="s">
        <v>8</v>
      </c>
    </row>
    <row r="316" spans="1:6" ht="17.100000000000001" customHeight="1">
      <c r="A316" s="11" t="s">
        <v>322</v>
      </c>
      <c r="B316" s="12">
        <v>202303013</v>
      </c>
      <c r="C316" s="12" t="str">
        <f>"202303011014"</f>
        <v>202303011014</v>
      </c>
      <c r="D316" s="13">
        <v>57.6</v>
      </c>
      <c r="E316" s="14">
        <v>89.5</v>
      </c>
      <c r="F316" s="15" t="s">
        <v>8</v>
      </c>
    </row>
    <row r="317" spans="1:6" ht="17.100000000000001" customHeight="1">
      <c r="A317" s="11" t="s">
        <v>323</v>
      </c>
      <c r="B317" s="12">
        <v>202303013</v>
      </c>
      <c r="C317" s="12" t="str">
        <f>"202303011015"</f>
        <v>202303011015</v>
      </c>
      <c r="D317" s="13">
        <v>0</v>
      </c>
      <c r="E317" s="14">
        <v>0</v>
      </c>
      <c r="F317" s="15" t="s">
        <v>12</v>
      </c>
    </row>
    <row r="318" spans="1:6" ht="17.100000000000001" customHeight="1">
      <c r="A318" s="11" t="s">
        <v>324</v>
      </c>
      <c r="B318" s="12">
        <v>202303013</v>
      </c>
      <c r="C318" s="12" t="str">
        <f>"202303011016"</f>
        <v>202303011016</v>
      </c>
      <c r="D318" s="13">
        <v>75</v>
      </c>
      <c r="E318" s="14">
        <v>78</v>
      </c>
      <c r="F318" s="15" t="s">
        <v>8</v>
      </c>
    </row>
    <row r="319" spans="1:6" ht="17.100000000000001" customHeight="1">
      <c r="A319" s="11" t="s">
        <v>325</v>
      </c>
      <c r="B319" s="12">
        <v>202303013</v>
      </c>
      <c r="C319" s="12" t="str">
        <f>"202303011017"</f>
        <v>202303011017</v>
      </c>
      <c r="D319" s="13">
        <v>58.2</v>
      </c>
      <c r="E319" s="14">
        <v>92.5</v>
      </c>
      <c r="F319" s="15" t="s">
        <v>8</v>
      </c>
    </row>
    <row r="320" spans="1:6" ht="17.100000000000001" customHeight="1">
      <c r="A320" s="11" t="s">
        <v>326</v>
      </c>
      <c r="B320" s="12">
        <v>202303013</v>
      </c>
      <c r="C320" s="12" t="str">
        <f>"202303011018"</f>
        <v>202303011018</v>
      </c>
      <c r="D320" s="13">
        <v>88.7</v>
      </c>
      <c r="E320" s="14">
        <v>98</v>
      </c>
      <c r="F320" s="15" t="s">
        <v>8</v>
      </c>
    </row>
    <row r="321" spans="1:6" ht="17.100000000000001" customHeight="1">
      <c r="A321" s="11" t="s">
        <v>327</v>
      </c>
      <c r="B321" s="12">
        <v>202303013</v>
      </c>
      <c r="C321" s="12" t="str">
        <f>"202303011019"</f>
        <v>202303011019</v>
      </c>
      <c r="D321" s="13">
        <v>91.6</v>
      </c>
      <c r="E321" s="14">
        <v>87</v>
      </c>
      <c r="F321" s="15" t="s">
        <v>8</v>
      </c>
    </row>
    <row r="322" spans="1:6" ht="17.100000000000001" customHeight="1">
      <c r="A322" s="11" t="s">
        <v>328</v>
      </c>
      <c r="B322" s="12">
        <v>202303013</v>
      </c>
      <c r="C322" s="12" t="str">
        <f>"202303011020"</f>
        <v>202303011020</v>
      </c>
      <c r="D322" s="13">
        <v>76.3</v>
      </c>
      <c r="E322" s="14">
        <v>78.5</v>
      </c>
      <c r="F322" s="15" t="s">
        <v>8</v>
      </c>
    </row>
    <row r="323" spans="1:6" ht="17.100000000000001" customHeight="1">
      <c r="A323" s="11" t="s">
        <v>329</v>
      </c>
      <c r="B323" s="12">
        <v>202303013</v>
      </c>
      <c r="C323" s="12" t="str">
        <f>"202303011021"</f>
        <v>202303011021</v>
      </c>
      <c r="D323" s="13">
        <v>101.7</v>
      </c>
      <c r="E323" s="14">
        <v>104.5</v>
      </c>
      <c r="F323" s="15" t="s">
        <v>8</v>
      </c>
    </row>
    <row r="324" spans="1:6" ht="17.100000000000001" customHeight="1">
      <c r="A324" s="11" t="s">
        <v>330</v>
      </c>
      <c r="B324" s="12">
        <v>202303013</v>
      </c>
      <c r="C324" s="12" t="str">
        <f>"202303011022"</f>
        <v>202303011022</v>
      </c>
      <c r="D324" s="13">
        <v>77.599999999999994</v>
      </c>
      <c r="E324" s="14">
        <v>105</v>
      </c>
      <c r="F324" s="15" t="s">
        <v>8</v>
      </c>
    </row>
    <row r="325" spans="1:6" ht="17.100000000000001" customHeight="1">
      <c r="A325" s="11" t="s">
        <v>331</v>
      </c>
      <c r="B325" s="12">
        <v>202303013</v>
      </c>
      <c r="C325" s="12" t="str">
        <f>"202303011023"</f>
        <v>202303011023</v>
      </c>
      <c r="D325" s="13">
        <v>95.7</v>
      </c>
      <c r="E325" s="14">
        <v>103</v>
      </c>
      <c r="F325" s="15" t="s">
        <v>8</v>
      </c>
    </row>
    <row r="326" spans="1:6" ht="17.100000000000001" customHeight="1">
      <c r="A326" s="11" t="s">
        <v>332</v>
      </c>
      <c r="B326" s="12">
        <v>202303013</v>
      </c>
      <c r="C326" s="12" t="str">
        <f>"202303011024"</f>
        <v>202303011024</v>
      </c>
      <c r="D326" s="13">
        <v>100.8</v>
      </c>
      <c r="E326" s="14">
        <v>109.5</v>
      </c>
      <c r="F326" s="15" t="s">
        <v>8</v>
      </c>
    </row>
    <row r="327" spans="1:6" ht="17.100000000000001" customHeight="1">
      <c r="A327" s="11" t="s">
        <v>333</v>
      </c>
      <c r="B327" s="12">
        <v>202303013</v>
      </c>
      <c r="C327" s="12" t="str">
        <f>"202303011025"</f>
        <v>202303011025</v>
      </c>
      <c r="D327" s="13">
        <v>66.5</v>
      </c>
      <c r="E327" s="14">
        <v>101</v>
      </c>
      <c r="F327" s="15" t="s">
        <v>8</v>
      </c>
    </row>
    <row r="328" spans="1:6" ht="17.100000000000001" customHeight="1">
      <c r="A328" s="11" t="s">
        <v>334</v>
      </c>
      <c r="B328" s="12">
        <v>202303013</v>
      </c>
      <c r="C328" s="12" t="str">
        <f>"202303011026"</f>
        <v>202303011026</v>
      </c>
      <c r="D328" s="13">
        <v>78.2</v>
      </c>
      <c r="E328" s="14">
        <v>93.5</v>
      </c>
      <c r="F328" s="15" t="s">
        <v>8</v>
      </c>
    </row>
    <row r="329" spans="1:6" ht="17.100000000000001" customHeight="1">
      <c r="A329" s="11" t="s">
        <v>335</v>
      </c>
      <c r="B329" s="12">
        <v>202303013</v>
      </c>
      <c r="C329" s="12" t="str">
        <f>"202303011027"</f>
        <v>202303011027</v>
      </c>
      <c r="D329" s="13">
        <v>88.7</v>
      </c>
      <c r="E329" s="14">
        <v>102</v>
      </c>
      <c r="F329" s="15" t="s">
        <v>8</v>
      </c>
    </row>
    <row r="330" spans="1:6" ht="17.100000000000001" customHeight="1">
      <c r="A330" s="11" t="s">
        <v>336</v>
      </c>
      <c r="B330" s="12">
        <v>202303013</v>
      </c>
      <c r="C330" s="12" t="str">
        <f>"202303011028"</f>
        <v>202303011028</v>
      </c>
      <c r="D330" s="13">
        <v>91.1</v>
      </c>
      <c r="E330" s="14">
        <v>108</v>
      </c>
      <c r="F330" s="15" t="s">
        <v>8</v>
      </c>
    </row>
    <row r="331" spans="1:6" ht="17.100000000000001" customHeight="1">
      <c r="A331" s="11" t="s">
        <v>337</v>
      </c>
      <c r="B331" s="12">
        <v>202303013</v>
      </c>
      <c r="C331" s="12" t="str">
        <f>"202303011029"</f>
        <v>202303011029</v>
      </c>
      <c r="D331" s="13">
        <v>84.2</v>
      </c>
      <c r="E331" s="14">
        <v>102.5</v>
      </c>
      <c r="F331" s="15" t="s">
        <v>8</v>
      </c>
    </row>
    <row r="332" spans="1:6" ht="17.100000000000001" customHeight="1">
      <c r="A332" s="11" t="s">
        <v>338</v>
      </c>
      <c r="B332" s="12">
        <v>202303013</v>
      </c>
      <c r="C332" s="12" t="str">
        <f>"202303011030"</f>
        <v>202303011030</v>
      </c>
      <c r="D332" s="13">
        <v>77.099999999999994</v>
      </c>
      <c r="E332" s="14">
        <v>71.5</v>
      </c>
      <c r="F332" s="15" t="s">
        <v>8</v>
      </c>
    </row>
    <row r="333" spans="1:6" ht="17.100000000000001" customHeight="1">
      <c r="A333" s="11" t="s">
        <v>339</v>
      </c>
      <c r="B333" s="12">
        <v>202303013</v>
      </c>
      <c r="C333" s="12" t="str">
        <f>"202303012001"</f>
        <v>202303012001</v>
      </c>
      <c r="D333" s="13">
        <v>0</v>
      </c>
      <c r="E333" s="14">
        <v>0</v>
      </c>
      <c r="F333" s="15" t="s">
        <v>12</v>
      </c>
    </row>
    <row r="334" spans="1:6" ht="17.100000000000001" customHeight="1">
      <c r="A334" s="11" t="s">
        <v>340</v>
      </c>
      <c r="B334" s="12">
        <v>202303013</v>
      </c>
      <c r="C334" s="12" t="str">
        <f>"202303012002"</f>
        <v>202303012002</v>
      </c>
      <c r="D334" s="13">
        <v>75</v>
      </c>
      <c r="E334" s="14">
        <v>107</v>
      </c>
      <c r="F334" s="15" t="s">
        <v>8</v>
      </c>
    </row>
    <row r="335" spans="1:6" ht="17.100000000000001" customHeight="1">
      <c r="A335" s="11" t="s">
        <v>341</v>
      </c>
      <c r="B335" s="12">
        <v>202303013</v>
      </c>
      <c r="C335" s="12" t="str">
        <f>"202303012003"</f>
        <v>202303012003</v>
      </c>
      <c r="D335" s="13">
        <v>0</v>
      </c>
      <c r="E335" s="14">
        <v>0</v>
      </c>
      <c r="F335" s="15" t="s">
        <v>12</v>
      </c>
    </row>
    <row r="336" spans="1:6" ht="17.100000000000001" customHeight="1">
      <c r="A336" s="11" t="s">
        <v>342</v>
      </c>
      <c r="B336" s="12">
        <v>202303013</v>
      </c>
      <c r="C336" s="12" t="str">
        <f>"202303012004"</f>
        <v>202303012004</v>
      </c>
      <c r="D336" s="13">
        <v>77.900000000000006</v>
      </c>
      <c r="E336" s="14">
        <v>98.5</v>
      </c>
      <c r="F336" s="15" t="s">
        <v>8</v>
      </c>
    </row>
    <row r="337" spans="1:6" ht="17.100000000000001" customHeight="1">
      <c r="A337" s="11" t="s">
        <v>343</v>
      </c>
      <c r="B337" s="12">
        <v>202303013</v>
      </c>
      <c r="C337" s="12" t="str">
        <f>"202303012005"</f>
        <v>202303012005</v>
      </c>
      <c r="D337" s="13">
        <v>0</v>
      </c>
      <c r="E337" s="14">
        <v>0</v>
      </c>
      <c r="F337" s="15" t="s">
        <v>12</v>
      </c>
    </row>
    <row r="338" spans="1:6" ht="17.100000000000001" customHeight="1">
      <c r="A338" s="11" t="s">
        <v>344</v>
      </c>
      <c r="B338" s="12">
        <v>202303013</v>
      </c>
      <c r="C338" s="12" t="str">
        <f>"202303012006"</f>
        <v>202303012006</v>
      </c>
      <c r="D338" s="13">
        <v>64.099999999999994</v>
      </c>
      <c r="E338" s="14">
        <v>106</v>
      </c>
      <c r="F338" s="15" t="s">
        <v>8</v>
      </c>
    </row>
    <row r="339" spans="1:6" ht="17.100000000000001" customHeight="1">
      <c r="A339" s="11" t="s">
        <v>345</v>
      </c>
      <c r="B339" s="12">
        <v>202303013</v>
      </c>
      <c r="C339" s="12" t="str">
        <f>"202303012007"</f>
        <v>202303012007</v>
      </c>
      <c r="D339" s="13">
        <v>84.4</v>
      </c>
      <c r="E339" s="14">
        <v>106.5</v>
      </c>
      <c r="F339" s="15" t="s">
        <v>8</v>
      </c>
    </row>
    <row r="340" spans="1:6" ht="17.100000000000001" customHeight="1">
      <c r="A340" s="11" t="s">
        <v>346</v>
      </c>
      <c r="B340" s="12">
        <v>202303013</v>
      </c>
      <c r="C340" s="12" t="str">
        <f>"202303012008"</f>
        <v>202303012008</v>
      </c>
      <c r="D340" s="13">
        <v>84.4</v>
      </c>
      <c r="E340" s="14">
        <v>80</v>
      </c>
      <c r="F340" s="15" t="s">
        <v>8</v>
      </c>
    </row>
    <row r="341" spans="1:6" ht="17.100000000000001" customHeight="1">
      <c r="A341" s="11" t="s">
        <v>347</v>
      </c>
      <c r="B341" s="12">
        <v>202303013</v>
      </c>
      <c r="C341" s="12" t="str">
        <f>"202303012009"</f>
        <v>202303012009</v>
      </c>
      <c r="D341" s="13">
        <v>79.2</v>
      </c>
      <c r="E341" s="14">
        <v>105.5</v>
      </c>
      <c r="F341" s="15" t="s">
        <v>8</v>
      </c>
    </row>
    <row r="342" spans="1:6" ht="17.100000000000001" customHeight="1">
      <c r="A342" s="11" t="s">
        <v>348</v>
      </c>
      <c r="B342" s="12">
        <v>202303013</v>
      </c>
      <c r="C342" s="12" t="str">
        <f>"202303012010"</f>
        <v>202303012010</v>
      </c>
      <c r="D342" s="13">
        <v>64.599999999999994</v>
      </c>
      <c r="E342" s="14">
        <v>103</v>
      </c>
      <c r="F342" s="15" t="s">
        <v>8</v>
      </c>
    </row>
    <row r="343" spans="1:6" ht="17.100000000000001" customHeight="1">
      <c r="A343" s="11" t="s">
        <v>349</v>
      </c>
      <c r="B343" s="12">
        <v>202303013</v>
      </c>
      <c r="C343" s="12" t="str">
        <f>"202303012011"</f>
        <v>202303012011</v>
      </c>
      <c r="D343" s="13">
        <v>101.6</v>
      </c>
      <c r="E343" s="14">
        <v>103</v>
      </c>
      <c r="F343" s="15" t="s">
        <v>8</v>
      </c>
    </row>
    <row r="344" spans="1:6" ht="17.100000000000001" customHeight="1">
      <c r="A344" s="11" t="s">
        <v>350</v>
      </c>
      <c r="B344" s="12">
        <v>202303013</v>
      </c>
      <c r="C344" s="12" t="str">
        <f>"202303012012"</f>
        <v>202303012012</v>
      </c>
      <c r="D344" s="13">
        <v>99.6</v>
      </c>
      <c r="E344" s="14">
        <v>108</v>
      </c>
      <c r="F344" s="15" t="s">
        <v>8</v>
      </c>
    </row>
    <row r="345" spans="1:6" ht="17.100000000000001" customHeight="1">
      <c r="A345" s="11" t="s">
        <v>351</v>
      </c>
      <c r="B345" s="12">
        <v>202303013</v>
      </c>
      <c r="C345" s="12" t="str">
        <f>"202303012013"</f>
        <v>202303012013</v>
      </c>
      <c r="D345" s="13">
        <v>77.400000000000006</v>
      </c>
      <c r="E345" s="14">
        <v>109</v>
      </c>
      <c r="F345" s="15" t="s">
        <v>8</v>
      </c>
    </row>
    <row r="346" spans="1:6" ht="17.100000000000001" customHeight="1">
      <c r="A346" s="11" t="s">
        <v>352</v>
      </c>
      <c r="B346" s="12">
        <v>202303013</v>
      </c>
      <c r="C346" s="12" t="str">
        <f>"202303012014"</f>
        <v>202303012014</v>
      </c>
      <c r="D346" s="13">
        <v>0</v>
      </c>
      <c r="E346" s="14">
        <v>0</v>
      </c>
      <c r="F346" s="15" t="s">
        <v>12</v>
      </c>
    </row>
    <row r="347" spans="1:6" ht="17.100000000000001" customHeight="1">
      <c r="A347" s="11" t="s">
        <v>353</v>
      </c>
      <c r="B347" s="12">
        <v>202303013</v>
      </c>
      <c r="C347" s="12" t="str">
        <f>"202303012015"</f>
        <v>202303012015</v>
      </c>
      <c r="D347" s="13">
        <v>71.2</v>
      </c>
      <c r="E347" s="14">
        <v>81.5</v>
      </c>
      <c r="F347" s="15" t="s">
        <v>8</v>
      </c>
    </row>
    <row r="348" spans="1:6" ht="17.100000000000001" customHeight="1">
      <c r="A348" s="11" t="s">
        <v>354</v>
      </c>
      <c r="B348" s="12">
        <v>202303013</v>
      </c>
      <c r="C348" s="12" t="str">
        <f>"202303012016"</f>
        <v>202303012016</v>
      </c>
      <c r="D348" s="13">
        <v>65.599999999999994</v>
      </c>
      <c r="E348" s="14">
        <v>94</v>
      </c>
      <c r="F348" s="15" t="s">
        <v>8</v>
      </c>
    </row>
    <row r="349" spans="1:6" ht="17.100000000000001" customHeight="1">
      <c r="A349" s="11" t="s">
        <v>355</v>
      </c>
      <c r="B349" s="12">
        <v>202303013</v>
      </c>
      <c r="C349" s="12" t="str">
        <f>"202303012017"</f>
        <v>202303012017</v>
      </c>
      <c r="D349" s="13">
        <v>0</v>
      </c>
      <c r="E349" s="14">
        <v>0</v>
      </c>
      <c r="F349" s="15" t="s">
        <v>12</v>
      </c>
    </row>
    <row r="350" spans="1:6" ht="17.100000000000001" customHeight="1">
      <c r="A350" s="11" t="s">
        <v>356</v>
      </c>
      <c r="B350" s="12">
        <v>202303013</v>
      </c>
      <c r="C350" s="12" t="str">
        <f>"202303012018"</f>
        <v>202303012018</v>
      </c>
      <c r="D350" s="13">
        <v>0</v>
      </c>
      <c r="E350" s="14">
        <v>0</v>
      </c>
      <c r="F350" s="15" t="s">
        <v>12</v>
      </c>
    </row>
    <row r="351" spans="1:6" ht="17.100000000000001" customHeight="1">
      <c r="A351" s="11" t="s">
        <v>357</v>
      </c>
      <c r="B351" s="12">
        <v>202303013</v>
      </c>
      <c r="C351" s="12" t="str">
        <f>"202303012019"</f>
        <v>202303012019</v>
      </c>
      <c r="D351" s="13">
        <v>0</v>
      </c>
      <c r="E351" s="14">
        <v>0</v>
      </c>
      <c r="F351" s="15" t="s">
        <v>12</v>
      </c>
    </row>
    <row r="352" spans="1:6" ht="17.100000000000001" customHeight="1">
      <c r="A352" s="11" t="s">
        <v>358</v>
      </c>
      <c r="B352" s="12">
        <v>202303013</v>
      </c>
      <c r="C352" s="12" t="str">
        <f>"202303012020"</f>
        <v>202303012020</v>
      </c>
      <c r="D352" s="13">
        <v>49.9</v>
      </c>
      <c r="E352" s="14">
        <v>98.5</v>
      </c>
      <c r="F352" s="15" t="s">
        <v>8</v>
      </c>
    </row>
    <row r="353" spans="1:6" ht="17.100000000000001" customHeight="1">
      <c r="A353" s="11" t="s">
        <v>359</v>
      </c>
      <c r="B353" s="12">
        <v>202303013</v>
      </c>
      <c r="C353" s="12" t="str">
        <f>"202303012021"</f>
        <v>202303012021</v>
      </c>
      <c r="D353" s="13">
        <v>54.2</v>
      </c>
      <c r="E353" s="14">
        <v>97.5</v>
      </c>
      <c r="F353" s="15" t="s">
        <v>8</v>
      </c>
    </row>
    <row r="354" spans="1:6" ht="17.100000000000001" customHeight="1">
      <c r="A354" s="11" t="s">
        <v>360</v>
      </c>
      <c r="B354" s="12">
        <v>202303013</v>
      </c>
      <c r="C354" s="12" t="str">
        <f>"202303012022"</f>
        <v>202303012022</v>
      </c>
      <c r="D354" s="13">
        <v>0</v>
      </c>
      <c r="E354" s="14">
        <v>0</v>
      </c>
      <c r="F354" s="15" t="s">
        <v>12</v>
      </c>
    </row>
    <row r="355" spans="1:6" ht="17.100000000000001" customHeight="1">
      <c r="A355" s="11" t="s">
        <v>361</v>
      </c>
      <c r="B355" s="12">
        <v>202303013</v>
      </c>
      <c r="C355" s="12" t="str">
        <f>"202303012023"</f>
        <v>202303012023</v>
      </c>
      <c r="D355" s="13">
        <v>73.900000000000006</v>
      </c>
      <c r="E355" s="14">
        <v>97</v>
      </c>
      <c r="F355" s="15" t="s">
        <v>8</v>
      </c>
    </row>
    <row r="356" spans="1:6" ht="17.100000000000001" customHeight="1">
      <c r="A356" s="11" t="s">
        <v>362</v>
      </c>
      <c r="B356" s="12">
        <v>202303014</v>
      </c>
      <c r="C356" s="12" t="str">
        <f>"202303012024"</f>
        <v>202303012024</v>
      </c>
      <c r="D356" s="13">
        <v>61.7</v>
      </c>
      <c r="E356" s="14">
        <v>99.5</v>
      </c>
      <c r="F356" s="15" t="s">
        <v>8</v>
      </c>
    </row>
    <row r="357" spans="1:6" ht="17.100000000000001" customHeight="1">
      <c r="A357" s="11" t="s">
        <v>363</v>
      </c>
      <c r="B357" s="12">
        <v>202303014</v>
      </c>
      <c r="C357" s="12" t="str">
        <f>"202303012025"</f>
        <v>202303012025</v>
      </c>
      <c r="D357" s="13">
        <v>85.2</v>
      </c>
      <c r="E357" s="14">
        <v>99</v>
      </c>
      <c r="F357" s="15" t="s">
        <v>8</v>
      </c>
    </row>
    <row r="358" spans="1:6" ht="17.100000000000001" customHeight="1">
      <c r="A358" s="11" t="s">
        <v>364</v>
      </c>
      <c r="B358" s="12">
        <v>202303014</v>
      </c>
      <c r="C358" s="12" t="str">
        <f>"202303012026"</f>
        <v>202303012026</v>
      </c>
      <c r="D358" s="13">
        <v>0</v>
      </c>
      <c r="E358" s="14">
        <v>0</v>
      </c>
      <c r="F358" s="15" t="s">
        <v>12</v>
      </c>
    </row>
    <row r="359" spans="1:6" ht="17.100000000000001" customHeight="1">
      <c r="A359" s="11" t="s">
        <v>365</v>
      </c>
      <c r="B359" s="12">
        <v>202303014</v>
      </c>
      <c r="C359" s="12" t="str">
        <f>"202303012027"</f>
        <v>202303012027</v>
      </c>
      <c r="D359" s="13">
        <v>69</v>
      </c>
      <c r="E359" s="14">
        <v>88.5</v>
      </c>
      <c r="F359" s="15" t="s">
        <v>8</v>
      </c>
    </row>
    <row r="360" spans="1:6" ht="17.100000000000001" customHeight="1">
      <c r="A360" s="11" t="s">
        <v>366</v>
      </c>
      <c r="B360" s="12">
        <v>202303014</v>
      </c>
      <c r="C360" s="12" t="str">
        <f>"202303012028"</f>
        <v>202303012028</v>
      </c>
      <c r="D360" s="13">
        <v>74.400000000000006</v>
      </c>
      <c r="E360" s="14">
        <v>95.5</v>
      </c>
      <c r="F360" s="15" t="s">
        <v>8</v>
      </c>
    </row>
    <row r="361" spans="1:6" ht="17.100000000000001" customHeight="1">
      <c r="A361" s="11" t="s">
        <v>367</v>
      </c>
      <c r="B361" s="12">
        <v>202303014</v>
      </c>
      <c r="C361" s="12" t="str">
        <f>"202303012029"</f>
        <v>202303012029</v>
      </c>
      <c r="D361" s="13">
        <v>85.1</v>
      </c>
      <c r="E361" s="14">
        <v>106</v>
      </c>
      <c r="F361" s="15" t="s">
        <v>8</v>
      </c>
    </row>
    <row r="362" spans="1:6" ht="17.100000000000001" customHeight="1">
      <c r="A362" s="11" t="s">
        <v>368</v>
      </c>
      <c r="B362" s="12">
        <v>202303014</v>
      </c>
      <c r="C362" s="12" t="str">
        <f>"202303012030"</f>
        <v>202303012030</v>
      </c>
      <c r="D362" s="13">
        <v>97</v>
      </c>
      <c r="E362" s="14">
        <v>102</v>
      </c>
      <c r="F362" s="15" t="s">
        <v>8</v>
      </c>
    </row>
    <row r="363" spans="1:6" ht="17.100000000000001" customHeight="1">
      <c r="A363" s="11" t="s">
        <v>369</v>
      </c>
      <c r="B363" s="12">
        <v>202303014</v>
      </c>
      <c r="C363" s="12" t="str">
        <f>"202303013001"</f>
        <v>202303013001</v>
      </c>
      <c r="D363" s="13">
        <v>58.4</v>
      </c>
      <c r="E363" s="14">
        <v>104.5</v>
      </c>
      <c r="F363" s="15" t="s">
        <v>8</v>
      </c>
    </row>
    <row r="364" spans="1:6" ht="17.100000000000001" customHeight="1">
      <c r="A364" s="11" t="s">
        <v>370</v>
      </c>
      <c r="B364" s="12">
        <v>202303014</v>
      </c>
      <c r="C364" s="12" t="str">
        <f>"202303013002"</f>
        <v>202303013002</v>
      </c>
      <c r="D364" s="13">
        <v>99.4</v>
      </c>
      <c r="E364" s="14">
        <v>89</v>
      </c>
      <c r="F364" s="15" t="s">
        <v>8</v>
      </c>
    </row>
    <row r="365" spans="1:6" ht="17.100000000000001" customHeight="1">
      <c r="A365" s="11" t="s">
        <v>371</v>
      </c>
      <c r="B365" s="12">
        <v>202303015</v>
      </c>
      <c r="C365" s="12" t="str">
        <f>"202303013003"</f>
        <v>202303013003</v>
      </c>
      <c r="D365" s="13">
        <v>0</v>
      </c>
      <c r="E365" s="14">
        <v>0</v>
      </c>
      <c r="F365" s="15" t="s">
        <v>12</v>
      </c>
    </row>
    <row r="366" spans="1:6" ht="17.100000000000001" customHeight="1">
      <c r="A366" s="11" t="s">
        <v>372</v>
      </c>
      <c r="B366" s="12">
        <v>202303015</v>
      </c>
      <c r="C366" s="12" t="str">
        <f>"202303013004"</f>
        <v>202303013004</v>
      </c>
      <c r="D366" s="13">
        <v>0</v>
      </c>
      <c r="E366" s="14">
        <v>0</v>
      </c>
      <c r="F366" s="15" t="s">
        <v>12</v>
      </c>
    </row>
    <row r="367" spans="1:6" ht="17.100000000000001" customHeight="1">
      <c r="A367" s="11" t="s">
        <v>373</v>
      </c>
      <c r="B367" s="12">
        <v>202303015</v>
      </c>
      <c r="C367" s="12" t="str">
        <f>"202303013005"</f>
        <v>202303013005</v>
      </c>
      <c r="D367" s="13">
        <v>87.1</v>
      </c>
      <c r="E367" s="14">
        <v>99.5</v>
      </c>
      <c r="F367" s="15" t="s">
        <v>8</v>
      </c>
    </row>
    <row r="368" spans="1:6" ht="17.100000000000001" customHeight="1">
      <c r="A368" s="11" t="s">
        <v>374</v>
      </c>
      <c r="B368" s="12">
        <v>202303015</v>
      </c>
      <c r="C368" s="12" t="str">
        <f>"202303013006"</f>
        <v>202303013006</v>
      </c>
      <c r="D368" s="13">
        <v>82.1</v>
      </c>
      <c r="E368" s="14">
        <v>103</v>
      </c>
      <c r="F368" s="15" t="s">
        <v>8</v>
      </c>
    </row>
    <row r="369" spans="1:6" ht="17.100000000000001" customHeight="1">
      <c r="A369" s="11" t="s">
        <v>375</v>
      </c>
      <c r="B369" s="12">
        <v>202303015</v>
      </c>
      <c r="C369" s="12" t="str">
        <f>"202303013007"</f>
        <v>202303013007</v>
      </c>
      <c r="D369" s="13">
        <v>95.7</v>
      </c>
      <c r="E369" s="14">
        <v>108.5</v>
      </c>
      <c r="F369" s="15" t="s">
        <v>8</v>
      </c>
    </row>
    <row r="370" spans="1:6" ht="17.100000000000001" customHeight="1">
      <c r="A370" s="11" t="s">
        <v>376</v>
      </c>
      <c r="B370" s="12">
        <v>202303015</v>
      </c>
      <c r="C370" s="12" t="str">
        <f>"202303013008"</f>
        <v>202303013008</v>
      </c>
      <c r="D370" s="13">
        <v>92.6</v>
      </c>
      <c r="E370" s="14">
        <v>107.5</v>
      </c>
      <c r="F370" s="15" t="s">
        <v>8</v>
      </c>
    </row>
    <row r="371" spans="1:6" ht="17.100000000000001" customHeight="1">
      <c r="A371" s="11" t="s">
        <v>377</v>
      </c>
      <c r="B371" s="12">
        <v>202303015</v>
      </c>
      <c r="C371" s="12" t="str">
        <f>"202303013009"</f>
        <v>202303013009</v>
      </c>
      <c r="D371" s="13">
        <v>70.3</v>
      </c>
      <c r="E371" s="14">
        <v>111.5</v>
      </c>
      <c r="F371" s="15" t="s">
        <v>8</v>
      </c>
    </row>
    <row r="372" spans="1:6" ht="17.100000000000001" customHeight="1">
      <c r="A372" s="11" t="s">
        <v>378</v>
      </c>
      <c r="B372" s="12">
        <v>202303015</v>
      </c>
      <c r="C372" s="12" t="str">
        <f>"202303013010"</f>
        <v>202303013010</v>
      </c>
      <c r="D372" s="13">
        <v>89.2</v>
      </c>
      <c r="E372" s="14">
        <v>94.5</v>
      </c>
      <c r="F372" s="15" t="s">
        <v>8</v>
      </c>
    </row>
    <row r="373" spans="1:6" ht="17.100000000000001" customHeight="1">
      <c r="A373" s="11" t="s">
        <v>379</v>
      </c>
      <c r="B373" s="12">
        <v>202303015</v>
      </c>
      <c r="C373" s="12" t="str">
        <f>"202303013011"</f>
        <v>202303013011</v>
      </c>
      <c r="D373" s="13">
        <v>80.5</v>
      </c>
      <c r="E373" s="14">
        <v>103.5</v>
      </c>
      <c r="F373" s="15" t="s">
        <v>8</v>
      </c>
    </row>
    <row r="374" spans="1:6" ht="17.100000000000001" customHeight="1">
      <c r="A374" s="11" t="s">
        <v>380</v>
      </c>
      <c r="B374" s="12">
        <v>202303015</v>
      </c>
      <c r="C374" s="12" t="str">
        <f>"202303013012"</f>
        <v>202303013012</v>
      </c>
      <c r="D374" s="13">
        <v>0</v>
      </c>
      <c r="E374" s="14">
        <v>0</v>
      </c>
      <c r="F374" s="15" t="s">
        <v>12</v>
      </c>
    </row>
    <row r="375" spans="1:6" ht="17.100000000000001" customHeight="1">
      <c r="A375" s="11" t="s">
        <v>381</v>
      </c>
      <c r="B375" s="12">
        <v>202303015</v>
      </c>
      <c r="C375" s="12" t="str">
        <f>"202303013013"</f>
        <v>202303013013</v>
      </c>
      <c r="D375" s="13">
        <v>81.900000000000006</v>
      </c>
      <c r="E375" s="14">
        <v>91.5</v>
      </c>
      <c r="F375" s="15" t="s">
        <v>8</v>
      </c>
    </row>
    <row r="376" spans="1:6" ht="17.100000000000001" customHeight="1">
      <c r="A376" s="11" t="s">
        <v>382</v>
      </c>
      <c r="B376" s="12">
        <v>202303015</v>
      </c>
      <c r="C376" s="12" t="str">
        <f>"202303013014"</f>
        <v>202303013014</v>
      </c>
      <c r="D376" s="13">
        <v>0</v>
      </c>
      <c r="E376" s="14">
        <v>0</v>
      </c>
      <c r="F376" s="15" t="s">
        <v>12</v>
      </c>
    </row>
    <row r="377" spans="1:6" ht="17.100000000000001" customHeight="1">
      <c r="A377" s="11" t="s">
        <v>383</v>
      </c>
      <c r="B377" s="12">
        <v>202303015</v>
      </c>
      <c r="C377" s="12" t="str">
        <f>"202303013015"</f>
        <v>202303013015</v>
      </c>
      <c r="D377" s="13">
        <v>91.5</v>
      </c>
      <c r="E377" s="14">
        <v>104</v>
      </c>
      <c r="F377" s="15" t="s">
        <v>8</v>
      </c>
    </row>
    <row r="378" spans="1:6" ht="17.100000000000001" customHeight="1">
      <c r="A378" s="11" t="s">
        <v>384</v>
      </c>
      <c r="B378" s="12">
        <v>202303015</v>
      </c>
      <c r="C378" s="12" t="str">
        <f>"202303013016"</f>
        <v>202303013016</v>
      </c>
      <c r="D378" s="13">
        <v>91</v>
      </c>
      <c r="E378" s="14">
        <v>109.5</v>
      </c>
      <c r="F378" s="15" t="s">
        <v>8</v>
      </c>
    </row>
    <row r="379" spans="1:6" ht="17.100000000000001" customHeight="1">
      <c r="A379" s="11" t="s">
        <v>385</v>
      </c>
      <c r="B379" s="12">
        <v>202303015</v>
      </c>
      <c r="C379" s="12" t="str">
        <f>"202303013017"</f>
        <v>202303013017</v>
      </c>
      <c r="D379" s="13">
        <v>85.9</v>
      </c>
      <c r="E379" s="14">
        <v>102</v>
      </c>
      <c r="F379" s="15" t="s">
        <v>8</v>
      </c>
    </row>
    <row r="380" spans="1:6" ht="17.100000000000001" customHeight="1">
      <c r="A380" s="11" t="s">
        <v>386</v>
      </c>
      <c r="B380" s="12">
        <v>202303015</v>
      </c>
      <c r="C380" s="12" t="str">
        <f>"202303013018"</f>
        <v>202303013018</v>
      </c>
      <c r="D380" s="13">
        <v>66.8</v>
      </c>
      <c r="E380" s="14">
        <v>106.5</v>
      </c>
      <c r="F380" s="15" t="s">
        <v>8</v>
      </c>
    </row>
    <row r="381" spans="1:6" ht="17.100000000000001" customHeight="1">
      <c r="A381" s="11" t="s">
        <v>387</v>
      </c>
      <c r="B381" s="12">
        <v>202303015</v>
      </c>
      <c r="C381" s="12" t="str">
        <f>"202303013019"</f>
        <v>202303013019</v>
      </c>
      <c r="D381" s="13">
        <v>58.8</v>
      </c>
      <c r="E381" s="14">
        <v>87</v>
      </c>
      <c r="F381" s="15" t="s">
        <v>8</v>
      </c>
    </row>
    <row r="382" spans="1:6" ht="17.100000000000001" customHeight="1">
      <c r="A382" s="11" t="s">
        <v>388</v>
      </c>
      <c r="B382" s="12">
        <v>202303016</v>
      </c>
      <c r="C382" s="12" t="str">
        <f>"202303013020"</f>
        <v>202303013020</v>
      </c>
      <c r="D382" s="13">
        <v>0</v>
      </c>
      <c r="E382" s="14">
        <v>0</v>
      </c>
      <c r="F382" s="15" t="s">
        <v>12</v>
      </c>
    </row>
    <row r="383" spans="1:6" ht="17.100000000000001" customHeight="1">
      <c r="A383" s="11" t="s">
        <v>389</v>
      </c>
      <c r="B383" s="12">
        <v>202303016</v>
      </c>
      <c r="C383" s="12" t="str">
        <f>"202303013021"</f>
        <v>202303013021</v>
      </c>
      <c r="D383" s="13">
        <v>81.5</v>
      </c>
      <c r="E383" s="14">
        <v>106</v>
      </c>
      <c r="F383" s="15" t="s">
        <v>8</v>
      </c>
    </row>
    <row r="384" spans="1:6" ht="17.100000000000001" customHeight="1">
      <c r="A384" s="11" t="s">
        <v>390</v>
      </c>
      <c r="B384" s="12">
        <v>202303016</v>
      </c>
      <c r="C384" s="12" t="str">
        <f>"202303013022"</f>
        <v>202303013022</v>
      </c>
      <c r="D384" s="13">
        <v>0</v>
      </c>
      <c r="E384" s="14">
        <v>0</v>
      </c>
      <c r="F384" s="15" t="s">
        <v>12</v>
      </c>
    </row>
    <row r="385" spans="1:6" ht="17.100000000000001" customHeight="1">
      <c r="A385" s="11" t="s">
        <v>391</v>
      </c>
      <c r="B385" s="12">
        <v>202303016</v>
      </c>
      <c r="C385" s="12" t="str">
        <f>"202303013023"</f>
        <v>202303013023</v>
      </c>
      <c r="D385" s="13">
        <v>84.4</v>
      </c>
      <c r="E385" s="14">
        <v>104.5</v>
      </c>
      <c r="F385" s="15" t="s">
        <v>8</v>
      </c>
    </row>
    <row r="386" spans="1:6" ht="17.100000000000001" customHeight="1">
      <c r="A386" s="11" t="s">
        <v>392</v>
      </c>
      <c r="B386" s="12">
        <v>202303016</v>
      </c>
      <c r="C386" s="12" t="str">
        <f>"202303013024"</f>
        <v>202303013024</v>
      </c>
      <c r="D386" s="13">
        <v>77.7</v>
      </c>
      <c r="E386" s="14">
        <v>102.5</v>
      </c>
      <c r="F386" s="15" t="s">
        <v>8</v>
      </c>
    </row>
    <row r="387" spans="1:6" ht="17.100000000000001" customHeight="1">
      <c r="A387" s="11" t="s">
        <v>393</v>
      </c>
      <c r="B387" s="12">
        <v>202303016</v>
      </c>
      <c r="C387" s="12" t="str">
        <f>"202303013025"</f>
        <v>202303013025</v>
      </c>
      <c r="D387" s="13">
        <v>81.2</v>
      </c>
      <c r="E387" s="14">
        <v>105.5</v>
      </c>
      <c r="F387" s="15" t="s">
        <v>8</v>
      </c>
    </row>
    <row r="388" spans="1:6" ht="17.100000000000001" customHeight="1">
      <c r="A388" s="11" t="s">
        <v>394</v>
      </c>
      <c r="B388" s="12">
        <v>202303016</v>
      </c>
      <c r="C388" s="12" t="str">
        <f>"202303013026"</f>
        <v>202303013026</v>
      </c>
      <c r="D388" s="13">
        <v>0</v>
      </c>
      <c r="E388" s="14">
        <v>0</v>
      </c>
      <c r="F388" s="15" t="s">
        <v>12</v>
      </c>
    </row>
    <row r="389" spans="1:6" ht="17.100000000000001" customHeight="1">
      <c r="A389" s="11" t="s">
        <v>395</v>
      </c>
      <c r="B389" s="12">
        <v>202303016</v>
      </c>
      <c r="C389" s="12" t="str">
        <f>"202303013027"</f>
        <v>202303013027</v>
      </c>
      <c r="D389" s="13">
        <v>0</v>
      </c>
      <c r="E389" s="14">
        <v>0</v>
      </c>
      <c r="F389" s="15" t="s">
        <v>12</v>
      </c>
    </row>
    <row r="390" spans="1:6" ht="17.100000000000001" customHeight="1">
      <c r="A390" s="11" t="s">
        <v>396</v>
      </c>
      <c r="B390" s="12">
        <v>202303016</v>
      </c>
      <c r="C390" s="12" t="str">
        <f>"202303013028"</f>
        <v>202303013028</v>
      </c>
      <c r="D390" s="13">
        <v>97.8</v>
      </c>
      <c r="E390" s="14">
        <v>102</v>
      </c>
      <c r="F390" s="15" t="s">
        <v>8</v>
      </c>
    </row>
    <row r="391" spans="1:6" ht="17.100000000000001" customHeight="1">
      <c r="A391" s="11" t="s">
        <v>397</v>
      </c>
      <c r="B391" s="12">
        <v>202303016</v>
      </c>
      <c r="C391" s="12" t="str">
        <f>"202303013029"</f>
        <v>202303013029</v>
      </c>
      <c r="D391" s="13">
        <v>103.1</v>
      </c>
      <c r="E391" s="14">
        <v>108.5</v>
      </c>
      <c r="F391" s="15" t="s">
        <v>8</v>
      </c>
    </row>
    <row r="392" spans="1:6" ht="17.100000000000001" customHeight="1">
      <c r="A392" s="11" t="s">
        <v>398</v>
      </c>
      <c r="B392" s="12">
        <v>202303016</v>
      </c>
      <c r="C392" s="12" t="str">
        <f>"202303013030"</f>
        <v>202303013030</v>
      </c>
      <c r="D392" s="13">
        <v>74.5</v>
      </c>
      <c r="E392" s="14">
        <v>106.5</v>
      </c>
      <c r="F392" s="15" t="s">
        <v>8</v>
      </c>
    </row>
    <row r="393" spans="1:6" ht="17.100000000000001" customHeight="1">
      <c r="A393" s="11" t="s">
        <v>399</v>
      </c>
      <c r="B393" s="12">
        <v>202303016</v>
      </c>
      <c r="C393" s="12" t="str">
        <f>"202303014001"</f>
        <v>202303014001</v>
      </c>
      <c r="D393" s="13">
        <v>91.9</v>
      </c>
      <c r="E393" s="14">
        <v>79</v>
      </c>
      <c r="F393" s="15" t="s">
        <v>8</v>
      </c>
    </row>
    <row r="394" spans="1:6" ht="17.100000000000001" customHeight="1">
      <c r="A394" s="11" t="s">
        <v>400</v>
      </c>
      <c r="B394" s="12">
        <v>202303016</v>
      </c>
      <c r="C394" s="12" t="str">
        <f>"202303014002"</f>
        <v>202303014002</v>
      </c>
      <c r="D394" s="13">
        <v>92.6</v>
      </c>
      <c r="E394" s="14">
        <v>93.5</v>
      </c>
      <c r="F394" s="15" t="s">
        <v>8</v>
      </c>
    </row>
    <row r="395" spans="1:6" ht="17.100000000000001" customHeight="1">
      <c r="A395" s="11" t="s">
        <v>401</v>
      </c>
      <c r="B395" s="12">
        <v>202303016</v>
      </c>
      <c r="C395" s="12" t="str">
        <f>"202303014003"</f>
        <v>202303014003</v>
      </c>
      <c r="D395" s="13">
        <v>77.5</v>
      </c>
      <c r="E395" s="14">
        <v>102.5</v>
      </c>
      <c r="F395" s="15" t="s">
        <v>8</v>
      </c>
    </row>
    <row r="396" spans="1:6" ht="17.100000000000001" customHeight="1">
      <c r="A396" s="11" t="s">
        <v>402</v>
      </c>
      <c r="B396" s="12">
        <v>202303016</v>
      </c>
      <c r="C396" s="12" t="str">
        <f>"202303014004"</f>
        <v>202303014004</v>
      </c>
      <c r="D396" s="13">
        <v>99.2</v>
      </c>
      <c r="E396" s="14">
        <v>106</v>
      </c>
      <c r="F396" s="15" t="s">
        <v>8</v>
      </c>
    </row>
    <row r="397" spans="1:6" ht="17.100000000000001" customHeight="1">
      <c r="A397" s="11" t="s">
        <v>403</v>
      </c>
      <c r="B397" s="12">
        <v>202303016</v>
      </c>
      <c r="C397" s="12" t="str">
        <f>"202303014005"</f>
        <v>202303014005</v>
      </c>
      <c r="D397" s="13">
        <v>91.3</v>
      </c>
      <c r="E397" s="14">
        <v>110</v>
      </c>
      <c r="F397" s="15" t="s">
        <v>8</v>
      </c>
    </row>
    <row r="398" spans="1:6" ht="17.100000000000001" customHeight="1">
      <c r="A398" s="11" t="s">
        <v>404</v>
      </c>
      <c r="B398" s="12">
        <v>202303016</v>
      </c>
      <c r="C398" s="12" t="str">
        <f>"202303014006"</f>
        <v>202303014006</v>
      </c>
      <c r="D398" s="13">
        <v>77.400000000000006</v>
      </c>
      <c r="E398" s="14">
        <v>107</v>
      </c>
      <c r="F398" s="15" t="s">
        <v>8</v>
      </c>
    </row>
    <row r="399" spans="1:6" ht="17.100000000000001" customHeight="1">
      <c r="A399" s="11" t="s">
        <v>405</v>
      </c>
      <c r="B399" s="12">
        <v>202303016</v>
      </c>
      <c r="C399" s="12" t="str">
        <f>"202303014007"</f>
        <v>202303014007</v>
      </c>
      <c r="D399" s="13">
        <v>0</v>
      </c>
      <c r="E399" s="14">
        <v>0</v>
      </c>
      <c r="F399" s="15" t="s">
        <v>12</v>
      </c>
    </row>
    <row r="400" spans="1:6" ht="17.100000000000001" customHeight="1">
      <c r="A400" s="11" t="s">
        <v>406</v>
      </c>
      <c r="B400" s="12">
        <v>202303016</v>
      </c>
      <c r="C400" s="12" t="str">
        <f>"202303014008"</f>
        <v>202303014008</v>
      </c>
      <c r="D400" s="13">
        <v>91.9</v>
      </c>
      <c r="E400" s="14">
        <v>105</v>
      </c>
      <c r="F400" s="15" t="s">
        <v>8</v>
      </c>
    </row>
    <row r="401" spans="1:6" ht="17.100000000000001" customHeight="1">
      <c r="A401" s="11" t="s">
        <v>407</v>
      </c>
      <c r="B401" s="12">
        <v>202303016</v>
      </c>
      <c r="C401" s="12" t="str">
        <f>"202303014009"</f>
        <v>202303014009</v>
      </c>
      <c r="D401" s="13">
        <v>0</v>
      </c>
      <c r="E401" s="14">
        <v>0</v>
      </c>
      <c r="F401" s="15" t="s">
        <v>12</v>
      </c>
    </row>
    <row r="402" spans="1:6" ht="17.100000000000001" customHeight="1">
      <c r="A402" s="11" t="s">
        <v>408</v>
      </c>
      <c r="B402" s="12">
        <v>202303016</v>
      </c>
      <c r="C402" s="12" t="str">
        <f>"202303014010"</f>
        <v>202303014010</v>
      </c>
      <c r="D402" s="13">
        <v>85.6</v>
      </c>
      <c r="E402" s="14">
        <v>98</v>
      </c>
      <c r="F402" s="15" t="s">
        <v>8</v>
      </c>
    </row>
    <row r="403" spans="1:6" ht="17.100000000000001" customHeight="1">
      <c r="A403" s="11" t="s">
        <v>409</v>
      </c>
      <c r="B403" s="12">
        <v>202303016</v>
      </c>
      <c r="C403" s="12" t="str">
        <f>"202303014011"</f>
        <v>202303014011</v>
      </c>
      <c r="D403" s="13">
        <v>83.5</v>
      </c>
      <c r="E403" s="14">
        <v>103</v>
      </c>
      <c r="F403" s="15" t="s">
        <v>8</v>
      </c>
    </row>
    <row r="404" spans="1:6" ht="17.100000000000001" customHeight="1">
      <c r="A404" s="11" t="s">
        <v>410</v>
      </c>
      <c r="B404" s="12">
        <v>202303016</v>
      </c>
      <c r="C404" s="12" t="str">
        <f>"202303014012"</f>
        <v>202303014012</v>
      </c>
      <c r="D404" s="13">
        <v>0</v>
      </c>
      <c r="E404" s="14">
        <v>0</v>
      </c>
      <c r="F404" s="15" t="s">
        <v>12</v>
      </c>
    </row>
    <row r="405" spans="1:6" ht="17.100000000000001" customHeight="1">
      <c r="A405" s="11" t="s">
        <v>411</v>
      </c>
      <c r="B405" s="12">
        <v>202303016</v>
      </c>
      <c r="C405" s="12" t="str">
        <f>"202303014013"</f>
        <v>202303014013</v>
      </c>
      <c r="D405" s="13">
        <v>65.900000000000006</v>
      </c>
      <c r="E405" s="14">
        <v>86</v>
      </c>
      <c r="F405" s="15" t="s">
        <v>8</v>
      </c>
    </row>
    <row r="406" spans="1:6" ht="17.100000000000001" customHeight="1">
      <c r="A406" s="11" t="s">
        <v>412</v>
      </c>
      <c r="B406" s="12">
        <v>202303016</v>
      </c>
      <c r="C406" s="12" t="str">
        <f>"202303014014"</f>
        <v>202303014014</v>
      </c>
      <c r="D406" s="13">
        <v>99.7</v>
      </c>
      <c r="E406" s="14">
        <v>93.5</v>
      </c>
      <c r="F406" s="15" t="s">
        <v>8</v>
      </c>
    </row>
    <row r="407" spans="1:6" ht="17.100000000000001" customHeight="1">
      <c r="A407" s="11" t="s">
        <v>413</v>
      </c>
      <c r="B407" s="12">
        <v>202303016</v>
      </c>
      <c r="C407" s="12" t="str">
        <f>"202303014015"</f>
        <v>202303014015</v>
      </c>
      <c r="D407" s="13">
        <v>49.3</v>
      </c>
      <c r="E407" s="14">
        <v>96.5</v>
      </c>
      <c r="F407" s="15" t="s">
        <v>8</v>
      </c>
    </row>
    <row r="408" spans="1:6" ht="17.100000000000001" customHeight="1">
      <c r="A408" s="11" t="s">
        <v>414</v>
      </c>
      <c r="B408" s="12">
        <v>202303017</v>
      </c>
      <c r="C408" s="12" t="str">
        <f>"202303014016"</f>
        <v>202303014016</v>
      </c>
      <c r="D408" s="13">
        <v>0</v>
      </c>
      <c r="E408" s="14">
        <v>0</v>
      </c>
      <c r="F408" s="15" t="s">
        <v>12</v>
      </c>
    </row>
    <row r="409" spans="1:6" ht="17.100000000000001" customHeight="1">
      <c r="A409" s="11" t="s">
        <v>415</v>
      </c>
      <c r="B409" s="12">
        <v>202303017</v>
      </c>
      <c r="C409" s="12" t="str">
        <f>"202303014017"</f>
        <v>202303014017</v>
      </c>
      <c r="D409" s="13">
        <v>85.5</v>
      </c>
      <c r="E409" s="14">
        <v>107</v>
      </c>
      <c r="F409" s="15" t="s">
        <v>8</v>
      </c>
    </row>
    <row r="410" spans="1:6" ht="17.100000000000001" customHeight="1">
      <c r="A410" s="11" t="s">
        <v>416</v>
      </c>
      <c r="B410" s="12">
        <v>202303017</v>
      </c>
      <c r="C410" s="12" t="str">
        <f>"202303014018"</f>
        <v>202303014018</v>
      </c>
      <c r="D410" s="13">
        <v>91.7</v>
      </c>
      <c r="E410" s="14">
        <v>107</v>
      </c>
      <c r="F410" s="15" t="s">
        <v>8</v>
      </c>
    </row>
    <row r="411" spans="1:6" ht="17.100000000000001" customHeight="1">
      <c r="A411" s="11" t="s">
        <v>417</v>
      </c>
      <c r="B411" s="12">
        <v>202303017</v>
      </c>
      <c r="C411" s="12" t="str">
        <f>"202303014019"</f>
        <v>202303014019</v>
      </c>
      <c r="D411" s="13">
        <v>86.2</v>
      </c>
      <c r="E411" s="14">
        <v>109.5</v>
      </c>
      <c r="F411" s="15" t="s">
        <v>8</v>
      </c>
    </row>
    <row r="412" spans="1:6" ht="17.100000000000001" customHeight="1">
      <c r="A412" s="11" t="s">
        <v>418</v>
      </c>
      <c r="B412" s="12">
        <v>202303017</v>
      </c>
      <c r="C412" s="12" t="str">
        <f>"202303014020"</f>
        <v>202303014020</v>
      </c>
      <c r="D412" s="13">
        <v>95</v>
      </c>
      <c r="E412" s="14">
        <v>100.5</v>
      </c>
      <c r="F412" s="15" t="s">
        <v>8</v>
      </c>
    </row>
    <row r="413" spans="1:6" ht="17.100000000000001" customHeight="1">
      <c r="A413" s="11" t="s">
        <v>419</v>
      </c>
      <c r="B413" s="12">
        <v>202303017</v>
      </c>
      <c r="C413" s="12" t="str">
        <f>"202303014021"</f>
        <v>202303014021</v>
      </c>
      <c r="D413" s="13">
        <v>94.8</v>
      </c>
      <c r="E413" s="14">
        <v>105.5</v>
      </c>
      <c r="F413" s="15" t="s">
        <v>8</v>
      </c>
    </row>
    <row r="414" spans="1:6" ht="17.100000000000001" customHeight="1">
      <c r="A414" s="11" t="s">
        <v>420</v>
      </c>
      <c r="B414" s="12">
        <v>202303017</v>
      </c>
      <c r="C414" s="12" t="str">
        <f>"202303014022"</f>
        <v>202303014022</v>
      </c>
      <c r="D414" s="13">
        <v>87.9</v>
      </c>
      <c r="E414" s="14">
        <v>109</v>
      </c>
      <c r="F414" s="15" t="s">
        <v>8</v>
      </c>
    </row>
    <row r="415" spans="1:6" ht="17.100000000000001" customHeight="1">
      <c r="A415" s="11" t="s">
        <v>421</v>
      </c>
      <c r="B415" s="12">
        <v>202303017</v>
      </c>
      <c r="C415" s="12" t="str">
        <f>"202303014023"</f>
        <v>202303014023</v>
      </c>
      <c r="D415" s="13">
        <v>81.400000000000006</v>
      </c>
      <c r="E415" s="14">
        <v>104.5</v>
      </c>
      <c r="F415" s="15" t="s">
        <v>8</v>
      </c>
    </row>
    <row r="416" spans="1:6" ht="17.100000000000001" customHeight="1">
      <c r="A416" s="11" t="s">
        <v>422</v>
      </c>
      <c r="B416" s="12">
        <v>202303017</v>
      </c>
      <c r="C416" s="12" t="str">
        <f>"202303014024"</f>
        <v>202303014024</v>
      </c>
      <c r="D416" s="13">
        <v>102</v>
      </c>
      <c r="E416" s="14">
        <v>102</v>
      </c>
      <c r="F416" s="15" t="s">
        <v>8</v>
      </c>
    </row>
    <row r="417" spans="1:6" ht="17.100000000000001" customHeight="1">
      <c r="A417" s="11" t="s">
        <v>423</v>
      </c>
      <c r="B417" s="12">
        <v>202303017</v>
      </c>
      <c r="C417" s="12" t="str">
        <f>"202303014025"</f>
        <v>202303014025</v>
      </c>
      <c r="D417" s="13">
        <v>94.7</v>
      </c>
      <c r="E417" s="14">
        <v>101.5</v>
      </c>
      <c r="F417" s="15" t="s">
        <v>8</v>
      </c>
    </row>
    <row r="418" spans="1:6" ht="17.100000000000001" customHeight="1">
      <c r="A418" s="11" t="s">
        <v>424</v>
      </c>
      <c r="B418" s="12">
        <v>202303017</v>
      </c>
      <c r="C418" s="12" t="str">
        <f>"202303014026"</f>
        <v>202303014026</v>
      </c>
      <c r="D418" s="13">
        <v>73.2</v>
      </c>
      <c r="E418" s="14">
        <v>79</v>
      </c>
      <c r="F418" s="15" t="s">
        <v>8</v>
      </c>
    </row>
    <row r="419" spans="1:6" ht="17.100000000000001" customHeight="1">
      <c r="A419" s="11" t="s">
        <v>425</v>
      </c>
      <c r="B419" s="12">
        <v>202303017</v>
      </c>
      <c r="C419" s="12" t="str">
        <f>"202303014027"</f>
        <v>202303014027</v>
      </c>
      <c r="D419" s="13">
        <v>83.2</v>
      </c>
      <c r="E419" s="14">
        <v>89.5</v>
      </c>
      <c r="F419" s="15" t="s">
        <v>8</v>
      </c>
    </row>
    <row r="420" spans="1:6" ht="17.100000000000001" customHeight="1">
      <c r="A420" s="11" t="s">
        <v>426</v>
      </c>
      <c r="B420" s="12">
        <v>202303017</v>
      </c>
      <c r="C420" s="12" t="str">
        <f>"202303014028"</f>
        <v>202303014028</v>
      </c>
      <c r="D420" s="13">
        <v>93.8</v>
      </c>
      <c r="E420" s="14">
        <v>76.5</v>
      </c>
      <c r="F420" s="15" t="s">
        <v>8</v>
      </c>
    </row>
    <row r="421" spans="1:6" ht="17.100000000000001" customHeight="1">
      <c r="A421" s="11" t="s">
        <v>427</v>
      </c>
      <c r="B421" s="12">
        <v>202303017</v>
      </c>
      <c r="C421" s="12" t="str">
        <f>"202303014029"</f>
        <v>202303014029</v>
      </c>
      <c r="D421" s="13">
        <v>80.400000000000006</v>
      </c>
      <c r="E421" s="14">
        <v>86</v>
      </c>
      <c r="F421" s="15" t="s">
        <v>8</v>
      </c>
    </row>
    <row r="422" spans="1:6" ht="17.100000000000001" customHeight="1">
      <c r="A422" s="11" t="s">
        <v>428</v>
      </c>
      <c r="B422" s="12">
        <v>202303017</v>
      </c>
      <c r="C422" s="12" t="str">
        <f>"202303014030"</f>
        <v>202303014030</v>
      </c>
      <c r="D422" s="13">
        <v>88.4</v>
      </c>
      <c r="E422" s="14">
        <v>103.5</v>
      </c>
      <c r="F422" s="15" t="s">
        <v>8</v>
      </c>
    </row>
    <row r="423" spans="1:6" ht="17.100000000000001" customHeight="1">
      <c r="A423" s="11" t="s">
        <v>429</v>
      </c>
      <c r="B423" s="12">
        <v>202303017</v>
      </c>
      <c r="C423" s="12" t="str">
        <f>"202303015001"</f>
        <v>202303015001</v>
      </c>
      <c r="D423" s="13">
        <v>86.6</v>
      </c>
      <c r="E423" s="14">
        <v>105.5</v>
      </c>
      <c r="F423" s="15" t="s">
        <v>8</v>
      </c>
    </row>
    <row r="424" spans="1:6" ht="17.100000000000001" customHeight="1">
      <c r="A424" s="11" t="s">
        <v>430</v>
      </c>
      <c r="B424" s="12">
        <v>202303017</v>
      </c>
      <c r="C424" s="12" t="str">
        <f>"202303015002"</f>
        <v>202303015002</v>
      </c>
      <c r="D424" s="13">
        <v>72.7</v>
      </c>
      <c r="E424" s="14">
        <v>94.5</v>
      </c>
      <c r="F424" s="15" t="s">
        <v>8</v>
      </c>
    </row>
    <row r="425" spans="1:6" ht="17.100000000000001" customHeight="1">
      <c r="A425" s="11" t="s">
        <v>431</v>
      </c>
      <c r="B425" s="12">
        <v>202303017</v>
      </c>
      <c r="C425" s="12" t="str">
        <f>"202303015003"</f>
        <v>202303015003</v>
      </c>
      <c r="D425" s="13">
        <v>82.8</v>
      </c>
      <c r="E425" s="14">
        <v>104</v>
      </c>
      <c r="F425" s="15" t="s">
        <v>8</v>
      </c>
    </row>
    <row r="426" spans="1:6" ht="17.100000000000001" customHeight="1">
      <c r="A426" s="11" t="s">
        <v>432</v>
      </c>
      <c r="B426" s="12">
        <v>202303017</v>
      </c>
      <c r="C426" s="12" t="str">
        <f>"202303015004"</f>
        <v>202303015004</v>
      </c>
      <c r="D426" s="13">
        <v>62.3</v>
      </c>
      <c r="E426" s="14">
        <v>101</v>
      </c>
      <c r="F426" s="15" t="s">
        <v>8</v>
      </c>
    </row>
    <row r="427" spans="1:6" ht="17.100000000000001" customHeight="1">
      <c r="A427" s="11" t="s">
        <v>433</v>
      </c>
      <c r="B427" s="12">
        <v>202303017</v>
      </c>
      <c r="C427" s="12" t="str">
        <f>"202303015005"</f>
        <v>202303015005</v>
      </c>
      <c r="D427" s="13">
        <v>72.7</v>
      </c>
      <c r="E427" s="14">
        <v>103.5</v>
      </c>
      <c r="F427" s="15" t="s">
        <v>8</v>
      </c>
    </row>
    <row r="428" spans="1:6" ht="17.100000000000001" customHeight="1">
      <c r="A428" s="11" t="s">
        <v>434</v>
      </c>
      <c r="B428" s="12">
        <v>202303017</v>
      </c>
      <c r="C428" s="12" t="str">
        <f>"202303015006"</f>
        <v>202303015006</v>
      </c>
      <c r="D428" s="13">
        <v>0</v>
      </c>
      <c r="E428" s="14">
        <v>0</v>
      </c>
      <c r="F428" s="15" t="s">
        <v>12</v>
      </c>
    </row>
    <row r="429" spans="1:6" ht="17.100000000000001" customHeight="1">
      <c r="A429" s="11" t="s">
        <v>435</v>
      </c>
      <c r="B429" s="12">
        <v>202303017</v>
      </c>
      <c r="C429" s="12" t="str">
        <f>"202303015007"</f>
        <v>202303015007</v>
      </c>
      <c r="D429" s="13">
        <v>0</v>
      </c>
      <c r="E429" s="14">
        <v>0</v>
      </c>
      <c r="F429" s="15" t="s">
        <v>12</v>
      </c>
    </row>
    <row r="430" spans="1:6" ht="17.100000000000001" customHeight="1">
      <c r="A430" s="11" t="s">
        <v>436</v>
      </c>
      <c r="B430" s="12">
        <v>202303017</v>
      </c>
      <c r="C430" s="12" t="str">
        <f>"202303015008"</f>
        <v>202303015008</v>
      </c>
      <c r="D430" s="13">
        <v>81.099999999999994</v>
      </c>
      <c r="E430" s="14">
        <v>94</v>
      </c>
      <c r="F430" s="15" t="s">
        <v>8</v>
      </c>
    </row>
    <row r="431" spans="1:6" ht="17.100000000000001" customHeight="1">
      <c r="A431" s="11" t="s">
        <v>437</v>
      </c>
      <c r="B431" s="12">
        <v>202303017</v>
      </c>
      <c r="C431" s="12" t="str">
        <f>"202303015009"</f>
        <v>202303015009</v>
      </c>
      <c r="D431" s="13">
        <v>0</v>
      </c>
      <c r="E431" s="14">
        <v>0</v>
      </c>
      <c r="F431" s="15" t="s">
        <v>12</v>
      </c>
    </row>
    <row r="432" spans="1:6" ht="17.100000000000001" customHeight="1">
      <c r="A432" s="11" t="s">
        <v>438</v>
      </c>
      <c r="B432" s="12">
        <v>202303017</v>
      </c>
      <c r="C432" s="12" t="str">
        <f>"202303015010"</f>
        <v>202303015010</v>
      </c>
      <c r="D432" s="13">
        <v>76.599999999999994</v>
      </c>
      <c r="E432" s="14">
        <v>97.5</v>
      </c>
      <c r="F432" s="15" t="s">
        <v>8</v>
      </c>
    </row>
    <row r="433" spans="1:6" ht="17.100000000000001" customHeight="1">
      <c r="A433" s="11" t="s">
        <v>439</v>
      </c>
      <c r="B433" s="12">
        <v>202303017</v>
      </c>
      <c r="C433" s="12" t="str">
        <f>"202303015011"</f>
        <v>202303015011</v>
      </c>
      <c r="D433" s="13">
        <v>0</v>
      </c>
      <c r="E433" s="14">
        <v>0</v>
      </c>
      <c r="F433" s="15" t="s">
        <v>12</v>
      </c>
    </row>
    <row r="434" spans="1:6" ht="17.100000000000001" customHeight="1">
      <c r="A434" s="11" t="s">
        <v>440</v>
      </c>
      <c r="B434" s="12">
        <v>202303017</v>
      </c>
      <c r="C434" s="12" t="str">
        <f>"202303015012"</f>
        <v>202303015012</v>
      </c>
      <c r="D434" s="13">
        <v>82.5</v>
      </c>
      <c r="E434" s="14">
        <v>44</v>
      </c>
      <c r="F434" s="15" t="s">
        <v>8</v>
      </c>
    </row>
    <row r="435" spans="1:6" ht="17.100000000000001" customHeight="1">
      <c r="A435" s="11" t="s">
        <v>441</v>
      </c>
      <c r="B435" s="12">
        <v>202303017</v>
      </c>
      <c r="C435" s="12" t="str">
        <f>"202303015013"</f>
        <v>202303015013</v>
      </c>
      <c r="D435" s="13">
        <v>41.5</v>
      </c>
      <c r="E435" s="14">
        <v>98.5</v>
      </c>
      <c r="F435" s="15" t="s">
        <v>8</v>
      </c>
    </row>
    <row r="436" spans="1:6" ht="17.100000000000001" customHeight="1">
      <c r="A436" s="11" t="s">
        <v>442</v>
      </c>
      <c r="B436" s="12">
        <v>202303017</v>
      </c>
      <c r="C436" s="12" t="str">
        <f>"202303015014"</f>
        <v>202303015014</v>
      </c>
      <c r="D436" s="13">
        <v>70</v>
      </c>
      <c r="E436" s="14">
        <v>52</v>
      </c>
      <c r="F436" s="15" t="s">
        <v>8</v>
      </c>
    </row>
    <row r="437" spans="1:6" ht="17.100000000000001" customHeight="1">
      <c r="A437" s="11" t="s">
        <v>443</v>
      </c>
      <c r="B437" s="12">
        <v>202303017</v>
      </c>
      <c r="C437" s="12" t="str">
        <f>"202303015015"</f>
        <v>202303015015</v>
      </c>
      <c r="D437" s="13">
        <v>0</v>
      </c>
      <c r="E437" s="14">
        <v>0</v>
      </c>
      <c r="F437" s="15" t="s">
        <v>12</v>
      </c>
    </row>
    <row r="438" spans="1:6" ht="17.100000000000001" customHeight="1">
      <c r="A438" s="11" t="s">
        <v>444</v>
      </c>
      <c r="B438" s="12">
        <v>202303017</v>
      </c>
      <c r="C438" s="12" t="str">
        <f>"202303015016"</f>
        <v>202303015016</v>
      </c>
      <c r="D438" s="13">
        <v>73.5</v>
      </c>
      <c r="E438" s="14">
        <v>80</v>
      </c>
      <c r="F438" s="15" t="s">
        <v>8</v>
      </c>
    </row>
    <row r="439" spans="1:6" ht="17.100000000000001" customHeight="1">
      <c r="A439" s="11" t="s">
        <v>445</v>
      </c>
      <c r="B439" s="12">
        <v>202303017</v>
      </c>
      <c r="C439" s="12" t="str">
        <f>"202303015017"</f>
        <v>202303015017</v>
      </c>
      <c r="D439" s="13">
        <v>99</v>
      </c>
      <c r="E439" s="14">
        <v>101.5</v>
      </c>
      <c r="F439" s="15" t="s">
        <v>8</v>
      </c>
    </row>
    <row r="440" spans="1:6" ht="17.100000000000001" customHeight="1">
      <c r="A440" s="11" t="s">
        <v>446</v>
      </c>
      <c r="B440" s="12">
        <v>202303017</v>
      </c>
      <c r="C440" s="12" t="str">
        <f>"202303015018"</f>
        <v>202303015018</v>
      </c>
      <c r="D440" s="13">
        <v>0</v>
      </c>
      <c r="E440" s="14">
        <v>0</v>
      </c>
      <c r="F440" s="15" t="s">
        <v>12</v>
      </c>
    </row>
    <row r="441" spans="1:6" ht="17.100000000000001" customHeight="1">
      <c r="A441" s="11" t="s">
        <v>447</v>
      </c>
      <c r="B441" s="12">
        <v>202303017</v>
      </c>
      <c r="C441" s="12" t="str">
        <f>"202303015019"</f>
        <v>202303015019</v>
      </c>
      <c r="D441" s="13">
        <v>77.7</v>
      </c>
      <c r="E441" s="14">
        <v>90.5</v>
      </c>
      <c r="F441" s="15" t="s">
        <v>8</v>
      </c>
    </row>
    <row r="442" spans="1:6" ht="17.100000000000001" customHeight="1">
      <c r="A442" s="11" t="s">
        <v>448</v>
      </c>
      <c r="B442" s="12">
        <v>202303017</v>
      </c>
      <c r="C442" s="12" t="str">
        <f>"202303015020"</f>
        <v>202303015020</v>
      </c>
      <c r="D442" s="13">
        <v>0</v>
      </c>
      <c r="E442" s="14">
        <v>0</v>
      </c>
      <c r="F442" s="15" t="s">
        <v>12</v>
      </c>
    </row>
    <row r="443" spans="1:6" ht="17.100000000000001" customHeight="1">
      <c r="A443" s="11" t="s">
        <v>449</v>
      </c>
      <c r="B443" s="12">
        <v>202303017</v>
      </c>
      <c r="C443" s="12" t="str">
        <f>"202303015021"</f>
        <v>202303015021</v>
      </c>
      <c r="D443" s="13">
        <v>78.2</v>
      </c>
      <c r="E443" s="14">
        <v>95.5</v>
      </c>
      <c r="F443" s="15" t="s">
        <v>8</v>
      </c>
    </row>
    <row r="444" spans="1:6" ht="17.100000000000001" customHeight="1">
      <c r="A444" s="11" t="s">
        <v>450</v>
      </c>
      <c r="B444" s="12">
        <v>202303017</v>
      </c>
      <c r="C444" s="12" t="str">
        <f>"202303015022"</f>
        <v>202303015022</v>
      </c>
      <c r="D444" s="13">
        <v>76.900000000000006</v>
      </c>
      <c r="E444" s="14">
        <v>81.5</v>
      </c>
      <c r="F444" s="15" t="s">
        <v>8</v>
      </c>
    </row>
    <row r="445" spans="1:6" ht="17.100000000000001" customHeight="1">
      <c r="A445" s="11" t="s">
        <v>451</v>
      </c>
      <c r="B445" s="12">
        <v>202303017</v>
      </c>
      <c r="C445" s="12" t="str">
        <f>"202303015023"</f>
        <v>202303015023</v>
      </c>
      <c r="D445" s="13">
        <v>66.7</v>
      </c>
      <c r="E445" s="14">
        <v>107.5</v>
      </c>
      <c r="F445" s="15" t="s">
        <v>8</v>
      </c>
    </row>
    <row r="446" spans="1:6" ht="17.100000000000001" customHeight="1">
      <c r="A446" s="11" t="s">
        <v>452</v>
      </c>
      <c r="B446" s="12">
        <v>202303017</v>
      </c>
      <c r="C446" s="12" t="str">
        <f>"202303015024"</f>
        <v>202303015024</v>
      </c>
      <c r="D446" s="13">
        <v>0</v>
      </c>
      <c r="E446" s="14">
        <v>0</v>
      </c>
      <c r="F446" s="15" t="s">
        <v>12</v>
      </c>
    </row>
    <row r="447" spans="1:6" ht="17.100000000000001" customHeight="1">
      <c r="A447" s="11" t="s">
        <v>453</v>
      </c>
      <c r="B447" s="12">
        <v>202303017</v>
      </c>
      <c r="C447" s="12" t="str">
        <f>"202303015025"</f>
        <v>202303015025</v>
      </c>
      <c r="D447" s="13">
        <v>85.7</v>
      </c>
      <c r="E447" s="14">
        <v>100.5</v>
      </c>
      <c r="F447" s="15" t="s">
        <v>8</v>
      </c>
    </row>
    <row r="448" spans="1:6" ht="17.100000000000001" customHeight="1">
      <c r="A448" s="11" t="s">
        <v>454</v>
      </c>
      <c r="B448" s="12">
        <v>202303017</v>
      </c>
      <c r="C448" s="12" t="str">
        <f>"202303015026"</f>
        <v>202303015026</v>
      </c>
      <c r="D448" s="13">
        <v>105.6</v>
      </c>
      <c r="E448" s="14">
        <v>104.5</v>
      </c>
      <c r="F448" s="15" t="s">
        <v>8</v>
      </c>
    </row>
    <row r="449" spans="1:6" ht="17.100000000000001" customHeight="1">
      <c r="A449" s="11" t="s">
        <v>455</v>
      </c>
      <c r="B449" s="12">
        <v>202303017</v>
      </c>
      <c r="C449" s="12" t="str">
        <f>"202303015027"</f>
        <v>202303015027</v>
      </c>
      <c r="D449" s="13">
        <v>70</v>
      </c>
      <c r="E449" s="14">
        <v>103.5</v>
      </c>
      <c r="F449" s="15" t="s">
        <v>8</v>
      </c>
    </row>
    <row r="450" spans="1:6" ht="17.100000000000001" customHeight="1">
      <c r="A450" s="11" t="s">
        <v>456</v>
      </c>
      <c r="B450" s="12">
        <v>202303017</v>
      </c>
      <c r="C450" s="12" t="str">
        <f>"202303015028"</f>
        <v>202303015028</v>
      </c>
      <c r="D450" s="13">
        <v>0</v>
      </c>
      <c r="E450" s="14">
        <v>0</v>
      </c>
      <c r="F450" s="15" t="s">
        <v>12</v>
      </c>
    </row>
    <row r="451" spans="1:6" ht="17.100000000000001" customHeight="1">
      <c r="A451" s="11" t="s">
        <v>457</v>
      </c>
      <c r="B451" s="12">
        <v>202303017</v>
      </c>
      <c r="C451" s="12" t="str">
        <f>"202303015029"</f>
        <v>202303015029</v>
      </c>
      <c r="D451" s="13">
        <v>0</v>
      </c>
      <c r="E451" s="14">
        <v>0</v>
      </c>
      <c r="F451" s="15" t="s">
        <v>12</v>
      </c>
    </row>
    <row r="452" spans="1:6" ht="17.100000000000001" customHeight="1">
      <c r="A452" s="11" t="s">
        <v>458</v>
      </c>
      <c r="B452" s="12">
        <v>202303017</v>
      </c>
      <c r="C452" s="12" t="str">
        <f>"202303015030"</f>
        <v>202303015030</v>
      </c>
      <c r="D452" s="13">
        <v>0</v>
      </c>
      <c r="E452" s="14">
        <v>0</v>
      </c>
      <c r="F452" s="15" t="s">
        <v>12</v>
      </c>
    </row>
    <row r="453" spans="1:6" ht="17.100000000000001" customHeight="1">
      <c r="A453" s="11" t="s">
        <v>459</v>
      </c>
      <c r="B453" s="12">
        <v>202303017</v>
      </c>
      <c r="C453" s="12" t="str">
        <f>"202303016001"</f>
        <v>202303016001</v>
      </c>
      <c r="D453" s="13">
        <v>0</v>
      </c>
      <c r="E453" s="14">
        <v>0</v>
      </c>
      <c r="F453" s="15" t="s">
        <v>12</v>
      </c>
    </row>
    <row r="454" spans="1:6" ht="17.100000000000001" customHeight="1">
      <c r="A454" s="11" t="s">
        <v>460</v>
      </c>
      <c r="B454" s="12">
        <v>202303017</v>
      </c>
      <c r="C454" s="12" t="str">
        <f>"202303016002"</f>
        <v>202303016002</v>
      </c>
      <c r="D454" s="13">
        <v>90.4</v>
      </c>
      <c r="E454" s="14">
        <v>102.5</v>
      </c>
      <c r="F454" s="15" t="s">
        <v>8</v>
      </c>
    </row>
    <row r="455" spans="1:6" ht="17.100000000000001" customHeight="1">
      <c r="A455" s="11" t="s">
        <v>461</v>
      </c>
      <c r="B455" s="12">
        <v>202303017</v>
      </c>
      <c r="C455" s="12" t="str">
        <f>"202303016003"</f>
        <v>202303016003</v>
      </c>
      <c r="D455" s="13">
        <v>75.599999999999994</v>
      </c>
      <c r="E455" s="14">
        <v>100.5</v>
      </c>
      <c r="F455" s="15" t="s">
        <v>8</v>
      </c>
    </row>
    <row r="456" spans="1:6" ht="17.100000000000001" customHeight="1">
      <c r="A456" s="11" t="s">
        <v>462</v>
      </c>
      <c r="B456" s="12">
        <v>202303017</v>
      </c>
      <c r="C456" s="12" t="str">
        <f>"202303016004"</f>
        <v>202303016004</v>
      </c>
      <c r="D456" s="13">
        <v>81.7</v>
      </c>
      <c r="E456" s="14">
        <v>82</v>
      </c>
      <c r="F456" s="15" t="s">
        <v>8</v>
      </c>
    </row>
    <row r="457" spans="1:6" ht="17.100000000000001" customHeight="1">
      <c r="A457" s="11" t="s">
        <v>463</v>
      </c>
      <c r="B457" s="12">
        <v>202303017</v>
      </c>
      <c r="C457" s="12" t="str">
        <f>"202303016005"</f>
        <v>202303016005</v>
      </c>
      <c r="D457" s="13">
        <v>92.9</v>
      </c>
      <c r="E457" s="14">
        <v>97</v>
      </c>
      <c r="F457" s="15" t="s">
        <v>8</v>
      </c>
    </row>
    <row r="458" spans="1:6" ht="17.100000000000001" customHeight="1">
      <c r="A458" s="11" t="s">
        <v>464</v>
      </c>
      <c r="B458" s="12">
        <v>202303017</v>
      </c>
      <c r="C458" s="12" t="str">
        <f>"202303016006"</f>
        <v>202303016006</v>
      </c>
      <c r="D458" s="13">
        <v>0</v>
      </c>
      <c r="E458" s="14">
        <v>0</v>
      </c>
      <c r="F458" s="15" t="s">
        <v>12</v>
      </c>
    </row>
    <row r="459" spans="1:6" ht="17.100000000000001" customHeight="1">
      <c r="A459" s="11" t="s">
        <v>465</v>
      </c>
      <c r="B459" s="12">
        <v>202303017</v>
      </c>
      <c r="C459" s="12" t="str">
        <f>"202303016007"</f>
        <v>202303016007</v>
      </c>
      <c r="D459" s="13">
        <v>0</v>
      </c>
      <c r="E459" s="14">
        <v>0</v>
      </c>
      <c r="F459" s="15" t="s">
        <v>12</v>
      </c>
    </row>
    <row r="460" spans="1:6" ht="17.100000000000001" customHeight="1">
      <c r="A460" s="11" t="s">
        <v>466</v>
      </c>
      <c r="B460" s="12">
        <v>202303017</v>
      </c>
      <c r="C460" s="12" t="str">
        <f>"202303016008"</f>
        <v>202303016008</v>
      </c>
      <c r="D460" s="13">
        <v>0</v>
      </c>
      <c r="E460" s="14">
        <v>0</v>
      </c>
      <c r="F460" s="15" t="s">
        <v>12</v>
      </c>
    </row>
    <row r="461" spans="1:6" ht="17.100000000000001" customHeight="1">
      <c r="A461" s="11" t="s">
        <v>467</v>
      </c>
      <c r="B461" s="12">
        <v>202303017</v>
      </c>
      <c r="C461" s="12" t="str">
        <f>"202303016009"</f>
        <v>202303016009</v>
      </c>
      <c r="D461" s="13">
        <v>77</v>
      </c>
      <c r="E461" s="14">
        <v>102</v>
      </c>
      <c r="F461" s="15" t="s">
        <v>8</v>
      </c>
    </row>
    <row r="462" spans="1:6" ht="17.100000000000001" customHeight="1">
      <c r="A462" s="11" t="s">
        <v>468</v>
      </c>
      <c r="B462" s="12">
        <v>202303017</v>
      </c>
      <c r="C462" s="12" t="str">
        <f>"202303016010"</f>
        <v>202303016010</v>
      </c>
      <c r="D462" s="13">
        <v>0</v>
      </c>
      <c r="E462" s="14">
        <v>0</v>
      </c>
      <c r="F462" s="15" t="s">
        <v>12</v>
      </c>
    </row>
    <row r="463" spans="1:6" ht="17.100000000000001" customHeight="1">
      <c r="A463" s="11" t="s">
        <v>469</v>
      </c>
      <c r="B463" s="12">
        <v>202303017</v>
      </c>
      <c r="C463" s="12" t="str">
        <f>"202303016011"</f>
        <v>202303016011</v>
      </c>
      <c r="D463" s="13">
        <v>0</v>
      </c>
      <c r="E463" s="14">
        <v>0</v>
      </c>
      <c r="F463" s="15" t="s">
        <v>12</v>
      </c>
    </row>
    <row r="464" spans="1:6" ht="17.100000000000001" customHeight="1">
      <c r="A464" s="11" t="s">
        <v>470</v>
      </c>
      <c r="B464" s="12">
        <v>202303017</v>
      </c>
      <c r="C464" s="12" t="str">
        <f>"202303016012"</f>
        <v>202303016012</v>
      </c>
      <c r="D464" s="13">
        <v>0</v>
      </c>
      <c r="E464" s="14">
        <v>0</v>
      </c>
      <c r="F464" s="15" t="s">
        <v>12</v>
      </c>
    </row>
    <row r="465" spans="1:6" ht="17.100000000000001" customHeight="1">
      <c r="A465" s="11" t="s">
        <v>471</v>
      </c>
      <c r="B465" s="12">
        <v>202303018</v>
      </c>
      <c r="C465" s="12" t="str">
        <f>"202303016013"</f>
        <v>202303016013</v>
      </c>
      <c r="D465" s="13">
        <v>0</v>
      </c>
      <c r="E465" s="14">
        <v>0</v>
      </c>
      <c r="F465" s="15" t="s">
        <v>12</v>
      </c>
    </row>
    <row r="466" spans="1:6" ht="17.100000000000001" customHeight="1">
      <c r="A466" s="11" t="s">
        <v>472</v>
      </c>
      <c r="B466" s="12">
        <v>202303018</v>
      </c>
      <c r="C466" s="12" t="str">
        <f>"202303016014"</f>
        <v>202303016014</v>
      </c>
      <c r="D466" s="13">
        <v>103.8</v>
      </c>
      <c r="E466" s="14">
        <v>99</v>
      </c>
      <c r="F466" s="15" t="s">
        <v>8</v>
      </c>
    </row>
    <row r="467" spans="1:6" ht="17.100000000000001" customHeight="1">
      <c r="A467" s="11" t="s">
        <v>473</v>
      </c>
      <c r="B467" s="12">
        <v>202303018</v>
      </c>
      <c r="C467" s="12" t="str">
        <f>"202303016015"</f>
        <v>202303016015</v>
      </c>
      <c r="D467" s="13">
        <v>88.1</v>
      </c>
      <c r="E467" s="14">
        <v>107</v>
      </c>
      <c r="F467" s="15" t="s">
        <v>8</v>
      </c>
    </row>
    <row r="468" spans="1:6" ht="17.100000000000001" customHeight="1">
      <c r="A468" s="11" t="s">
        <v>474</v>
      </c>
      <c r="B468" s="12">
        <v>202303018</v>
      </c>
      <c r="C468" s="12" t="str">
        <f>"202303016016"</f>
        <v>202303016016</v>
      </c>
      <c r="D468" s="13">
        <v>93.7</v>
      </c>
      <c r="E468" s="14">
        <v>99</v>
      </c>
      <c r="F468" s="15" t="s">
        <v>8</v>
      </c>
    </row>
    <row r="469" spans="1:6" ht="17.100000000000001" customHeight="1">
      <c r="A469" s="11" t="s">
        <v>475</v>
      </c>
      <c r="B469" s="12">
        <v>202303018</v>
      </c>
      <c r="C469" s="12" t="str">
        <f>"202303016017"</f>
        <v>202303016017</v>
      </c>
      <c r="D469" s="13">
        <v>71.400000000000006</v>
      </c>
      <c r="E469" s="14">
        <v>104.5</v>
      </c>
      <c r="F469" s="15" t="s">
        <v>8</v>
      </c>
    </row>
    <row r="470" spans="1:6" ht="17.100000000000001" customHeight="1">
      <c r="A470" s="11" t="s">
        <v>476</v>
      </c>
      <c r="B470" s="12">
        <v>202303018</v>
      </c>
      <c r="C470" s="12" t="str">
        <f>"202303016018"</f>
        <v>202303016018</v>
      </c>
      <c r="D470" s="13">
        <v>0</v>
      </c>
      <c r="E470" s="14">
        <v>0</v>
      </c>
      <c r="F470" s="15" t="s">
        <v>12</v>
      </c>
    </row>
    <row r="471" spans="1:6" ht="17.100000000000001" customHeight="1">
      <c r="A471" s="11" t="s">
        <v>477</v>
      </c>
      <c r="B471" s="12">
        <v>202303018</v>
      </c>
      <c r="C471" s="12" t="str">
        <f>"202303016019"</f>
        <v>202303016019</v>
      </c>
      <c r="D471" s="13">
        <v>90.6</v>
      </c>
      <c r="E471" s="14">
        <v>108</v>
      </c>
      <c r="F471" s="15" t="s">
        <v>8</v>
      </c>
    </row>
    <row r="472" spans="1:6" ht="17.100000000000001" customHeight="1">
      <c r="A472" s="11" t="s">
        <v>478</v>
      </c>
      <c r="B472" s="12">
        <v>202303018</v>
      </c>
      <c r="C472" s="12" t="str">
        <f>"202303016020"</f>
        <v>202303016020</v>
      </c>
      <c r="D472" s="13">
        <v>0</v>
      </c>
      <c r="E472" s="14">
        <v>0</v>
      </c>
      <c r="F472" s="15" t="s">
        <v>12</v>
      </c>
    </row>
    <row r="473" spans="1:6" ht="17.100000000000001" customHeight="1">
      <c r="A473" s="11" t="s">
        <v>479</v>
      </c>
      <c r="B473" s="12">
        <v>202303018</v>
      </c>
      <c r="C473" s="12" t="str">
        <f>"202303016021"</f>
        <v>202303016021</v>
      </c>
      <c r="D473" s="13">
        <v>0</v>
      </c>
      <c r="E473" s="14">
        <v>0</v>
      </c>
      <c r="F473" s="15" t="s">
        <v>12</v>
      </c>
    </row>
    <row r="474" spans="1:6" ht="17.100000000000001" customHeight="1">
      <c r="A474" s="11" t="s">
        <v>480</v>
      </c>
      <c r="B474" s="12">
        <v>202303018</v>
      </c>
      <c r="C474" s="12" t="str">
        <f>"202303016022"</f>
        <v>202303016022</v>
      </c>
      <c r="D474" s="13">
        <v>83.4</v>
      </c>
      <c r="E474" s="14">
        <v>104</v>
      </c>
      <c r="F474" s="15" t="s">
        <v>8</v>
      </c>
    </row>
    <row r="475" spans="1:6" ht="17.100000000000001" customHeight="1">
      <c r="A475" s="11" t="s">
        <v>481</v>
      </c>
      <c r="B475" s="12">
        <v>202303018</v>
      </c>
      <c r="C475" s="12" t="str">
        <f>"202303016023"</f>
        <v>202303016023</v>
      </c>
      <c r="D475" s="13">
        <v>0</v>
      </c>
      <c r="E475" s="14">
        <v>0</v>
      </c>
      <c r="F475" s="15" t="s">
        <v>12</v>
      </c>
    </row>
    <row r="476" spans="1:6" ht="17.100000000000001" customHeight="1">
      <c r="A476" s="11" t="s">
        <v>482</v>
      </c>
      <c r="B476" s="12">
        <v>202303018</v>
      </c>
      <c r="C476" s="12" t="str">
        <f>"202303016024"</f>
        <v>202303016024</v>
      </c>
      <c r="D476" s="13">
        <v>102.3</v>
      </c>
      <c r="E476" s="14">
        <v>100.5</v>
      </c>
      <c r="F476" s="15" t="s">
        <v>8</v>
      </c>
    </row>
    <row r="477" spans="1:6" ht="17.100000000000001" customHeight="1">
      <c r="A477" s="11" t="s">
        <v>483</v>
      </c>
      <c r="B477" s="12">
        <v>202303018</v>
      </c>
      <c r="C477" s="12" t="str">
        <f>"202303016025"</f>
        <v>202303016025</v>
      </c>
      <c r="D477" s="13">
        <v>0</v>
      </c>
      <c r="E477" s="14">
        <v>0</v>
      </c>
      <c r="F477" s="15" t="s">
        <v>12</v>
      </c>
    </row>
    <row r="478" spans="1:6" ht="17.100000000000001" customHeight="1">
      <c r="A478" s="11" t="s">
        <v>484</v>
      </c>
      <c r="B478" s="12">
        <v>202303018</v>
      </c>
      <c r="C478" s="12" t="str">
        <f>"202303016026"</f>
        <v>202303016026</v>
      </c>
      <c r="D478" s="13">
        <v>0</v>
      </c>
      <c r="E478" s="14">
        <v>0</v>
      </c>
      <c r="F478" s="15" t="s">
        <v>12</v>
      </c>
    </row>
    <row r="479" spans="1:6" ht="17.100000000000001" customHeight="1">
      <c r="A479" s="11" t="s">
        <v>485</v>
      </c>
      <c r="B479" s="12">
        <v>202303018</v>
      </c>
      <c r="C479" s="12" t="str">
        <f>"202303016027"</f>
        <v>202303016027</v>
      </c>
      <c r="D479" s="13">
        <v>83.6</v>
      </c>
      <c r="E479" s="14">
        <v>98</v>
      </c>
      <c r="F479" s="15" t="s">
        <v>8</v>
      </c>
    </row>
    <row r="480" spans="1:6" ht="17.100000000000001" customHeight="1">
      <c r="A480" s="11" t="s">
        <v>486</v>
      </c>
      <c r="B480" s="12">
        <v>202303018</v>
      </c>
      <c r="C480" s="12" t="str">
        <f>"202303016028"</f>
        <v>202303016028</v>
      </c>
      <c r="D480" s="13">
        <v>92.6</v>
      </c>
      <c r="E480" s="14">
        <v>104</v>
      </c>
      <c r="F480" s="15" t="s">
        <v>8</v>
      </c>
    </row>
    <row r="481" spans="1:6" ht="17.100000000000001" customHeight="1">
      <c r="A481" s="11" t="s">
        <v>487</v>
      </c>
      <c r="B481" s="12">
        <v>202303018</v>
      </c>
      <c r="C481" s="12" t="str">
        <f>"202303016029"</f>
        <v>202303016029</v>
      </c>
      <c r="D481" s="13">
        <v>89.7</v>
      </c>
      <c r="E481" s="14">
        <v>106.5</v>
      </c>
      <c r="F481" s="15" t="s">
        <v>8</v>
      </c>
    </row>
    <row r="482" spans="1:6" ht="17.100000000000001" customHeight="1">
      <c r="A482" s="11" t="s">
        <v>488</v>
      </c>
      <c r="B482" s="12">
        <v>202303018</v>
      </c>
      <c r="C482" s="12" t="str">
        <f>"202303016030"</f>
        <v>202303016030</v>
      </c>
      <c r="D482" s="13">
        <v>90.3</v>
      </c>
      <c r="E482" s="14">
        <v>101</v>
      </c>
      <c r="F482" s="15" t="s">
        <v>8</v>
      </c>
    </row>
    <row r="483" spans="1:6" ht="17.100000000000001" customHeight="1">
      <c r="A483" s="11" t="s">
        <v>489</v>
      </c>
      <c r="B483" s="12">
        <v>202303018</v>
      </c>
      <c r="C483" s="12" t="str">
        <f>"202303017001"</f>
        <v>202303017001</v>
      </c>
      <c r="D483" s="13">
        <v>83.3</v>
      </c>
      <c r="E483" s="14">
        <v>99</v>
      </c>
      <c r="F483" s="15" t="s">
        <v>8</v>
      </c>
    </row>
    <row r="484" spans="1:6" ht="17.100000000000001" customHeight="1">
      <c r="A484" s="11" t="s">
        <v>490</v>
      </c>
      <c r="B484" s="12">
        <v>202303018</v>
      </c>
      <c r="C484" s="12" t="str">
        <f>"202303017002"</f>
        <v>202303017002</v>
      </c>
      <c r="D484" s="13">
        <v>93.1</v>
      </c>
      <c r="E484" s="14">
        <v>104.5</v>
      </c>
      <c r="F484" s="15" t="s">
        <v>8</v>
      </c>
    </row>
    <row r="485" spans="1:6" ht="17.100000000000001" customHeight="1">
      <c r="A485" s="11" t="s">
        <v>491</v>
      </c>
      <c r="B485" s="12">
        <v>202303018</v>
      </c>
      <c r="C485" s="12" t="str">
        <f>"202303017003"</f>
        <v>202303017003</v>
      </c>
      <c r="D485" s="13">
        <v>94.9</v>
      </c>
      <c r="E485" s="14">
        <v>112</v>
      </c>
      <c r="F485" s="15" t="s">
        <v>8</v>
      </c>
    </row>
    <row r="486" spans="1:6" ht="17.100000000000001" customHeight="1">
      <c r="A486" s="11" t="s">
        <v>492</v>
      </c>
      <c r="B486" s="12">
        <v>202303018</v>
      </c>
      <c r="C486" s="12" t="str">
        <f>"202303017004"</f>
        <v>202303017004</v>
      </c>
      <c r="D486" s="13">
        <v>107.1</v>
      </c>
      <c r="E486" s="14">
        <v>115</v>
      </c>
      <c r="F486" s="15" t="s">
        <v>8</v>
      </c>
    </row>
    <row r="487" spans="1:6" ht="17.100000000000001" customHeight="1">
      <c r="A487" s="11" t="s">
        <v>493</v>
      </c>
      <c r="B487" s="12">
        <v>202303018</v>
      </c>
      <c r="C487" s="12" t="str">
        <f>"202303017005"</f>
        <v>202303017005</v>
      </c>
      <c r="D487" s="13">
        <v>77.2</v>
      </c>
      <c r="E487" s="14">
        <v>107.5</v>
      </c>
      <c r="F487" s="15" t="s">
        <v>8</v>
      </c>
    </row>
    <row r="488" spans="1:6" ht="17.100000000000001" customHeight="1">
      <c r="A488" s="11" t="s">
        <v>494</v>
      </c>
      <c r="B488" s="12">
        <v>202303018</v>
      </c>
      <c r="C488" s="12" t="str">
        <f>"202303017006"</f>
        <v>202303017006</v>
      </c>
      <c r="D488" s="13">
        <v>87.4</v>
      </c>
      <c r="E488" s="14">
        <v>105.5</v>
      </c>
      <c r="F488" s="15" t="s">
        <v>8</v>
      </c>
    </row>
    <row r="489" spans="1:6" ht="17.100000000000001" customHeight="1">
      <c r="A489" s="11" t="s">
        <v>495</v>
      </c>
      <c r="B489" s="12">
        <v>202303018</v>
      </c>
      <c r="C489" s="12" t="str">
        <f>"202303017007"</f>
        <v>202303017007</v>
      </c>
      <c r="D489" s="13">
        <v>95.8</v>
      </c>
      <c r="E489" s="14">
        <v>105.5</v>
      </c>
      <c r="F489" s="15" t="s">
        <v>8</v>
      </c>
    </row>
    <row r="490" spans="1:6" ht="17.100000000000001" customHeight="1">
      <c r="A490" s="11" t="s">
        <v>496</v>
      </c>
      <c r="B490" s="12">
        <v>202303018</v>
      </c>
      <c r="C490" s="12" t="str">
        <f>"202303017008"</f>
        <v>202303017008</v>
      </c>
      <c r="D490" s="13">
        <v>66</v>
      </c>
      <c r="E490" s="14">
        <v>106</v>
      </c>
      <c r="F490" s="15" t="s">
        <v>8</v>
      </c>
    </row>
    <row r="491" spans="1:6" ht="17.100000000000001" customHeight="1">
      <c r="A491" s="11" t="s">
        <v>497</v>
      </c>
      <c r="B491" s="12">
        <v>202303018</v>
      </c>
      <c r="C491" s="12" t="str">
        <f>"202303017009"</f>
        <v>202303017009</v>
      </c>
      <c r="D491" s="13">
        <v>0</v>
      </c>
      <c r="E491" s="14">
        <v>0</v>
      </c>
      <c r="F491" s="15" t="s">
        <v>12</v>
      </c>
    </row>
    <row r="492" spans="1:6" ht="17.100000000000001" customHeight="1">
      <c r="A492" s="11" t="s">
        <v>498</v>
      </c>
      <c r="B492" s="12">
        <v>202303018</v>
      </c>
      <c r="C492" s="12" t="str">
        <f>"202303017010"</f>
        <v>202303017010</v>
      </c>
      <c r="D492" s="13">
        <v>95.1</v>
      </c>
      <c r="E492" s="14">
        <v>110</v>
      </c>
      <c r="F492" s="15" t="s">
        <v>8</v>
      </c>
    </row>
    <row r="493" spans="1:6" ht="17.100000000000001" customHeight="1">
      <c r="A493" s="11" t="s">
        <v>499</v>
      </c>
      <c r="B493" s="12">
        <v>202303018</v>
      </c>
      <c r="C493" s="12" t="str">
        <f>"202303017011"</f>
        <v>202303017011</v>
      </c>
      <c r="D493" s="13">
        <v>76.5</v>
      </c>
      <c r="E493" s="14">
        <v>98</v>
      </c>
      <c r="F493" s="15" t="s">
        <v>8</v>
      </c>
    </row>
    <row r="494" spans="1:6" ht="17.100000000000001" customHeight="1">
      <c r="A494" s="11" t="s">
        <v>500</v>
      </c>
      <c r="B494" s="12">
        <v>202303019</v>
      </c>
      <c r="C494" s="12" t="str">
        <f>"202303017012"</f>
        <v>202303017012</v>
      </c>
      <c r="D494" s="13">
        <v>101</v>
      </c>
      <c r="E494" s="14">
        <v>104</v>
      </c>
      <c r="F494" s="15" t="s">
        <v>8</v>
      </c>
    </row>
    <row r="495" spans="1:6" ht="17.100000000000001" customHeight="1">
      <c r="A495" s="11" t="s">
        <v>501</v>
      </c>
      <c r="B495" s="12">
        <v>202303019</v>
      </c>
      <c r="C495" s="12" t="str">
        <f>"202303017013"</f>
        <v>202303017013</v>
      </c>
      <c r="D495" s="13">
        <v>73.599999999999994</v>
      </c>
      <c r="E495" s="14">
        <v>108</v>
      </c>
      <c r="F495" s="15" t="s">
        <v>8</v>
      </c>
    </row>
    <row r="496" spans="1:6" ht="17.100000000000001" customHeight="1">
      <c r="A496" s="11" t="s">
        <v>502</v>
      </c>
      <c r="B496" s="12">
        <v>202303019</v>
      </c>
      <c r="C496" s="12" t="str">
        <f>"202303017014"</f>
        <v>202303017014</v>
      </c>
      <c r="D496" s="13">
        <v>84.2</v>
      </c>
      <c r="E496" s="14">
        <v>105.5</v>
      </c>
      <c r="F496" s="15" t="s">
        <v>8</v>
      </c>
    </row>
    <row r="497" spans="1:6" ht="17.100000000000001" customHeight="1">
      <c r="A497" s="11" t="s">
        <v>503</v>
      </c>
      <c r="B497" s="12">
        <v>202303019</v>
      </c>
      <c r="C497" s="12" t="str">
        <f>"202303017015"</f>
        <v>202303017015</v>
      </c>
      <c r="D497" s="13">
        <v>79.5</v>
      </c>
      <c r="E497" s="14">
        <v>89</v>
      </c>
      <c r="F497" s="15" t="s">
        <v>8</v>
      </c>
    </row>
    <row r="498" spans="1:6" ht="17.100000000000001" customHeight="1">
      <c r="A498" s="11" t="s">
        <v>504</v>
      </c>
      <c r="B498" s="12">
        <v>202303019</v>
      </c>
      <c r="C498" s="12" t="str">
        <f>"202303017016"</f>
        <v>202303017016</v>
      </c>
      <c r="D498" s="13">
        <v>86.1</v>
      </c>
      <c r="E498" s="14">
        <v>114</v>
      </c>
      <c r="F498" s="15" t="s">
        <v>8</v>
      </c>
    </row>
    <row r="499" spans="1:6" ht="17.100000000000001" customHeight="1">
      <c r="A499" s="11" t="s">
        <v>505</v>
      </c>
      <c r="B499" s="12">
        <v>202303019</v>
      </c>
      <c r="C499" s="12" t="str">
        <f>"202303017017"</f>
        <v>202303017017</v>
      </c>
      <c r="D499" s="13">
        <v>0</v>
      </c>
      <c r="E499" s="14">
        <v>0</v>
      </c>
      <c r="F499" s="15" t="s">
        <v>12</v>
      </c>
    </row>
    <row r="500" spans="1:6" ht="17.100000000000001" customHeight="1">
      <c r="A500" s="11" t="s">
        <v>506</v>
      </c>
      <c r="B500" s="12">
        <v>202303019</v>
      </c>
      <c r="C500" s="12" t="str">
        <f>"202303017018"</f>
        <v>202303017018</v>
      </c>
      <c r="D500" s="13">
        <v>0</v>
      </c>
      <c r="E500" s="14">
        <v>0</v>
      </c>
      <c r="F500" s="15" t="s">
        <v>12</v>
      </c>
    </row>
    <row r="501" spans="1:6" ht="17.100000000000001" customHeight="1">
      <c r="A501" s="11" t="s">
        <v>507</v>
      </c>
      <c r="B501" s="12">
        <v>202303019</v>
      </c>
      <c r="C501" s="12" t="str">
        <f>"202303017019"</f>
        <v>202303017019</v>
      </c>
      <c r="D501" s="13">
        <v>102.1</v>
      </c>
      <c r="E501" s="14">
        <v>100.5</v>
      </c>
      <c r="F501" s="15" t="s">
        <v>8</v>
      </c>
    </row>
    <row r="502" spans="1:6" ht="17.100000000000001" customHeight="1">
      <c r="A502" s="11" t="s">
        <v>508</v>
      </c>
      <c r="B502" s="12">
        <v>202303019</v>
      </c>
      <c r="C502" s="12" t="str">
        <f>"202303017020"</f>
        <v>202303017020</v>
      </c>
      <c r="D502" s="13">
        <v>0</v>
      </c>
      <c r="E502" s="14">
        <v>0</v>
      </c>
      <c r="F502" s="15" t="s">
        <v>12</v>
      </c>
    </row>
    <row r="503" spans="1:6" ht="17.100000000000001" customHeight="1">
      <c r="A503" s="11" t="s">
        <v>509</v>
      </c>
      <c r="B503" s="12">
        <v>202303019</v>
      </c>
      <c r="C503" s="12" t="str">
        <f>"202303017021"</f>
        <v>202303017021</v>
      </c>
      <c r="D503" s="13">
        <v>82.3</v>
      </c>
      <c r="E503" s="14">
        <v>97.5</v>
      </c>
      <c r="F503" s="15" t="s">
        <v>8</v>
      </c>
    </row>
    <row r="504" spans="1:6" ht="17.100000000000001" customHeight="1">
      <c r="A504" s="11" t="s">
        <v>510</v>
      </c>
      <c r="B504" s="12">
        <v>202303019</v>
      </c>
      <c r="C504" s="12" t="str">
        <f>"202303017022"</f>
        <v>202303017022</v>
      </c>
      <c r="D504" s="13">
        <v>78.900000000000006</v>
      </c>
      <c r="E504" s="14">
        <v>102</v>
      </c>
      <c r="F504" s="15" t="s">
        <v>8</v>
      </c>
    </row>
    <row r="505" spans="1:6" ht="17.100000000000001" customHeight="1">
      <c r="A505" s="11" t="s">
        <v>511</v>
      </c>
      <c r="B505" s="12">
        <v>202303019</v>
      </c>
      <c r="C505" s="12" t="str">
        <f>"202303017023"</f>
        <v>202303017023</v>
      </c>
      <c r="D505" s="13">
        <v>78.2</v>
      </c>
      <c r="E505" s="14">
        <v>102</v>
      </c>
      <c r="F505" s="15" t="s">
        <v>8</v>
      </c>
    </row>
    <row r="506" spans="1:6" ht="17.100000000000001" customHeight="1">
      <c r="A506" s="11" t="s">
        <v>512</v>
      </c>
      <c r="B506" s="12">
        <v>202303019</v>
      </c>
      <c r="C506" s="12" t="str">
        <f>"202303017024"</f>
        <v>202303017024</v>
      </c>
      <c r="D506" s="13">
        <v>70.400000000000006</v>
      </c>
      <c r="E506" s="14">
        <v>97.5</v>
      </c>
      <c r="F506" s="15" t="s">
        <v>8</v>
      </c>
    </row>
    <row r="507" spans="1:6" ht="17.100000000000001" customHeight="1">
      <c r="A507" s="11" t="s">
        <v>513</v>
      </c>
      <c r="B507" s="12">
        <v>202303019</v>
      </c>
      <c r="C507" s="12" t="str">
        <f>"202303017025"</f>
        <v>202303017025</v>
      </c>
      <c r="D507" s="13">
        <v>0</v>
      </c>
      <c r="E507" s="14">
        <v>0</v>
      </c>
      <c r="F507" s="15" t="s">
        <v>12</v>
      </c>
    </row>
    <row r="508" spans="1:6" ht="17.100000000000001" customHeight="1">
      <c r="A508" s="11" t="s">
        <v>514</v>
      </c>
      <c r="B508" s="12">
        <v>202303019</v>
      </c>
      <c r="C508" s="12" t="str">
        <f>"202303017026"</f>
        <v>202303017026</v>
      </c>
      <c r="D508" s="13">
        <v>83.5</v>
      </c>
      <c r="E508" s="14">
        <v>107.5</v>
      </c>
      <c r="F508" s="15" t="s">
        <v>8</v>
      </c>
    </row>
    <row r="509" spans="1:6" ht="17.100000000000001" customHeight="1">
      <c r="A509" s="11" t="s">
        <v>515</v>
      </c>
      <c r="B509" s="12">
        <v>202303019</v>
      </c>
      <c r="C509" s="12" t="str">
        <f>"202303017027"</f>
        <v>202303017027</v>
      </c>
      <c r="D509" s="13">
        <v>84.9</v>
      </c>
      <c r="E509" s="14">
        <v>104.5</v>
      </c>
      <c r="F509" s="15" t="s">
        <v>8</v>
      </c>
    </row>
    <row r="510" spans="1:6" ht="17.100000000000001" customHeight="1">
      <c r="A510" s="11" t="s">
        <v>516</v>
      </c>
      <c r="B510" s="12">
        <v>202303019</v>
      </c>
      <c r="C510" s="12" t="str">
        <f>"202303017028"</f>
        <v>202303017028</v>
      </c>
      <c r="D510" s="13">
        <v>96.6</v>
      </c>
      <c r="E510" s="14">
        <v>110</v>
      </c>
      <c r="F510" s="15" t="s">
        <v>8</v>
      </c>
    </row>
    <row r="511" spans="1:6" ht="17.100000000000001" customHeight="1">
      <c r="A511" s="11" t="s">
        <v>517</v>
      </c>
      <c r="B511" s="12">
        <v>202303019</v>
      </c>
      <c r="C511" s="12" t="str">
        <f>"202303017029"</f>
        <v>202303017029</v>
      </c>
      <c r="D511" s="13">
        <v>82.2</v>
      </c>
      <c r="E511" s="14">
        <v>106</v>
      </c>
      <c r="F511" s="15" t="s">
        <v>8</v>
      </c>
    </row>
    <row r="512" spans="1:6" ht="17.100000000000001" customHeight="1">
      <c r="A512" s="11" t="s">
        <v>518</v>
      </c>
      <c r="B512" s="12">
        <v>202303019</v>
      </c>
      <c r="C512" s="12" t="str">
        <f>"202303017030"</f>
        <v>202303017030</v>
      </c>
      <c r="D512" s="13">
        <v>0</v>
      </c>
      <c r="E512" s="14">
        <v>0</v>
      </c>
      <c r="F512" s="15" t="s">
        <v>12</v>
      </c>
    </row>
    <row r="513" spans="1:6" ht="17.100000000000001" customHeight="1">
      <c r="A513" s="11" t="s">
        <v>519</v>
      </c>
      <c r="B513" s="12">
        <v>202303019</v>
      </c>
      <c r="C513" s="12" t="str">
        <f>"202303018001"</f>
        <v>202303018001</v>
      </c>
      <c r="D513" s="13">
        <v>77</v>
      </c>
      <c r="E513" s="14">
        <v>100.5</v>
      </c>
      <c r="F513" s="15" t="s">
        <v>8</v>
      </c>
    </row>
    <row r="514" spans="1:6" ht="17.100000000000001" customHeight="1">
      <c r="A514" s="11" t="s">
        <v>520</v>
      </c>
      <c r="B514" s="12">
        <v>202303019</v>
      </c>
      <c r="C514" s="12" t="str">
        <f>"202303018002"</f>
        <v>202303018002</v>
      </c>
      <c r="D514" s="13">
        <v>78.5</v>
      </c>
      <c r="E514" s="14">
        <v>104.5</v>
      </c>
      <c r="F514" s="15" t="s">
        <v>8</v>
      </c>
    </row>
    <row r="515" spans="1:6" ht="17.100000000000001" customHeight="1">
      <c r="A515" s="11" t="s">
        <v>521</v>
      </c>
      <c r="B515" s="12">
        <v>202303019</v>
      </c>
      <c r="C515" s="12" t="str">
        <f>"202303018003"</f>
        <v>202303018003</v>
      </c>
      <c r="D515" s="13">
        <v>73.2</v>
      </c>
      <c r="E515" s="14">
        <v>102.5</v>
      </c>
      <c r="F515" s="15" t="s">
        <v>8</v>
      </c>
    </row>
    <row r="516" spans="1:6" ht="17.100000000000001" customHeight="1">
      <c r="A516" s="11" t="s">
        <v>522</v>
      </c>
      <c r="B516" s="12">
        <v>202303019</v>
      </c>
      <c r="C516" s="12" t="str">
        <f>"202303018004"</f>
        <v>202303018004</v>
      </c>
      <c r="D516" s="13">
        <v>95.8</v>
      </c>
      <c r="E516" s="14">
        <v>95.5</v>
      </c>
      <c r="F516" s="15" t="s">
        <v>8</v>
      </c>
    </row>
    <row r="517" spans="1:6" ht="17.100000000000001" customHeight="1">
      <c r="A517" s="11" t="s">
        <v>523</v>
      </c>
      <c r="B517" s="12">
        <v>202303019</v>
      </c>
      <c r="C517" s="12" t="str">
        <f>"202303018005"</f>
        <v>202303018005</v>
      </c>
      <c r="D517" s="13">
        <v>68.099999999999994</v>
      </c>
      <c r="E517" s="14">
        <v>107.5</v>
      </c>
      <c r="F517" s="15" t="s">
        <v>8</v>
      </c>
    </row>
    <row r="518" spans="1:6" ht="17.100000000000001" customHeight="1">
      <c r="A518" s="11" t="s">
        <v>524</v>
      </c>
      <c r="B518" s="12">
        <v>202303019</v>
      </c>
      <c r="C518" s="12" t="str">
        <f>"202303018006"</f>
        <v>202303018006</v>
      </c>
      <c r="D518" s="13">
        <v>85.7</v>
      </c>
      <c r="E518" s="14">
        <v>107.5</v>
      </c>
      <c r="F518" s="15" t="s">
        <v>8</v>
      </c>
    </row>
    <row r="519" spans="1:6" ht="17.100000000000001" customHeight="1">
      <c r="A519" s="11" t="s">
        <v>525</v>
      </c>
      <c r="B519" s="12">
        <v>202303019</v>
      </c>
      <c r="C519" s="12" t="str">
        <f>"202303018007"</f>
        <v>202303018007</v>
      </c>
      <c r="D519" s="13">
        <v>91.9</v>
      </c>
      <c r="E519" s="14">
        <v>101</v>
      </c>
      <c r="F519" s="15" t="s">
        <v>8</v>
      </c>
    </row>
    <row r="520" spans="1:6" ht="17.100000000000001" customHeight="1">
      <c r="A520" s="11" t="s">
        <v>526</v>
      </c>
      <c r="B520" s="12">
        <v>202303019</v>
      </c>
      <c r="C520" s="12" t="str">
        <f>"202303018008"</f>
        <v>202303018008</v>
      </c>
      <c r="D520" s="13">
        <v>101.4</v>
      </c>
      <c r="E520" s="14">
        <v>101.5</v>
      </c>
      <c r="F520" s="15" t="s">
        <v>8</v>
      </c>
    </row>
    <row r="521" spans="1:6" ht="17.100000000000001" customHeight="1">
      <c r="A521" s="11" t="s">
        <v>527</v>
      </c>
      <c r="B521" s="12">
        <v>202303019</v>
      </c>
      <c r="C521" s="12" t="str">
        <f>"202303018009"</f>
        <v>202303018009</v>
      </c>
      <c r="D521" s="13">
        <v>97.1</v>
      </c>
      <c r="E521" s="14">
        <v>105</v>
      </c>
      <c r="F521" s="15" t="s">
        <v>8</v>
      </c>
    </row>
    <row r="522" spans="1:6" ht="17.100000000000001" customHeight="1">
      <c r="A522" s="11" t="s">
        <v>528</v>
      </c>
      <c r="B522" s="12">
        <v>202303019</v>
      </c>
      <c r="C522" s="12" t="str">
        <f>"202303018010"</f>
        <v>202303018010</v>
      </c>
      <c r="D522" s="13">
        <v>74.3</v>
      </c>
      <c r="E522" s="14">
        <v>88.5</v>
      </c>
      <c r="F522" s="15" t="s">
        <v>8</v>
      </c>
    </row>
    <row r="523" spans="1:6" ht="17.100000000000001" customHeight="1">
      <c r="A523" s="11" t="s">
        <v>529</v>
      </c>
      <c r="B523" s="12">
        <v>202303019</v>
      </c>
      <c r="C523" s="12" t="str">
        <f>"202303018011"</f>
        <v>202303018011</v>
      </c>
      <c r="D523" s="13">
        <v>77</v>
      </c>
      <c r="E523" s="14">
        <v>100.5</v>
      </c>
      <c r="F523" s="15" t="s">
        <v>8</v>
      </c>
    </row>
    <row r="524" spans="1:6" ht="17.100000000000001" customHeight="1">
      <c r="A524" s="11" t="s">
        <v>530</v>
      </c>
      <c r="B524" s="12">
        <v>202303019</v>
      </c>
      <c r="C524" s="12" t="str">
        <f>"202303018012"</f>
        <v>202303018012</v>
      </c>
      <c r="D524" s="13">
        <v>91.7</v>
      </c>
      <c r="E524" s="14">
        <v>100</v>
      </c>
      <c r="F524" s="15" t="s">
        <v>8</v>
      </c>
    </row>
    <row r="525" spans="1:6" ht="17.100000000000001" customHeight="1">
      <c r="A525" s="11" t="s">
        <v>531</v>
      </c>
      <c r="B525" s="12">
        <v>202303019</v>
      </c>
      <c r="C525" s="12" t="str">
        <f>"202303018013"</f>
        <v>202303018013</v>
      </c>
      <c r="D525" s="13">
        <v>66.900000000000006</v>
      </c>
      <c r="E525" s="14">
        <v>105</v>
      </c>
      <c r="F525" s="15" t="s">
        <v>8</v>
      </c>
    </row>
    <row r="526" spans="1:6" ht="17.100000000000001" customHeight="1">
      <c r="A526" s="11" t="s">
        <v>532</v>
      </c>
      <c r="B526" s="12">
        <v>202303019</v>
      </c>
      <c r="C526" s="12" t="str">
        <f>"202303018014"</f>
        <v>202303018014</v>
      </c>
      <c r="D526" s="13">
        <v>78.5</v>
      </c>
      <c r="E526" s="14">
        <v>98.5</v>
      </c>
      <c r="F526" s="15" t="s">
        <v>8</v>
      </c>
    </row>
    <row r="527" spans="1:6" ht="17.100000000000001" customHeight="1">
      <c r="A527" s="11" t="s">
        <v>533</v>
      </c>
      <c r="B527" s="12">
        <v>202303019</v>
      </c>
      <c r="C527" s="12" t="str">
        <f>"202303018015"</f>
        <v>202303018015</v>
      </c>
      <c r="D527" s="13">
        <v>87.4</v>
      </c>
      <c r="E527" s="14">
        <v>105</v>
      </c>
      <c r="F527" s="15" t="s">
        <v>8</v>
      </c>
    </row>
    <row r="528" spans="1:6" ht="17.100000000000001" customHeight="1">
      <c r="A528" s="11" t="s">
        <v>534</v>
      </c>
      <c r="B528" s="12">
        <v>202303019</v>
      </c>
      <c r="C528" s="12" t="str">
        <f>"202303018016"</f>
        <v>202303018016</v>
      </c>
      <c r="D528" s="13">
        <v>84.6</v>
      </c>
      <c r="E528" s="14">
        <v>105.5</v>
      </c>
      <c r="F528" s="15" t="s">
        <v>8</v>
      </c>
    </row>
    <row r="529" spans="1:6" ht="17.100000000000001" customHeight="1">
      <c r="A529" s="11" t="s">
        <v>535</v>
      </c>
      <c r="B529" s="12">
        <v>202303019</v>
      </c>
      <c r="C529" s="12" t="str">
        <f>"202303018017"</f>
        <v>202303018017</v>
      </c>
      <c r="D529" s="13">
        <v>79</v>
      </c>
      <c r="E529" s="14">
        <v>99.5</v>
      </c>
      <c r="F529" s="15" t="s">
        <v>8</v>
      </c>
    </row>
    <row r="530" spans="1:6" ht="17.100000000000001" customHeight="1">
      <c r="A530" s="11" t="s">
        <v>536</v>
      </c>
      <c r="B530" s="12">
        <v>202303019</v>
      </c>
      <c r="C530" s="12" t="str">
        <f>"202303018018"</f>
        <v>202303018018</v>
      </c>
      <c r="D530" s="13">
        <v>89.6</v>
      </c>
      <c r="E530" s="14">
        <v>103.5</v>
      </c>
      <c r="F530" s="15" t="s">
        <v>8</v>
      </c>
    </row>
    <row r="531" spans="1:6" ht="17.100000000000001" customHeight="1">
      <c r="A531" s="11" t="s">
        <v>537</v>
      </c>
      <c r="B531" s="12">
        <v>202303019</v>
      </c>
      <c r="C531" s="12" t="str">
        <f>"202303018019"</f>
        <v>202303018019</v>
      </c>
      <c r="D531" s="13">
        <v>99.1</v>
      </c>
      <c r="E531" s="14">
        <v>103.5</v>
      </c>
      <c r="F531" s="15" t="s">
        <v>8</v>
      </c>
    </row>
    <row r="532" spans="1:6" ht="17.100000000000001" customHeight="1">
      <c r="A532" s="11" t="s">
        <v>538</v>
      </c>
      <c r="B532" s="12">
        <v>202303019</v>
      </c>
      <c r="C532" s="12" t="str">
        <f>"202303018020"</f>
        <v>202303018020</v>
      </c>
      <c r="D532" s="13">
        <v>80.400000000000006</v>
      </c>
      <c r="E532" s="14">
        <v>104</v>
      </c>
      <c r="F532" s="15" t="s">
        <v>8</v>
      </c>
    </row>
    <row r="533" spans="1:6" ht="17.100000000000001" customHeight="1">
      <c r="A533" s="11" t="s">
        <v>539</v>
      </c>
      <c r="B533" s="12">
        <v>202303019</v>
      </c>
      <c r="C533" s="12" t="str">
        <f>"202303018021"</f>
        <v>202303018021</v>
      </c>
      <c r="D533" s="13">
        <v>0</v>
      </c>
      <c r="E533" s="14">
        <v>0</v>
      </c>
      <c r="F533" s="15" t="s">
        <v>12</v>
      </c>
    </row>
    <row r="534" spans="1:6" ht="17.100000000000001" customHeight="1">
      <c r="A534" s="11" t="s">
        <v>540</v>
      </c>
      <c r="B534" s="12">
        <v>202303019</v>
      </c>
      <c r="C534" s="12" t="str">
        <f>"202303018022"</f>
        <v>202303018022</v>
      </c>
      <c r="D534" s="13">
        <v>0</v>
      </c>
      <c r="E534" s="14">
        <v>0</v>
      </c>
      <c r="F534" s="15" t="s">
        <v>12</v>
      </c>
    </row>
    <row r="535" spans="1:6" ht="17.100000000000001" customHeight="1">
      <c r="A535" s="11" t="s">
        <v>541</v>
      </c>
      <c r="B535" s="12">
        <v>202303019</v>
      </c>
      <c r="C535" s="12" t="str">
        <f>"202303018023"</f>
        <v>202303018023</v>
      </c>
      <c r="D535" s="13">
        <v>78</v>
      </c>
      <c r="E535" s="14">
        <v>107</v>
      </c>
      <c r="F535" s="15" t="s">
        <v>8</v>
      </c>
    </row>
    <row r="536" spans="1:6" ht="17.100000000000001" customHeight="1">
      <c r="A536" s="11" t="s">
        <v>542</v>
      </c>
      <c r="B536" s="12">
        <v>202303019</v>
      </c>
      <c r="C536" s="12" t="str">
        <f>"202303018024"</f>
        <v>202303018024</v>
      </c>
      <c r="D536" s="13">
        <v>91</v>
      </c>
      <c r="E536" s="14">
        <v>95.5</v>
      </c>
      <c r="F536" s="15" t="s">
        <v>8</v>
      </c>
    </row>
    <row r="537" spans="1:6" ht="17.100000000000001" customHeight="1">
      <c r="A537" s="11" t="s">
        <v>543</v>
      </c>
      <c r="B537" s="12">
        <v>202303019</v>
      </c>
      <c r="C537" s="12" t="str">
        <f>"202303018025"</f>
        <v>202303018025</v>
      </c>
      <c r="D537" s="13">
        <v>84.5</v>
      </c>
      <c r="E537" s="14">
        <v>103</v>
      </c>
      <c r="F537" s="15" t="s">
        <v>8</v>
      </c>
    </row>
    <row r="538" spans="1:6" ht="17.100000000000001" customHeight="1">
      <c r="A538" s="11" t="s">
        <v>544</v>
      </c>
      <c r="B538" s="12">
        <v>202303019</v>
      </c>
      <c r="C538" s="12" t="str">
        <f>"202303018026"</f>
        <v>202303018026</v>
      </c>
      <c r="D538" s="13">
        <v>94</v>
      </c>
      <c r="E538" s="14">
        <v>66.5</v>
      </c>
      <c r="F538" s="15" t="s">
        <v>8</v>
      </c>
    </row>
    <row r="539" spans="1:6" ht="17.100000000000001" customHeight="1">
      <c r="A539" s="11" t="s">
        <v>545</v>
      </c>
      <c r="B539" s="12">
        <v>202303019</v>
      </c>
      <c r="C539" s="12" t="str">
        <f>"202303018027"</f>
        <v>202303018027</v>
      </c>
      <c r="D539" s="13">
        <v>0</v>
      </c>
      <c r="E539" s="14">
        <v>0</v>
      </c>
      <c r="F539" s="15" t="s">
        <v>12</v>
      </c>
    </row>
    <row r="540" spans="1:6" ht="17.100000000000001" customHeight="1">
      <c r="A540" s="11" t="s">
        <v>546</v>
      </c>
      <c r="B540" s="12">
        <v>202303019</v>
      </c>
      <c r="C540" s="12" t="str">
        <f>"202303018028"</f>
        <v>202303018028</v>
      </c>
      <c r="D540" s="13">
        <v>0</v>
      </c>
      <c r="E540" s="14">
        <v>0</v>
      </c>
      <c r="F540" s="15" t="s">
        <v>12</v>
      </c>
    </row>
    <row r="541" spans="1:6" ht="17.100000000000001" customHeight="1">
      <c r="A541" s="11" t="s">
        <v>547</v>
      </c>
      <c r="B541" s="12">
        <v>202303019</v>
      </c>
      <c r="C541" s="12" t="str">
        <f>"202303018029"</f>
        <v>202303018029</v>
      </c>
      <c r="D541" s="13">
        <v>84.4</v>
      </c>
      <c r="E541" s="14">
        <v>107.5</v>
      </c>
      <c r="F541" s="15" t="s">
        <v>8</v>
      </c>
    </row>
    <row r="542" spans="1:6" ht="17.100000000000001" customHeight="1">
      <c r="A542" s="11" t="s">
        <v>548</v>
      </c>
      <c r="B542" s="12">
        <v>202303019</v>
      </c>
      <c r="C542" s="12" t="str">
        <f>"202303018030"</f>
        <v>202303018030</v>
      </c>
      <c r="D542" s="13">
        <v>75.099999999999994</v>
      </c>
      <c r="E542" s="14">
        <v>102</v>
      </c>
      <c r="F542" s="15" t="s">
        <v>8</v>
      </c>
    </row>
    <row r="543" spans="1:6" ht="17.100000000000001" customHeight="1">
      <c r="A543" s="11" t="s">
        <v>549</v>
      </c>
      <c r="B543" s="12">
        <v>202303019</v>
      </c>
      <c r="C543" s="12" t="str">
        <f>"202303019001"</f>
        <v>202303019001</v>
      </c>
      <c r="D543" s="13">
        <v>60.1</v>
      </c>
      <c r="E543" s="14">
        <v>96</v>
      </c>
      <c r="F543" s="15" t="s">
        <v>8</v>
      </c>
    </row>
    <row r="544" spans="1:6" ht="17.100000000000001" customHeight="1">
      <c r="A544" s="11" t="s">
        <v>550</v>
      </c>
      <c r="B544" s="12">
        <v>202303019</v>
      </c>
      <c r="C544" s="12" t="str">
        <f>"202303019002"</f>
        <v>202303019002</v>
      </c>
      <c r="D544" s="13">
        <v>0</v>
      </c>
      <c r="E544" s="14">
        <v>0</v>
      </c>
      <c r="F544" s="15" t="s">
        <v>12</v>
      </c>
    </row>
    <row r="545" spans="1:6" ht="17.100000000000001" customHeight="1">
      <c r="A545" s="11" t="s">
        <v>551</v>
      </c>
      <c r="B545" s="12">
        <v>202303019</v>
      </c>
      <c r="C545" s="12" t="str">
        <f>"202303019003"</f>
        <v>202303019003</v>
      </c>
      <c r="D545" s="13">
        <v>97.3</v>
      </c>
      <c r="E545" s="14">
        <v>103</v>
      </c>
      <c r="F545" s="15" t="s">
        <v>8</v>
      </c>
    </row>
    <row r="546" spans="1:6" ht="17.100000000000001" customHeight="1">
      <c r="A546" s="11" t="s">
        <v>552</v>
      </c>
      <c r="B546" s="12">
        <v>202303019</v>
      </c>
      <c r="C546" s="12" t="str">
        <f>"202303019004"</f>
        <v>202303019004</v>
      </c>
      <c r="D546" s="13">
        <v>0</v>
      </c>
      <c r="E546" s="14">
        <v>0</v>
      </c>
      <c r="F546" s="15" t="s">
        <v>12</v>
      </c>
    </row>
    <row r="547" spans="1:6" ht="17.100000000000001" customHeight="1">
      <c r="A547" s="11" t="s">
        <v>553</v>
      </c>
      <c r="B547" s="12">
        <v>202303019</v>
      </c>
      <c r="C547" s="12" t="str">
        <f>"202303019005"</f>
        <v>202303019005</v>
      </c>
      <c r="D547" s="13">
        <v>97.3</v>
      </c>
      <c r="E547" s="14">
        <v>106.5</v>
      </c>
      <c r="F547" s="15" t="s">
        <v>8</v>
      </c>
    </row>
    <row r="548" spans="1:6" ht="17.100000000000001" customHeight="1">
      <c r="A548" s="11" t="s">
        <v>554</v>
      </c>
      <c r="B548" s="12">
        <v>202303019</v>
      </c>
      <c r="C548" s="12" t="str">
        <f>"202303019006"</f>
        <v>202303019006</v>
      </c>
      <c r="D548" s="13">
        <v>90.4</v>
      </c>
      <c r="E548" s="14">
        <v>110</v>
      </c>
      <c r="F548" s="15" t="s">
        <v>8</v>
      </c>
    </row>
    <row r="549" spans="1:6" ht="17.100000000000001" customHeight="1">
      <c r="A549" s="11" t="s">
        <v>555</v>
      </c>
      <c r="B549" s="12">
        <v>202303019</v>
      </c>
      <c r="C549" s="12" t="str">
        <f>"202303019007"</f>
        <v>202303019007</v>
      </c>
      <c r="D549" s="13">
        <v>91.9</v>
      </c>
      <c r="E549" s="14">
        <v>107</v>
      </c>
      <c r="F549" s="15" t="s">
        <v>8</v>
      </c>
    </row>
    <row r="550" spans="1:6" ht="17.100000000000001" customHeight="1">
      <c r="A550" s="11" t="s">
        <v>556</v>
      </c>
      <c r="B550" s="12">
        <v>202303019</v>
      </c>
      <c r="C550" s="12" t="str">
        <f>"202303019008"</f>
        <v>202303019008</v>
      </c>
      <c r="D550" s="13">
        <v>82.9</v>
      </c>
      <c r="E550" s="14">
        <v>49</v>
      </c>
      <c r="F550" s="15" t="s">
        <v>8</v>
      </c>
    </row>
    <row r="551" spans="1:6" ht="17.100000000000001" customHeight="1">
      <c r="A551" s="11" t="s">
        <v>557</v>
      </c>
      <c r="B551" s="12">
        <v>202303019</v>
      </c>
      <c r="C551" s="12" t="str">
        <f>"202303019009"</f>
        <v>202303019009</v>
      </c>
      <c r="D551" s="13">
        <v>92.7</v>
      </c>
      <c r="E551" s="14">
        <v>97</v>
      </c>
      <c r="F551" s="15" t="s">
        <v>8</v>
      </c>
    </row>
    <row r="552" spans="1:6" ht="17.100000000000001" customHeight="1">
      <c r="A552" s="11" t="s">
        <v>558</v>
      </c>
      <c r="B552" s="12">
        <v>202303019</v>
      </c>
      <c r="C552" s="12" t="str">
        <f>"202303019010"</f>
        <v>202303019010</v>
      </c>
      <c r="D552" s="13">
        <v>93.3</v>
      </c>
      <c r="E552" s="14">
        <v>102.5</v>
      </c>
      <c r="F552" s="15" t="s">
        <v>8</v>
      </c>
    </row>
    <row r="553" spans="1:6" ht="17.100000000000001" customHeight="1">
      <c r="A553" s="11" t="s">
        <v>559</v>
      </c>
      <c r="B553" s="12">
        <v>202303019</v>
      </c>
      <c r="C553" s="12" t="str">
        <f>"202303019011"</f>
        <v>202303019011</v>
      </c>
      <c r="D553" s="13">
        <v>0</v>
      </c>
      <c r="E553" s="14">
        <v>0</v>
      </c>
      <c r="F553" s="15" t="s">
        <v>12</v>
      </c>
    </row>
    <row r="554" spans="1:6" ht="17.100000000000001" customHeight="1">
      <c r="A554" s="11" t="s">
        <v>560</v>
      </c>
      <c r="B554" s="12">
        <v>202303019</v>
      </c>
      <c r="C554" s="12" t="str">
        <f>"202303019012"</f>
        <v>202303019012</v>
      </c>
      <c r="D554" s="13">
        <v>80.8</v>
      </c>
      <c r="E554" s="14">
        <v>81</v>
      </c>
      <c r="F554" s="15" t="s">
        <v>8</v>
      </c>
    </row>
    <row r="555" spans="1:6" ht="17.100000000000001" customHeight="1">
      <c r="A555" s="11" t="s">
        <v>561</v>
      </c>
      <c r="B555" s="12">
        <v>202303019</v>
      </c>
      <c r="C555" s="12" t="str">
        <f>"202303019013"</f>
        <v>202303019013</v>
      </c>
      <c r="D555" s="13">
        <v>87.3</v>
      </c>
      <c r="E555" s="14">
        <v>98.5</v>
      </c>
      <c r="F555" s="15" t="s">
        <v>8</v>
      </c>
    </row>
    <row r="556" spans="1:6" ht="17.100000000000001" customHeight="1">
      <c r="A556" s="11" t="s">
        <v>562</v>
      </c>
      <c r="B556" s="12">
        <v>202303019</v>
      </c>
      <c r="C556" s="12" t="str">
        <f>"202303019014"</f>
        <v>202303019014</v>
      </c>
      <c r="D556" s="13">
        <v>83.3</v>
      </c>
      <c r="E556" s="14">
        <v>98.5</v>
      </c>
      <c r="F556" s="15" t="s">
        <v>8</v>
      </c>
    </row>
    <row r="557" spans="1:6" ht="17.100000000000001" customHeight="1">
      <c r="A557" s="11" t="s">
        <v>563</v>
      </c>
      <c r="B557" s="12">
        <v>202303019</v>
      </c>
      <c r="C557" s="12" t="str">
        <f>"202303019015"</f>
        <v>202303019015</v>
      </c>
      <c r="D557" s="13">
        <v>56.2</v>
      </c>
      <c r="E557" s="14">
        <v>91</v>
      </c>
      <c r="F557" s="15" t="s">
        <v>8</v>
      </c>
    </row>
    <row r="558" spans="1:6" ht="17.100000000000001" customHeight="1">
      <c r="A558" s="11" t="s">
        <v>564</v>
      </c>
      <c r="B558" s="12">
        <v>202303019</v>
      </c>
      <c r="C558" s="12" t="str">
        <f>"202303019016"</f>
        <v>202303019016</v>
      </c>
      <c r="D558" s="13">
        <v>87.1</v>
      </c>
      <c r="E558" s="14">
        <v>106</v>
      </c>
      <c r="F558" s="15" t="s">
        <v>8</v>
      </c>
    </row>
    <row r="559" spans="1:6" ht="17.100000000000001" customHeight="1">
      <c r="A559" s="11" t="s">
        <v>565</v>
      </c>
      <c r="B559" s="12">
        <v>202303019</v>
      </c>
      <c r="C559" s="12" t="str">
        <f>"202303019017"</f>
        <v>202303019017</v>
      </c>
      <c r="D559" s="13">
        <v>0</v>
      </c>
      <c r="E559" s="14">
        <v>0</v>
      </c>
      <c r="F559" s="15" t="s">
        <v>12</v>
      </c>
    </row>
    <row r="560" spans="1:6" ht="17.100000000000001" customHeight="1">
      <c r="A560" s="11" t="s">
        <v>566</v>
      </c>
      <c r="B560" s="12">
        <v>202303019</v>
      </c>
      <c r="C560" s="12" t="str">
        <f>"202303019018"</f>
        <v>202303019018</v>
      </c>
      <c r="D560" s="13">
        <v>89.7</v>
      </c>
      <c r="E560" s="14">
        <v>101.5</v>
      </c>
      <c r="F560" s="15" t="s">
        <v>8</v>
      </c>
    </row>
    <row r="561" spans="1:6" ht="17.100000000000001" customHeight="1">
      <c r="A561" s="11" t="s">
        <v>567</v>
      </c>
      <c r="B561" s="12">
        <v>202303019</v>
      </c>
      <c r="C561" s="12" t="str">
        <f>"202303019019"</f>
        <v>202303019019</v>
      </c>
      <c r="D561" s="13">
        <v>0</v>
      </c>
      <c r="E561" s="14">
        <v>0</v>
      </c>
      <c r="F561" s="15" t="s">
        <v>12</v>
      </c>
    </row>
    <row r="562" spans="1:6" ht="17.100000000000001" customHeight="1">
      <c r="A562" s="11" t="s">
        <v>568</v>
      </c>
      <c r="B562" s="12">
        <v>202303019</v>
      </c>
      <c r="C562" s="12" t="str">
        <f>"202303019020"</f>
        <v>202303019020</v>
      </c>
      <c r="D562" s="13">
        <v>0</v>
      </c>
      <c r="E562" s="14">
        <v>0</v>
      </c>
      <c r="F562" s="15" t="s">
        <v>12</v>
      </c>
    </row>
    <row r="563" spans="1:6" ht="17.100000000000001" customHeight="1">
      <c r="A563" s="11" t="s">
        <v>569</v>
      </c>
      <c r="B563" s="12">
        <v>202303019</v>
      </c>
      <c r="C563" s="12" t="str">
        <f>"202303019021"</f>
        <v>202303019021</v>
      </c>
      <c r="D563" s="13">
        <v>0</v>
      </c>
      <c r="E563" s="14">
        <v>0</v>
      </c>
      <c r="F563" s="15" t="s">
        <v>12</v>
      </c>
    </row>
    <row r="564" spans="1:6" ht="17.100000000000001" customHeight="1">
      <c r="A564" s="11" t="s">
        <v>570</v>
      </c>
      <c r="B564" s="12">
        <v>202303019</v>
      </c>
      <c r="C564" s="12" t="str">
        <f>"202303019022"</f>
        <v>202303019022</v>
      </c>
      <c r="D564" s="13">
        <v>94</v>
      </c>
      <c r="E564" s="14">
        <v>100.5</v>
      </c>
      <c r="F564" s="15" t="s">
        <v>8</v>
      </c>
    </row>
    <row r="565" spans="1:6" ht="17.100000000000001" customHeight="1">
      <c r="A565" s="11" t="s">
        <v>571</v>
      </c>
      <c r="B565" s="12">
        <v>202303019</v>
      </c>
      <c r="C565" s="12" t="str">
        <f>"202303019023"</f>
        <v>202303019023</v>
      </c>
      <c r="D565" s="13">
        <v>0</v>
      </c>
      <c r="E565" s="14">
        <v>0</v>
      </c>
      <c r="F565" s="15" t="s">
        <v>12</v>
      </c>
    </row>
    <row r="566" spans="1:6" ht="17.100000000000001" customHeight="1">
      <c r="A566" s="11" t="s">
        <v>572</v>
      </c>
      <c r="B566" s="12">
        <v>202303019</v>
      </c>
      <c r="C566" s="12" t="str">
        <f>"202303019024"</f>
        <v>202303019024</v>
      </c>
      <c r="D566" s="13">
        <v>94.7</v>
      </c>
      <c r="E566" s="14">
        <v>105.5</v>
      </c>
      <c r="F566" s="15" t="s">
        <v>8</v>
      </c>
    </row>
    <row r="567" spans="1:6" ht="17.100000000000001" customHeight="1">
      <c r="A567" s="11" t="s">
        <v>573</v>
      </c>
      <c r="B567" s="12">
        <v>202303019</v>
      </c>
      <c r="C567" s="12" t="str">
        <f>"202303019025"</f>
        <v>202303019025</v>
      </c>
      <c r="D567" s="13">
        <v>96.9</v>
      </c>
      <c r="E567" s="14">
        <v>100</v>
      </c>
      <c r="F567" s="15" t="s">
        <v>8</v>
      </c>
    </row>
    <row r="568" spans="1:6" ht="17.100000000000001" customHeight="1">
      <c r="A568" s="11" t="s">
        <v>574</v>
      </c>
      <c r="B568" s="12">
        <v>202303019</v>
      </c>
      <c r="C568" s="12" t="str">
        <f>"202303019026"</f>
        <v>202303019026</v>
      </c>
      <c r="D568" s="13">
        <v>70.400000000000006</v>
      </c>
      <c r="E568" s="14">
        <v>101.5</v>
      </c>
      <c r="F568" s="15" t="s">
        <v>8</v>
      </c>
    </row>
    <row r="569" spans="1:6" ht="17.100000000000001" customHeight="1">
      <c r="A569" s="11" t="s">
        <v>575</v>
      </c>
      <c r="B569" s="12">
        <v>202303019</v>
      </c>
      <c r="C569" s="12" t="str">
        <f>"202303019027"</f>
        <v>202303019027</v>
      </c>
      <c r="D569" s="13">
        <v>99.8</v>
      </c>
      <c r="E569" s="14">
        <v>95</v>
      </c>
      <c r="F569" s="15" t="s">
        <v>8</v>
      </c>
    </row>
    <row r="570" spans="1:6" ht="17.100000000000001" customHeight="1">
      <c r="A570" s="11" t="s">
        <v>576</v>
      </c>
      <c r="B570" s="12">
        <v>202303019</v>
      </c>
      <c r="C570" s="12" t="str">
        <f>"202303019028"</f>
        <v>202303019028</v>
      </c>
      <c r="D570" s="13">
        <v>89.9</v>
      </c>
      <c r="E570" s="14">
        <v>92.5</v>
      </c>
      <c r="F570" s="15" t="s">
        <v>8</v>
      </c>
    </row>
    <row r="571" spans="1:6" ht="17.100000000000001" customHeight="1">
      <c r="A571" s="11" t="s">
        <v>577</v>
      </c>
      <c r="B571" s="12">
        <v>202303019</v>
      </c>
      <c r="C571" s="12" t="str">
        <f>"202303019029"</f>
        <v>202303019029</v>
      </c>
      <c r="D571" s="13">
        <v>81.2</v>
      </c>
      <c r="E571" s="14">
        <v>97</v>
      </c>
      <c r="F571" s="15" t="s">
        <v>8</v>
      </c>
    </row>
    <row r="572" spans="1:6" ht="17.100000000000001" customHeight="1">
      <c r="A572" s="11" t="s">
        <v>578</v>
      </c>
      <c r="B572" s="12">
        <v>202303019</v>
      </c>
      <c r="C572" s="12" t="str">
        <f>"202303019030"</f>
        <v>202303019030</v>
      </c>
      <c r="D572" s="13">
        <v>92.2</v>
      </c>
      <c r="E572" s="14">
        <v>101</v>
      </c>
      <c r="F572" s="15" t="s">
        <v>8</v>
      </c>
    </row>
    <row r="573" spans="1:6" ht="17.100000000000001" customHeight="1">
      <c r="A573" s="11" t="s">
        <v>579</v>
      </c>
      <c r="B573" s="12">
        <v>202303019</v>
      </c>
      <c r="C573" s="12" t="str">
        <f>"202303020001"</f>
        <v>202303020001</v>
      </c>
      <c r="D573" s="13">
        <v>72.900000000000006</v>
      </c>
      <c r="E573" s="14">
        <v>94</v>
      </c>
      <c r="F573" s="15" t="s">
        <v>8</v>
      </c>
    </row>
    <row r="574" spans="1:6" ht="17.100000000000001" customHeight="1">
      <c r="A574" s="11" t="s">
        <v>580</v>
      </c>
      <c r="B574" s="12">
        <v>202303019</v>
      </c>
      <c r="C574" s="12" t="str">
        <f>"202303020002"</f>
        <v>202303020002</v>
      </c>
      <c r="D574" s="13">
        <v>91.2</v>
      </c>
      <c r="E574" s="14">
        <v>106.5</v>
      </c>
      <c r="F574" s="15" t="s">
        <v>8</v>
      </c>
    </row>
    <row r="575" spans="1:6" ht="17.100000000000001" customHeight="1">
      <c r="A575" s="11" t="s">
        <v>581</v>
      </c>
      <c r="B575" s="12">
        <v>202303019</v>
      </c>
      <c r="C575" s="12" t="str">
        <f>"202303020003"</f>
        <v>202303020003</v>
      </c>
      <c r="D575" s="13">
        <v>78.400000000000006</v>
      </c>
      <c r="E575" s="14">
        <v>97</v>
      </c>
      <c r="F575" s="15" t="s">
        <v>8</v>
      </c>
    </row>
    <row r="576" spans="1:6" ht="17.100000000000001" customHeight="1">
      <c r="A576" s="11" t="s">
        <v>582</v>
      </c>
      <c r="B576" s="12">
        <v>202303019</v>
      </c>
      <c r="C576" s="12" t="str">
        <f>"202303020004"</f>
        <v>202303020004</v>
      </c>
      <c r="D576" s="13">
        <v>72.3</v>
      </c>
      <c r="E576" s="14">
        <v>98.5</v>
      </c>
      <c r="F576" s="15" t="s">
        <v>8</v>
      </c>
    </row>
    <row r="577" spans="1:6" ht="17.100000000000001" customHeight="1">
      <c r="A577" s="11" t="s">
        <v>583</v>
      </c>
      <c r="B577" s="12">
        <v>202303019</v>
      </c>
      <c r="C577" s="12" t="str">
        <f>"202303020005"</f>
        <v>202303020005</v>
      </c>
      <c r="D577" s="13">
        <v>89.8</v>
      </c>
      <c r="E577" s="14">
        <v>96.5</v>
      </c>
      <c r="F577" s="15" t="s">
        <v>8</v>
      </c>
    </row>
    <row r="578" spans="1:6" ht="17.100000000000001" customHeight="1">
      <c r="A578" s="11" t="s">
        <v>584</v>
      </c>
      <c r="B578" s="12">
        <v>202303019</v>
      </c>
      <c r="C578" s="12" t="str">
        <f>"202303020006"</f>
        <v>202303020006</v>
      </c>
      <c r="D578" s="13">
        <v>88</v>
      </c>
      <c r="E578" s="14">
        <v>90.5</v>
      </c>
      <c r="F578" s="15" t="s">
        <v>8</v>
      </c>
    </row>
    <row r="579" spans="1:6" ht="17.100000000000001" customHeight="1">
      <c r="A579" s="11" t="s">
        <v>585</v>
      </c>
      <c r="B579" s="12">
        <v>202303019</v>
      </c>
      <c r="C579" s="12" t="str">
        <f>"202303020007"</f>
        <v>202303020007</v>
      </c>
      <c r="D579" s="13">
        <v>0</v>
      </c>
      <c r="E579" s="14">
        <v>0</v>
      </c>
      <c r="F579" s="15" t="s">
        <v>12</v>
      </c>
    </row>
    <row r="580" spans="1:6" ht="17.100000000000001" customHeight="1">
      <c r="A580" s="11" t="s">
        <v>586</v>
      </c>
      <c r="B580" s="12">
        <v>202303019</v>
      </c>
      <c r="C580" s="12" t="str">
        <f>"202303020008"</f>
        <v>202303020008</v>
      </c>
      <c r="D580" s="13">
        <v>77.099999999999994</v>
      </c>
      <c r="E580" s="14">
        <v>99</v>
      </c>
      <c r="F580" s="15" t="s">
        <v>8</v>
      </c>
    </row>
    <row r="581" spans="1:6" ht="17.100000000000001" customHeight="1">
      <c r="A581" s="11" t="s">
        <v>587</v>
      </c>
      <c r="B581" s="12">
        <v>202303019</v>
      </c>
      <c r="C581" s="12" t="str">
        <f>"202303020009"</f>
        <v>202303020009</v>
      </c>
      <c r="D581" s="13">
        <v>103.9</v>
      </c>
      <c r="E581" s="14">
        <v>84.5</v>
      </c>
      <c r="F581" s="15" t="s">
        <v>8</v>
      </c>
    </row>
    <row r="582" spans="1:6" ht="17.100000000000001" customHeight="1">
      <c r="A582" s="11" t="s">
        <v>588</v>
      </c>
      <c r="B582" s="12">
        <v>202303019</v>
      </c>
      <c r="C582" s="12" t="str">
        <f>"202303020010"</f>
        <v>202303020010</v>
      </c>
      <c r="D582" s="13">
        <v>54.2</v>
      </c>
      <c r="E582" s="14">
        <v>96.5</v>
      </c>
      <c r="F582" s="15" t="s">
        <v>8</v>
      </c>
    </row>
    <row r="583" spans="1:6" ht="17.100000000000001" customHeight="1">
      <c r="A583" s="11" t="s">
        <v>589</v>
      </c>
      <c r="B583" s="12">
        <v>202303019</v>
      </c>
      <c r="C583" s="12" t="str">
        <f>"202303020011"</f>
        <v>202303020011</v>
      </c>
      <c r="D583" s="13">
        <v>84.7</v>
      </c>
      <c r="E583" s="14">
        <v>92.5</v>
      </c>
      <c r="F583" s="15" t="s">
        <v>8</v>
      </c>
    </row>
    <row r="584" spans="1:6" ht="17.100000000000001" customHeight="1">
      <c r="A584" s="11" t="s">
        <v>590</v>
      </c>
      <c r="B584" s="12">
        <v>202303019</v>
      </c>
      <c r="C584" s="12" t="str">
        <f>"202303020012"</f>
        <v>202303020012</v>
      </c>
      <c r="D584" s="13">
        <v>103.5</v>
      </c>
      <c r="E584" s="14">
        <v>99.5</v>
      </c>
      <c r="F584" s="15" t="s">
        <v>8</v>
      </c>
    </row>
    <row r="585" spans="1:6" ht="17.100000000000001" customHeight="1">
      <c r="A585" s="11" t="s">
        <v>591</v>
      </c>
      <c r="B585" s="12">
        <v>202303019</v>
      </c>
      <c r="C585" s="12" t="str">
        <f>"202303020013"</f>
        <v>202303020013</v>
      </c>
      <c r="D585" s="13">
        <v>0</v>
      </c>
      <c r="E585" s="14">
        <v>0</v>
      </c>
      <c r="F585" s="15" t="s">
        <v>12</v>
      </c>
    </row>
    <row r="586" spans="1:6" ht="17.100000000000001" customHeight="1">
      <c r="A586" s="11" t="s">
        <v>592</v>
      </c>
      <c r="B586" s="12">
        <v>202303019</v>
      </c>
      <c r="C586" s="12" t="str">
        <f>"202303020014"</f>
        <v>202303020014</v>
      </c>
      <c r="D586" s="13">
        <v>85.3</v>
      </c>
      <c r="E586" s="14">
        <v>97</v>
      </c>
      <c r="F586" s="15" t="s">
        <v>8</v>
      </c>
    </row>
    <row r="587" spans="1:6" ht="17.100000000000001" customHeight="1">
      <c r="A587" s="11" t="s">
        <v>593</v>
      </c>
      <c r="B587" s="12">
        <v>202303019</v>
      </c>
      <c r="C587" s="12" t="str">
        <f>"202303020015"</f>
        <v>202303020015</v>
      </c>
      <c r="D587" s="13">
        <v>73.599999999999994</v>
      </c>
      <c r="E587" s="14">
        <v>107.5</v>
      </c>
      <c r="F587" s="15" t="s">
        <v>8</v>
      </c>
    </row>
    <row r="588" spans="1:6" ht="17.100000000000001" customHeight="1">
      <c r="A588" s="11" t="s">
        <v>594</v>
      </c>
      <c r="B588" s="12">
        <v>202303020</v>
      </c>
      <c r="C588" s="12" t="str">
        <f>"202303020016"</f>
        <v>202303020016</v>
      </c>
      <c r="D588" s="13">
        <v>98.3</v>
      </c>
      <c r="E588" s="14">
        <v>107</v>
      </c>
      <c r="F588" s="15" t="s">
        <v>8</v>
      </c>
    </row>
    <row r="589" spans="1:6" ht="17.100000000000001" customHeight="1">
      <c r="A589" s="11" t="s">
        <v>595</v>
      </c>
      <c r="B589" s="12">
        <v>202303020</v>
      </c>
      <c r="C589" s="12" t="str">
        <f>"202303020017"</f>
        <v>202303020017</v>
      </c>
      <c r="D589" s="13">
        <v>100.7</v>
      </c>
      <c r="E589" s="14">
        <v>105.5</v>
      </c>
      <c r="F589" s="15" t="s">
        <v>8</v>
      </c>
    </row>
    <row r="590" spans="1:6" ht="17.100000000000001" customHeight="1">
      <c r="A590" s="11" t="s">
        <v>596</v>
      </c>
      <c r="B590" s="12">
        <v>202303020</v>
      </c>
      <c r="C590" s="12" t="str">
        <f>"202303020018"</f>
        <v>202303020018</v>
      </c>
      <c r="D590" s="13">
        <v>0</v>
      </c>
      <c r="E590" s="14">
        <v>0</v>
      </c>
      <c r="F590" s="15" t="s">
        <v>12</v>
      </c>
    </row>
    <row r="591" spans="1:6" ht="17.100000000000001" customHeight="1">
      <c r="A591" s="11" t="s">
        <v>597</v>
      </c>
      <c r="B591" s="12">
        <v>202303020</v>
      </c>
      <c r="C591" s="12" t="str">
        <f>"202303020019"</f>
        <v>202303020019</v>
      </c>
      <c r="D591" s="13">
        <v>96.8</v>
      </c>
      <c r="E591" s="14">
        <v>104</v>
      </c>
      <c r="F591" s="15" t="s">
        <v>8</v>
      </c>
    </row>
    <row r="592" spans="1:6" ht="17.100000000000001" customHeight="1">
      <c r="A592" s="11" t="s">
        <v>598</v>
      </c>
      <c r="B592" s="12">
        <v>202303020</v>
      </c>
      <c r="C592" s="12" t="str">
        <f>"202303020020"</f>
        <v>202303020020</v>
      </c>
      <c r="D592" s="13">
        <v>76.900000000000006</v>
      </c>
      <c r="E592" s="14">
        <v>78</v>
      </c>
      <c r="F592" s="15" t="s">
        <v>8</v>
      </c>
    </row>
    <row r="593" spans="1:6" ht="17.100000000000001" customHeight="1">
      <c r="A593" s="11" t="s">
        <v>599</v>
      </c>
      <c r="B593" s="12">
        <v>202303020</v>
      </c>
      <c r="C593" s="12" t="str">
        <f>"202303020021"</f>
        <v>202303020021</v>
      </c>
      <c r="D593" s="13">
        <v>64.3</v>
      </c>
      <c r="E593" s="14">
        <v>99.5</v>
      </c>
      <c r="F593" s="15" t="s">
        <v>8</v>
      </c>
    </row>
    <row r="594" spans="1:6" ht="17.100000000000001" customHeight="1">
      <c r="A594" s="11" t="s">
        <v>600</v>
      </c>
      <c r="B594" s="12">
        <v>202303020</v>
      </c>
      <c r="C594" s="12" t="str">
        <f>"202303020022"</f>
        <v>202303020022</v>
      </c>
      <c r="D594" s="13">
        <v>103.8</v>
      </c>
      <c r="E594" s="14">
        <v>96</v>
      </c>
      <c r="F594" s="15" t="s">
        <v>8</v>
      </c>
    </row>
    <row r="595" spans="1:6" ht="17.100000000000001" customHeight="1">
      <c r="A595" s="11" t="s">
        <v>601</v>
      </c>
      <c r="B595" s="12">
        <v>202303020</v>
      </c>
      <c r="C595" s="12" t="str">
        <f>"202303020023"</f>
        <v>202303020023</v>
      </c>
      <c r="D595" s="13">
        <v>69.400000000000006</v>
      </c>
      <c r="E595" s="14">
        <v>97.5</v>
      </c>
      <c r="F595" s="15" t="s">
        <v>8</v>
      </c>
    </row>
    <row r="596" spans="1:6" ht="17.100000000000001" customHeight="1">
      <c r="A596" s="11" t="s">
        <v>602</v>
      </c>
      <c r="B596" s="12">
        <v>202303020</v>
      </c>
      <c r="C596" s="12" t="str">
        <f>"202303020024"</f>
        <v>202303020024</v>
      </c>
      <c r="D596" s="13">
        <v>0</v>
      </c>
      <c r="E596" s="14">
        <v>0</v>
      </c>
      <c r="F596" s="15" t="s">
        <v>12</v>
      </c>
    </row>
    <row r="597" spans="1:6" ht="17.100000000000001" customHeight="1">
      <c r="A597" s="11" t="s">
        <v>603</v>
      </c>
      <c r="B597" s="12">
        <v>202303020</v>
      </c>
      <c r="C597" s="12" t="str">
        <f>"202303020025"</f>
        <v>202303020025</v>
      </c>
      <c r="D597" s="13">
        <v>100.8</v>
      </c>
      <c r="E597" s="14">
        <v>102</v>
      </c>
      <c r="F597" s="15" t="s">
        <v>8</v>
      </c>
    </row>
    <row r="598" spans="1:6" ht="17.100000000000001" customHeight="1">
      <c r="A598" s="11" t="s">
        <v>604</v>
      </c>
      <c r="B598" s="12">
        <v>202303020</v>
      </c>
      <c r="C598" s="12" t="str">
        <f>"202303020026"</f>
        <v>202303020026</v>
      </c>
      <c r="D598" s="13">
        <v>80</v>
      </c>
      <c r="E598" s="14">
        <v>97</v>
      </c>
      <c r="F598" s="15" t="s">
        <v>8</v>
      </c>
    </row>
    <row r="599" spans="1:6" ht="17.100000000000001" customHeight="1">
      <c r="A599" s="11" t="s">
        <v>605</v>
      </c>
      <c r="B599" s="12">
        <v>202303020</v>
      </c>
      <c r="C599" s="12" t="str">
        <f>"202303020027"</f>
        <v>202303020027</v>
      </c>
      <c r="D599" s="13">
        <v>0</v>
      </c>
      <c r="E599" s="14">
        <v>0</v>
      </c>
      <c r="F599" s="15" t="s">
        <v>12</v>
      </c>
    </row>
    <row r="600" spans="1:6" ht="17.100000000000001" customHeight="1">
      <c r="A600" s="11" t="s">
        <v>606</v>
      </c>
      <c r="B600" s="12">
        <v>202303020</v>
      </c>
      <c r="C600" s="12" t="str">
        <f>"202303020028"</f>
        <v>202303020028</v>
      </c>
      <c r="D600" s="13">
        <v>0</v>
      </c>
      <c r="E600" s="14">
        <v>0</v>
      </c>
      <c r="F600" s="15" t="s">
        <v>12</v>
      </c>
    </row>
    <row r="601" spans="1:6" ht="17.100000000000001" customHeight="1">
      <c r="A601" s="11" t="s">
        <v>607</v>
      </c>
      <c r="B601" s="12">
        <v>202303020</v>
      </c>
      <c r="C601" s="12" t="str">
        <f>"202303020029"</f>
        <v>202303020029</v>
      </c>
      <c r="D601" s="13">
        <v>90.5</v>
      </c>
      <c r="E601" s="14">
        <v>98</v>
      </c>
      <c r="F601" s="15" t="s">
        <v>8</v>
      </c>
    </row>
    <row r="602" spans="1:6" ht="17.100000000000001" customHeight="1">
      <c r="A602" s="11" t="s">
        <v>608</v>
      </c>
      <c r="B602" s="12">
        <v>202303020</v>
      </c>
      <c r="C602" s="12" t="str">
        <f>"202303020030"</f>
        <v>202303020030</v>
      </c>
      <c r="D602" s="13">
        <v>62.8</v>
      </c>
      <c r="E602" s="14">
        <v>103.5</v>
      </c>
      <c r="F602" s="15" t="s">
        <v>8</v>
      </c>
    </row>
    <row r="603" spans="1:6" ht="17.100000000000001" customHeight="1">
      <c r="A603" s="11" t="s">
        <v>609</v>
      </c>
      <c r="B603" s="12">
        <v>202303020</v>
      </c>
      <c r="C603" s="12" t="str">
        <f>"202303021001"</f>
        <v>202303021001</v>
      </c>
      <c r="D603" s="13">
        <v>89.2</v>
      </c>
      <c r="E603" s="14">
        <v>93.5</v>
      </c>
      <c r="F603" s="15" t="s">
        <v>8</v>
      </c>
    </row>
    <row r="604" spans="1:6" ht="17.100000000000001" customHeight="1">
      <c r="A604" s="11" t="s">
        <v>610</v>
      </c>
      <c r="B604" s="12">
        <v>202303020</v>
      </c>
      <c r="C604" s="12" t="str">
        <f>"202303021002"</f>
        <v>202303021002</v>
      </c>
      <c r="D604" s="13">
        <v>72.900000000000006</v>
      </c>
      <c r="E604" s="14">
        <v>99</v>
      </c>
      <c r="F604" s="15" t="s">
        <v>8</v>
      </c>
    </row>
    <row r="605" spans="1:6" ht="17.100000000000001" customHeight="1">
      <c r="A605" s="11" t="s">
        <v>611</v>
      </c>
      <c r="B605" s="12">
        <v>202303020</v>
      </c>
      <c r="C605" s="12" t="str">
        <f>"202303021003"</f>
        <v>202303021003</v>
      </c>
      <c r="D605" s="13">
        <v>91.6</v>
      </c>
      <c r="E605" s="14">
        <v>100.5</v>
      </c>
      <c r="F605" s="15" t="s">
        <v>8</v>
      </c>
    </row>
    <row r="606" spans="1:6" ht="17.100000000000001" customHeight="1">
      <c r="A606" s="11" t="s">
        <v>612</v>
      </c>
      <c r="B606" s="12">
        <v>202303021</v>
      </c>
      <c r="C606" s="12" t="str">
        <f>"202303021004"</f>
        <v>202303021004</v>
      </c>
      <c r="D606" s="13">
        <v>98.9</v>
      </c>
      <c r="E606" s="14">
        <v>107.5</v>
      </c>
      <c r="F606" s="15" t="s">
        <v>8</v>
      </c>
    </row>
    <row r="607" spans="1:6" ht="17.100000000000001" customHeight="1">
      <c r="A607" s="11" t="s">
        <v>613</v>
      </c>
      <c r="B607" s="12">
        <v>202303021</v>
      </c>
      <c r="C607" s="12" t="str">
        <f>"202303021005"</f>
        <v>202303021005</v>
      </c>
      <c r="D607" s="13">
        <v>95.9</v>
      </c>
      <c r="E607" s="14">
        <v>100.5</v>
      </c>
      <c r="F607" s="15" t="s">
        <v>8</v>
      </c>
    </row>
    <row r="608" spans="1:6" ht="17.100000000000001" customHeight="1">
      <c r="A608" s="11" t="s">
        <v>614</v>
      </c>
      <c r="B608" s="12">
        <v>202303021</v>
      </c>
      <c r="C608" s="12" t="str">
        <f>"202303021006"</f>
        <v>202303021006</v>
      </c>
      <c r="D608" s="13">
        <v>92.2</v>
      </c>
      <c r="E608" s="14">
        <v>84.5</v>
      </c>
      <c r="F608" s="15" t="s">
        <v>8</v>
      </c>
    </row>
    <row r="609" spans="1:6" ht="17.100000000000001" customHeight="1">
      <c r="A609" s="11" t="s">
        <v>615</v>
      </c>
      <c r="B609" s="12">
        <v>202303021</v>
      </c>
      <c r="C609" s="12" t="str">
        <f>"202303021007"</f>
        <v>202303021007</v>
      </c>
      <c r="D609" s="13">
        <v>0</v>
      </c>
      <c r="E609" s="14">
        <v>0</v>
      </c>
      <c r="F609" s="15" t="s">
        <v>12</v>
      </c>
    </row>
    <row r="610" spans="1:6" ht="17.100000000000001" customHeight="1">
      <c r="A610" s="11" t="s">
        <v>616</v>
      </c>
      <c r="B610" s="12">
        <v>202303021</v>
      </c>
      <c r="C610" s="12" t="str">
        <f>"202303021008"</f>
        <v>202303021008</v>
      </c>
      <c r="D610" s="13">
        <v>97.5</v>
      </c>
      <c r="E610" s="14">
        <v>105.5</v>
      </c>
      <c r="F610" s="15" t="s">
        <v>8</v>
      </c>
    </row>
    <row r="611" spans="1:6" ht="17.100000000000001" customHeight="1">
      <c r="A611" s="11" t="s">
        <v>617</v>
      </c>
      <c r="B611" s="12">
        <v>202303021</v>
      </c>
      <c r="C611" s="12" t="str">
        <f>"202303021009"</f>
        <v>202303021009</v>
      </c>
      <c r="D611" s="13">
        <v>0</v>
      </c>
      <c r="E611" s="14">
        <v>0</v>
      </c>
      <c r="F611" s="15" t="s">
        <v>12</v>
      </c>
    </row>
    <row r="612" spans="1:6" ht="17.100000000000001" customHeight="1">
      <c r="A612" s="11" t="s">
        <v>618</v>
      </c>
      <c r="B612" s="12">
        <v>202303021</v>
      </c>
      <c r="C612" s="12" t="str">
        <f>"202303021010"</f>
        <v>202303021010</v>
      </c>
      <c r="D612" s="13">
        <v>0</v>
      </c>
      <c r="E612" s="14">
        <v>0</v>
      </c>
      <c r="F612" s="15" t="s">
        <v>12</v>
      </c>
    </row>
    <row r="613" spans="1:6" ht="17.100000000000001" customHeight="1">
      <c r="A613" s="11" t="s">
        <v>619</v>
      </c>
      <c r="B613" s="12">
        <v>202303021</v>
      </c>
      <c r="C613" s="12" t="str">
        <f>"202303021011"</f>
        <v>202303021011</v>
      </c>
      <c r="D613" s="13">
        <v>111.9</v>
      </c>
      <c r="E613" s="14">
        <v>103.5</v>
      </c>
      <c r="F613" s="15" t="s">
        <v>8</v>
      </c>
    </row>
    <row r="614" spans="1:6" ht="17.100000000000001" customHeight="1">
      <c r="A614" s="11" t="s">
        <v>620</v>
      </c>
      <c r="B614" s="12">
        <v>202303021</v>
      </c>
      <c r="C614" s="12" t="str">
        <f>"202303021012"</f>
        <v>202303021012</v>
      </c>
      <c r="D614" s="13">
        <v>81.099999999999994</v>
      </c>
      <c r="E614" s="14">
        <v>105.5</v>
      </c>
      <c r="F614" s="15" t="s">
        <v>8</v>
      </c>
    </row>
    <row r="615" spans="1:6" ht="17.100000000000001" customHeight="1">
      <c r="A615" s="11" t="s">
        <v>621</v>
      </c>
      <c r="B615" s="12">
        <v>202303021</v>
      </c>
      <c r="C615" s="12" t="str">
        <f>"202303021013"</f>
        <v>202303021013</v>
      </c>
      <c r="D615" s="13">
        <v>64.599999999999994</v>
      </c>
      <c r="E615" s="14">
        <v>107</v>
      </c>
      <c r="F615" s="15" t="s">
        <v>8</v>
      </c>
    </row>
    <row r="616" spans="1:6" ht="17.100000000000001" customHeight="1">
      <c r="A616" s="11" t="s">
        <v>622</v>
      </c>
      <c r="B616" s="12">
        <v>202303021</v>
      </c>
      <c r="C616" s="12" t="str">
        <f>"202303021014"</f>
        <v>202303021014</v>
      </c>
      <c r="D616" s="13">
        <v>114</v>
      </c>
      <c r="E616" s="14">
        <v>107</v>
      </c>
      <c r="F616" s="15" t="s">
        <v>8</v>
      </c>
    </row>
    <row r="617" spans="1:6" ht="17.100000000000001" customHeight="1">
      <c r="A617" s="11" t="s">
        <v>623</v>
      </c>
      <c r="B617" s="12">
        <v>202303022</v>
      </c>
      <c r="C617" s="12" t="str">
        <f>"202303021015"</f>
        <v>202303021015</v>
      </c>
      <c r="D617" s="13">
        <v>72.8</v>
      </c>
      <c r="E617" s="14">
        <v>106</v>
      </c>
      <c r="F617" s="15" t="s">
        <v>8</v>
      </c>
    </row>
    <row r="618" spans="1:6" ht="17.100000000000001" customHeight="1">
      <c r="A618" s="11" t="s">
        <v>624</v>
      </c>
      <c r="B618" s="12">
        <v>202303022</v>
      </c>
      <c r="C618" s="12" t="str">
        <f>"202303021016"</f>
        <v>202303021016</v>
      </c>
      <c r="D618" s="13">
        <v>0</v>
      </c>
      <c r="E618" s="14">
        <v>0</v>
      </c>
      <c r="F618" s="15" t="s">
        <v>12</v>
      </c>
    </row>
    <row r="619" spans="1:6" ht="17.100000000000001" customHeight="1">
      <c r="A619" s="11" t="s">
        <v>625</v>
      </c>
      <c r="B619" s="12">
        <v>202303022</v>
      </c>
      <c r="C619" s="12" t="str">
        <f>"202303021017"</f>
        <v>202303021017</v>
      </c>
      <c r="D619" s="13">
        <v>83.5</v>
      </c>
      <c r="E619" s="14">
        <v>104.5</v>
      </c>
      <c r="F619" s="15" t="s">
        <v>8</v>
      </c>
    </row>
    <row r="620" spans="1:6" ht="17.100000000000001" customHeight="1">
      <c r="A620" s="11" t="s">
        <v>626</v>
      </c>
      <c r="B620" s="12">
        <v>202303022</v>
      </c>
      <c r="C620" s="12" t="str">
        <f>"202303021018"</f>
        <v>202303021018</v>
      </c>
      <c r="D620" s="13">
        <v>83.7</v>
      </c>
      <c r="E620" s="14">
        <v>103.5</v>
      </c>
      <c r="F620" s="15" t="s">
        <v>8</v>
      </c>
    </row>
    <row r="621" spans="1:6" ht="17.100000000000001" customHeight="1">
      <c r="A621" s="11" t="s">
        <v>627</v>
      </c>
      <c r="B621" s="12">
        <v>202303022</v>
      </c>
      <c r="C621" s="12" t="str">
        <f>"202303021019"</f>
        <v>202303021019</v>
      </c>
      <c r="D621" s="13">
        <v>78.599999999999994</v>
      </c>
      <c r="E621" s="14">
        <v>111</v>
      </c>
      <c r="F621" s="15" t="s">
        <v>8</v>
      </c>
    </row>
    <row r="622" spans="1:6" ht="17.100000000000001" customHeight="1">
      <c r="A622" s="11" t="s">
        <v>628</v>
      </c>
      <c r="B622" s="12">
        <v>202303022</v>
      </c>
      <c r="C622" s="12" t="str">
        <f>"202303021020"</f>
        <v>202303021020</v>
      </c>
      <c r="D622" s="13">
        <v>82</v>
      </c>
      <c r="E622" s="14">
        <v>41</v>
      </c>
      <c r="F622" s="15" t="s">
        <v>8</v>
      </c>
    </row>
    <row r="623" spans="1:6" ht="17.100000000000001" customHeight="1">
      <c r="A623" s="11" t="s">
        <v>629</v>
      </c>
      <c r="B623" s="12">
        <v>202303022</v>
      </c>
      <c r="C623" s="12" t="str">
        <f>"202303021021"</f>
        <v>202303021021</v>
      </c>
      <c r="D623" s="13">
        <v>66.3</v>
      </c>
      <c r="E623" s="14">
        <v>102</v>
      </c>
      <c r="F623" s="15" t="s">
        <v>8</v>
      </c>
    </row>
    <row r="624" spans="1:6" ht="17.100000000000001" customHeight="1">
      <c r="A624" s="11" t="s">
        <v>630</v>
      </c>
      <c r="B624" s="12">
        <v>202303022</v>
      </c>
      <c r="C624" s="12" t="str">
        <f>"202303021022"</f>
        <v>202303021022</v>
      </c>
      <c r="D624" s="13">
        <v>0</v>
      </c>
      <c r="E624" s="14">
        <v>0</v>
      </c>
      <c r="F624" s="15" t="s">
        <v>12</v>
      </c>
    </row>
    <row r="625" spans="1:6" ht="17.100000000000001" customHeight="1">
      <c r="A625" s="11" t="s">
        <v>631</v>
      </c>
      <c r="B625" s="12">
        <v>202303022</v>
      </c>
      <c r="C625" s="12" t="str">
        <f>"202303021023"</f>
        <v>202303021023</v>
      </c>
      <c r="D625" s="13">
        <v>86.9</v>
      </c>
      <c r="E625" s="14">
        <v>103.5</v>
      </c>
      <c r="F625" s="15" t="s">
        <v>8</v>
      </c>
    </row>
    <row r="626" spans="1:6" ht="17.100000000000001" customHeight="1">
      <c r="A626" s="11" t="s">
        <v>632</v>
      </c>
      <c r="B626" s="12">
        <v>202303022</v>
      </c>
      <c r="C626" s="12" t="str">
        <f>"202303021024"</f>
        <v>202303021024</v>
      </c>
      <c r="D626" s="13">
        <v>77.900000000000006</v>
      </c>
      <c r="E626" s="14">
        <v>101.5</v>
      </c>
      <c r="F626" s="15" t="s">
        <v>8</v>
      </c>
    </row>
    <row r="627" spans="1:6" ht="17.100000000000001" customHeight="1">
      <c r="A627" s="11" t="s">
        <v>633</v>
      </c>
      <c r="B627" s="12">
        <v>202303022</v>
      </c>
      <c r="C627" s="12" t="str">
        <f>"202303021025"</f>
        <v>202303021025</v>
      </c>
      <c r="D627" s="13">
        <v>76.599999999999994</v>
      </c>
      <c r="E627" s="14">
        <v>102.5</v>
      </c>
      <c r="F627" s="15" t="s">
        <v>8</v>
      </c>
    </row>
    <row r="628" spans="1:6" ht="17.100000000000001" customHeight="1">
      <c r="A628" s="11" t="s">
        <v>634</v>
      </c>
      <c r="B628" s="12">
        <v>202303022</v>
      </c>
      <c r="C628" s="12" t="str">
        <f>"202303021026"</f>
        <v>202303021026</v>
      </c>
      <c r="D628" s="13">
        <v>97.4</v>
      </c>
      <c r="E628" s="14">
        <v>96.5</v>
      </c>
      <c r="F628" s="15" t="s">
        <v>8</v>
      </c>
    </row>
    <row r="629" spans="1:6" ht="17.100000000000001" customHeight="1">
      <c r="A629" s="11" t="s">
        <v>635</v>
      </c>
      <c r="B629" s="12">
        <v>202303022</v>
      </c>
      <c r="C629" s="12" t="str">
        <f>"202303021027"</f>
        <v>202303021027</v>
      </c>
      <c r="D629" s="13">
        <v>105.6</v>
      </c>
      <c r="E629" s="14">
        <v>96.5</v>
      </c>
      <c r="F629" s="15" t="s">
        <v>8</v>
      </c>
    </row>
    <row r="630" spans="1:6" ht="17.100000000000001" customHeight="1">
      <c r="A630" s="11" t="s">
        <v>636</v>
      </c>
      <c r="B630" s="12">
        <v>202303022</v>
      </c>
      <c r="C630" s="12" t="str">
        <f>"202303021028"</f>
        <v>202303021028</v>
      </c>
      <c r="D630" s="13">
        <v>80.8</v>
      </c>
      <c r="E630" s="14">
        <v>104</v>
      </c>
      <c r="F630" s="15" t="s">
        <v>8</v>
      </c>
    </row>
    <row r="631" spans="1:6" ht="17.100000000000001" customHeight="1">
      <c r="A631" s="11" t="s">
        <v>637</v>
      </c>
      <c r="B631" s="12">
        <v>202303022</v>
      </c>
      <c r="C631" s="12" t="str">
        <f>"202303021029"</f>
        <v>202303021029</v>
      </c>
      <c r="D631" s="13">
        <v>0</v>
      </c>
      <c r="E631" s="14">
        <v>0</v>
      </c>
      <c r="F631" s="15" t="s">
        <v>12</v>
      </c>
    </row>
    <row r="632" spans="1:6" ht="17.100000000000001" customHeight="1">
      <c r="A632" s="11" t="s">
        <v>638</v>
      </c>
      <c r="B632" s="12">
        <v>202303022</v>
      </c>
      <c r="C632" s="12" t="str">
        <f>"202303021030"</f>
        <v>202303021030</v>
      </c>
      <c r="D632" s="13">
        <v>101.4</v>
      </c>
      <c r="E632" s="14">
        <v>105.5</v>
      </c>
      <c r="F632" s="15" t="s">
        <v>8</v>
      </c>
    </row>
    <row r="633" spans="1:6" ht="17.100000000000001" customHeight="1">
      <c r="A633" s="11" t="s">
        <v>639</v>
      </c>
      <c r="B633" s="12">
        <v>202303022</v>
      </c>
      <c r="C633" s="12" t="str">
        <f>"202303022001"</f>
        <v>202303022001</v>
      </c>
      <c r="D633" s="13">
        <v>0</v>
      </c>
      <c r="E633" s="14">
        <v>0</v>
      </c>
      <c r="F633" s="15" t="s">
        <v>12</v>
      </c>
    </row>
    <row r="634" spans="1:6" ht="17.100000000000001" customHeight="1">
      <c r="A634" s="11" t="s">
        <v>640</v>
      </c>
      <c r="B634" s="12">
        <v>202303022</v>
      </c>
      <c r="C634" s="12" t="str">
        <f>"202303022002"</f>
        <v>202303022002</v>
      </c>
      <c r="D634" s="13">
        <v>63.9</v>
      </c>
      <c r="E634" s="14">
        <v>100.5</v>
      </c>
      <c r="F634" s="15" t="s">
        <v>8</v>
      </c>
    </row>
    <row r="635" spans="1:6" ht="17.100000000000001" customHeight="1">
      <c r="A635" s="11" t="s">
        <v>641</v>
      </c>
      <c r="B635" s="12">
        <v>202303022</v>
      </c>
      <c r="C635" s="12" t="str">
        <f>"202303022003"</f>
        <v>202303022003</v>
      </c>
      <c r="D635" s="13">
        <v>90.4</v>
      </c>
      <c r="E635" s="14">
        <v>20</v>
      </c>
      <c r="F635" s="15" t="s">
        <v>8</v>
      </c>
    </row>
    <row r="636" spans="1:6" ht="17.100000000000001" customHeight="1">
      <c r="A636" s="11" t="s">
        <v>642</v>
      </c>
      <c r="B636" s="12">
        <v>202303022</v>
      </c>
      <c r="C636" s="12" t="str">
        <f>"202303022004"</f>
        <v>202303022004</v>
      </c>
      <c r="D636" s="13">
        <v>0</v>
      </c>
      <c r="E636" s="14">
        <v>0</v>
      </c>
      <c r="F636" s="15" t="s">
        <v>12</v>
      </c>
    </row>
    <row r="637" spans="1:6" ht="17.100000000000001" customHeight="1">
      <c r="A637" s="11" t="s">
        <v>643</v>
      </c>
      <c r="B637" s="12">
        <v>202303022</v>
      </c>
      <c r="C637" s="12" t="str">
        <f>"202303022005"</f>
        <v>202303022005</v>
      </c>
      <c r="D637" s="13">
        <v>0</v>
      </c>
      <c r="E637" s="14">
        <v>0</v>
      </c>
      <c r="F637" s="15" t="s">
        <v>12</v>
      </c>
    </row>
    <row r="638" spans="1:6" ht="17.100000000000001" customHeight="1">
      <c r="A638" s="11" t="s">
        <v>644</v>
      </c>
      <c r="B638" s="12">
        <v>202303022</v>
      </c>
      <c r="C638" s="12" t="str">
        <f>"202303022006"</f>
        <v>202303022006</v>
      </c>
      <c r="D638" s="13">
        <v>0</v>
      </c>
      <c r="E638" s="14">
        <v>0</v>
      </c>
      <c r="F638" s="15" t="s">
        <v>12</v>
      </c>
    </row>
    <row r="639" spans="1:6" ht="17.100000000000001" customHeight="1">
      <c r="A639" s="11" t="s">
        <v>645</v>
      </c>
      <c r="B639" s="12">
        <v>202303022</v>
      </c>
      <c r="C639" s="12" t="str">
        <f>"202303022007"</f>
        <v>202303022007</v>
      </c>
      <c r="D639" s="13">
        <v>91.8</v>
      </c>
      <c r="E639" s="14">
        <v>106.5</v>
      </c>
      <c r="F639" s="15" t="s">
        <v>8</v>
      </c>
    </row>
    <row r="640" spans="1:6" ht="17.100000000000001" customHeight="1">
      <c r="A640" s="11" t="s">
        <v>646</v>
      </c>
      <c r="B640" s="12">
        <v>202303022</v>
      </c>
      <c r="C640" s="12" t="str">
        <f>"202303022008"</f>
        <v>202303022008</v>
      </c>
      <c r="D640" s="13">
        <v>90</v>
      </c>
      <c r="E640" s="14">
        <v>77</v>
      </c>
      <c r="F640" s="15" t="s">
        <v>8</v>
      </c>
    </row>
    <row r="641" spans="1:6" ht="17.100000000000001" customHeight="1">
      <c r="A641" s="11" t="s">
        <v>647</v>
      </c>
      <c r="B641" s="12">
        <v>202303022</v>
      </c>
      <c r="C641" s="12" t="str">
        <f>"202303022009"</f>
        <v>202303022009</v>
      </c>
      <c r="D641" s="13">
        <v>70</v>
      </c>
      <c r="E641" s="14">
        <v>93</v>
      </c>
      <c r="F641" s="15" t="s">
        <v>8</v>
      </c>
    </row>
    <row r="642" spans="1:6" ht="17.100000000000001" customHeight="1">
      <c r="A642" s="11" t="s">
        <v>648</v>
      </c>
      <c r="B642" s="12">
        <v>202303022</v>
      </c>
      <c r="C642" s="12" t="str">
        <f>"202303022010"</f>
        <v>202303022010</v>
      </c>
      <c r="D642" s="13">
        <v>0</v>
      </c>
      <c r="E642" s="14">
        <v>0</v>
      </c>
      <c r="F642" s="15" t="s">
        <v>12</v>
      </c>
    </row>
    <row r="643" spans="1:6" ht="17.100000000000001" customHeight="1">
      <c r="A643" s="11" t="s">
        <v>649</v>
      </c>
      <c r="B643" s="12">
        <v>202303022</v>
      </c>
      <c r="C643" s="12" t="str">
        <f>"202303022011"</f>
        <v>202303022011</v>
      </c>
      <c r="D643" s="13">
        <v>94</v>
      </c>
      <c r="E643" s="14">
        <v>57.5</v>
      </c>
      <c r="F643" s="15" t="s">
        <v>8</v>
      </c>
    </row>
    <row r="644" spans="1:6" ht="17.100000000000001" customHeight="1">
      <c r="A644" s="11" t="s">
        <v>650</v>
      </c>
      <c r="B644" s="12">
        <v>202303022</v>
      </c>
      <c r="C644" s="12" t="str">
        <f>"202303022012"</f>
        <v>202303022012</v>
      </c>
      <c r="D644" s="13">
        <v>93.1</v>
      </c>
      <c r="E644" s="14">
        <v>106</v>
      </c>
      <c r="F644" s="15" t="s">
        <v>8</v>
      </c>
    </row>
    <row r="645" spans="1:6" ht="17.100000000000001" customHeight="1">
      <c r="A645" s="11" t="s">
        <v>651</v>
      </c>
      <c r="B645" s="12">
        <v>202303022</v>
      </c>
      <c r="C645" s="12" t="str">
        <f>"202303022013"</f>
        <v>202303022013</v>
      </c>
      <c r="D645" s="13">
        <v>83.9</v>
      </c>
      <c r="E645" s="14">
        <v>105</v>
      </c>
      <c r="F645" s="15" t="s">
        <v>8</v>
      </c>
    </row>
    <row r="646" spans="1:6" ht="17.100000000000001" customHeight="1">
      <c r="A646" s="11" t="s">
        <v>652</v>
      </c>
      <c r="B646" s="12">
        <v>202303022</v>
      </c>
      <c r="C646" s="12" t="str">
        <f>"202303022014"</f>
        <v>202303022014</v>
      </c>
      <c r="D646" s="13">
        <v>0</v>
      </c>
      <c r="E646" s="14">
        <v>0</v>
      </c>
      <c r="F646" s="15" t="s">
        <v>12</v>
      </c>
    </row>
    <row r="647" spans="1:6" ht="17.100000000000001" customHeight="1">
      <c r="A647" s="11" t="s">
        <v>653</v>
      </c>
      <c r="B647" s="12">
        <v>202303022</v>
      </c>
      <c r="C647" s="12" t="str">
        <f>"202303022015"</f>
        <v>202303022015</v>
      </c>
      <c r="D647" s="13">
        <v>96.1</v>
      </c>
      <c r="E647" s="14">
        <v>103</v>
      </c>
      <c r="F647" s="15" t="s">
        <v>8</v>
      </c>
    </row>
    <row r="648" spans="1:6" ht="17.100000000000001" customHeight="1">
      <c r="A648" s="11" t="s">
        <v>654</v>
      </c>
      <c r="B648" s="12">
        <v>202303022</v>
      </c>
      <c r="C648" s="12" t="str">
        <f>"202303022016"</f>
        <v>202303022016</v>
      </c>
      <c r="D648" s="13">
        <v>0</v>
      </c>
      <c r="E648" s="14">
        <v>0</v>
      </c>
      <c r="F648" s="15" t="s">
        <v>12</v>
      </c>
    </row>
    <row r="649" spans="1:6" ht="17.100000000000001" customHeight="1">
      <c r="A649" s="11" t="s">
        <v>655</v>
      </c>
      <c r="B649" s="12">
        <v>202303022</v>
      </c>
      <c r="C649" s="12" t="str">
        <f>"202303022017"</f>
        <v>202303022017</v>
      </c>
      <c r="D649" s="13">
        <v>0</v>
      </c>
      <c r="E649" s="14">
        <v>0</v>
      </c>
      <c r="F649" s="15" t="s">
        <v>12</v>
      </c>
    </row>
    <row r="650" spans="1:6" ht="17.100000000000001" customHeight="1">
      <c r="A650" s="11" t="s">
        <v>656</v>
      </c>
      <c r="B650" s="12">
        <v>202303022</v>
      </c>
      <c r="C650" s="12" t="str">
        <f>"202303022018"</f>
        <v>202303022018</v>
      </c>
      <c r="D650" s="13">
        <v>110.3</v>
      </c>
      <c r="E650" s="14">
        <v>93.5</v>
      </c>
      <c r="F650" s="15" t="s">
        <v>8</v>
      </c>
    </row>
    <row r="651" spans="1:6" ht="17.100000000000001" customHeight="1">
      <c r="A651" s="11" t="s">
        <v>657</v>
      </c>
      <c r="B651" s="12">
        <v>202303022</v>
      </c>
      <c r="C651" s="12" t="str">
        <f>"202303022019"</f>
        <v>202303022019</v>
      </c>
      <c r="D651" s="13">
        <v>92.7</v>
      </c>
      <c r="E651" s="14">
        <v>93</v>
      </c>
      <c r="F651" s="15" t="s">
        <v>8</v>
      </c>
    </row>
    <row r="652" spans="1:6" ht="17.100000000000001" customHeight="1">
      <c r="A652" s="11" t="s">
        <v>658</v>
      </c>
      <c r="B652" s="12">
        <v>202303022</v>
      </c>
      <c r="C652" s="12" t="str">
        <f>"202303022020"</f>
        <v>202303022020</v>
      </c>
      <c r="D652" s="13">
        <v>73.8</v>
      </c>
      <c r="E652" s="14">
        <v>109.5</v>
      </c>
      <c r="F652" s="15" t="s">
        <v>8</v>
      </c>
    </row>
    <row r="653" spans="1:6" ht="17.100000000000001" customHeight="1">
      <c r="A653" s="11" t="s">
        <v>659</v>
      </c>
      <c r="B653" s="12">
        <v>202303022</v>
      </c>
      <c r="C653" s="12" t="str">
        <f>"202303022021"</f>
        <v>202303022021</v>
      </c>
      <c r="D653" s="13">
        <v>52.9</v>
      </c>
      <c r="E653" s="14">
        <v>102.5</v>
      </c>
      <c r="F653" s="15" t="s">
        <v>8</v>
      </c>
    </row>
    <row r="654" spans="1:6" ht="17.100000000000001" customHeight="1">
      <c r="A654" s="11" t="s">
        <v>660</v>
      </c>
      <c r="B654" s="12">
        <v>202303022</v>
      </c>
      <c r="C654" s="12" t="str">
        <f>"202303022022"</f>
        <v>202303022022</v>
      </c>
      <c r="D654" s="13">
        <v>86.3</v>
      </c>
      <c r="E654" s="14">
        <v>106.5</v>
      </c>
      <c r="F654" s="15" t="s">
        <v>8</v>
      </c>
    </row>
    <row r="655" spans="1:6" ht="17.100000000000001" customHeight="1">
      <c r="A655" s="11" t="s">
        <v>661</v>
      </c>
      <c r="B655" s="12">
        <v>202303022</v>
      </c>
      <c r="C655" s="12" t="str">
        <f>"202303022023"</f>
        <v>202303022023</v>
      </c>
      <c r="D655" s="13">
        <v>0</v>
      </c>
      <c r="E655" s="14">
        <v>0</v>
      </c>
      <c r="F655" s="15" t="s">
        <v>12</v>
      </c>
    </row>
    <row r="656" spans="1:6" ht="17.100000000000001" customHeight="1">
      <c r="A656" s="11" t="s">
        <v>662</v>
      </c>
      <c r="B656" s="12">
        <v>202303022</v>
      </c>
      <c r="C656" s="12" t="str">
        <f>"202303022024"</f>
        <v>202303022024</v>
      </c>
      <c r="D656" s="13">
        <v>0</v>
      </c>
      <c r="E656" s="14">
        <v>0</v>
      </c>
      <c r="F656" s="15" t="s">
        <v>12</v>
      </c>
    </row>
    <row r="657" spans="1:6" ht="17.100000000000001" customHeight="1">
      <c r="A657" s="11" t="s">
        <v>663</v>
      </c>
      <c r="B657" s="12">
        <v>202303022</v>
      </c>
      <c r="C657" s="12" t="str">
        <f>"202303022025"</f>
        <v>202303022025</v>
      </c>
      <c r="D657" s="13">
        <v>61.1</v>
      </c>
      <c r="E657" s="14">
        <v>78</v>
      </c>
      <c r="F657" s="15" t="s">
        <v>8</v>
      </c>
    </row>
    <row r="658" spans="1:6" ht="17.100000000000001" customHeight="1">
      <c r="A658" s="11" t="s">
        <v>664</v>
      </c>
      <c r="B658" s="12">
        <v>202303022</v>
      </c>
      <c r="C658" s="12" t="str">
        <f>"202303022026"</f>
        <v>202303022026</v>
      </c>
      <c r="D658" s="13">
        <v>77</v>
      </c>
      <c r="E658" s="14">
        <v>91</v>
      </c>
      <c r="F658" s="15" t="s">
        <v>8</v>
      </c>
    </row>
    <row r="659" spans="1:6" ht="17.100000000000001" customHeight="1">
      <c r="A659" s="11" t="s">
        <v>665</v>
      </c>
      <c r="B659" s="12">
        <v>202303022</v>
      </c>
      <c r="C659" s="12" t="str">
        <f>"202303022027"</f>
        <v>202303022027</v>
      </c>
      <c r="D659" s="13">
        <v>70.2</v>
      </c>
      <c r="E659" s="14">
        <v>100</v>
      </c>
      <c r="F659" s="15" t="s">
        <v>8</v>
      </c>
    </row>
    <row r="660" spans="1:6" ht="17.100000000000001" customHeight="1">
      <c r="A660" s="11" t="s">
        <v>666</v>
      </c>
      <c r="B660" s="12">
        <v>202303022</v>
      </c>
      <c r="C660" s="12" t="str">
        <f>"202303022028"</f>
        <v>202303022028</v>
      </c>
      <c r="D660" s="13">
        <v>76.5</v>
      </c>
      <c r="E660" s="14">
        <v>103.5</v>
      </c>
      <c r="F660" s="15" t="s">
        <v>8</v>
      </c>
    </row>
    <row r="661" spans="1:6" ht="17.100000000000001" customHeight="1">
      <c r="A661" s="11" t="s">
        <v>667</v>
      </c>
      <c r="B661" s="12">
        <v>202303022</v>
      </c>
      <c r="C661" s="12" t="str">
        <f>"202303022029"</f>
        <v>202303022029</v>
      </c>
      <c r="D661" s="13">
        <v>90.6</v>
      </c>
      <c r="E661" s="14">
        <v>101</v>
      </c>
      <c r="F661" s="15" t="s">
        <v>8</v>
      </c>
    </row>
    <row r="662" spans="1:6" ht="17.100000000000001" customHeight="1">
      <c r="A662" s="11" t="s">
        <v>668</v>
      </c>
      <c r="B662" s="12">
        <v>202303022</v>
      </c>
      <c r="C662" s="12" t="str">
        <f>"202303022030"</f>
        <v>202303022030</v>
      </c>
      <c r="D662" s="13">
        <v>103.9</v>
      </c>
      <c r="E662" s="14">
        <v>102.5</v>
      </c>
      <c r="F662" s="15" t="s">
        <v>8</v>
      </c>
    </row>
    <row r="663" spans="1:6" ht="17.100000000000001" customHeight="1">
      <c r="A663" s="11" t="s">
        <v>669</v>
      </c>
      <c r="B663" s="12">
        <v>202303022</v>
      </c>
      <c r="C663" s="12" t="str">
        <f>"202303023001"</f>
        <v>202303023001</v>
      </c>
      <c r="D663" s="13">
        <v>0</v>
      </c>
      <c r="E663" s="14">
        <v>0</v>
      </c>
      <c r="F663" s="15" t="s">
        <v>12</v>
      </c>
    </row>
    <row r="664" spans="1:6" ht="17.100000000000001" customHeight="1">
      <c r="A664" s="11" t="s">
        <v>670</v>
      </c>
      <c r="B664" s="12">
        <v>202303022</v>
      </c>
      <c r="C664" s="12" t="str">
        <f>"202303023002"</f>
        <v>202303023002</v>
      </c>
      <c r="D664" s="13">
        <v>0</v>
      </c>
      <c r="E664" s="14">
        <v>0</v>
      </c>
      <c r="F664" s="15" t="s">
        <v>12</v>
      </c>
    </row>
    <row r="665" spans="1:6" ht="17.100000000000001" customHeight="1">
      <c r="A665" s="11" t="s">
        <v>671</v>
      </c>
      <c r="B665" s="12">
        <v>202303022</v>
      </c>
      <c r="C665" s="12" t="str">
        <f>"202303023003"</f>
        <v>202303023003</v>
      </c>
      <c r="D665" s="13">
        <v>97.3</v>
      </c>
      <c r="E665" s="14">
        <v>110</v>
      </c>
      <c r="F665" s="15" t="s">
        <v>8</v>
      </c>
    </row>
    <row r="666" spans="1:6" ht="17.100000000000001" customHeight="1">
      <c r="A666" s="11" t="s">
        <v>672</v>
      </c>
      <c r="B666" s="12">
        <v>202303022</v>
      </c>
      <c r="C666" s="12" t="str">
        <f>"202303023004"</f>
        <v>202303023004</v>
      </c>
      <c r="D666" s="13">
        <v>81.3</v>
      </c>
      <c r="E666" s="14">
        <v>91.5</v>
      </c>
      <c r="F666" s="15" t="s">
        <v>8</v>
      </c>
    </row>
    <row r="667" spans="1:6" ht="17.100000000000001" customHeight="1">
      <c r="A667" s="11" t="s">
        <v>673</v>
      </c>
      <c r="B667" s="12">
        <v>202303022</v>
      </c>
      <c r="C667" s="12" t="str">
        <f>"202303023005"</f>
        <v>202303023005</v>
      </c>
      <c r="D667" s="13">
        <v>72.8</v>
      </c>
      <c r="E667" s="14">
        <v>97.5</v>
      </c>
      <c r="F667" s="15" t="s">
        <v>8</v>
      </c>
    </row>
    <row r="668" spans="1:6" ht="17.100000000000001" customHeight="1">
      <c r="A668" s="11" t="s">
        <v>674</v>
      </c>
      <c r="B668" s="12">
        <v>202303022</v>
      </c>
      <c r="C668" s="12" t="str">
        <f>"202303023006"</f>
        <v>202303023006</v>
      </c>
      <c r="D668" s="13">
        <v>73.7</v>
      </c>
      <c r="E668" s="14">
        <v>77.5</v>
      </c>
      <c r="F668" s="15" t="s">
        <v>8</v>
      </c>
    </row>
    <row r="669" spans="1:6" ht="17.100000000000001" customHeight="1">
      <c r="A669" s="11" t="s">
        <v>675</v>
      </c>
      <c r="B669" s="12">
        <v>202303022</v>
      </c>
      <c r="C669" s="12" t="str">
        <f>"202303023007"</f>
        <v>202303023007</v>
      </c>
      <c r="D669" s="13">
        <v>0</v>
      </c>
      <c r="E669" s="14">
        <v>0</v>
      </c>
      <c r="F669" s="15" t="s">
        <v>12</v>
      </c>
    </row>
    <row r="670" spans="1:6" ht="17.100000000000001" customHeight="1">
      <c r="A670" s="11" t="s">
        <v>676</v>
      </c>
      <c r="B670" s="12">
        <v>202303022</v>
      </c>
      <c r="C670" s="12" t="str">
        <f>"202303023008"</f>
        <v>202303023008</v>
      </c>
      <c r="D670" s="13">
        <v>0</v>
      </c>
      <c r="E670" s="14">
        <v>0</v>
      </c>
      <c r="F670" s="15" t="s">
        <v>12</v>
      </c>
    </row>
    <row r="671" spans="1:6" ht="17.100000000000001" customHeight="1">
      <c r="A671" s="11" t="s">
        <v>677</v>
      </c>
      <c r="B671" s="12">
        <v>202303022</v>
      </c>
      <c r="C671" s="12" t="str">
        <f>"202303023009"</f>
        <v>202303023009</v>
      </c>
      <c r="D671" s="13">
        <v>52.1</v>
      </c>
      <c r="E671" s="14">
        <v>39</v>
      </c>
      <c r="F671" s="15" t="s">
        <v>8</v>
      </c>
    </row>
    <row r="672" spans="1:6" ht="17.100000000000001" customHeight="1">
      <c r="A672" s="11" t="s">
        <v>678</v>
      </c>
      <c r="B672" s="12">
        <v>202303022</v>
      </c>
      <c r="C672" s="12" t="str">
        <f>"202303023010"</f>
        <v>202303023010</v>
      </c>
      <c r="D672" s="13">
        <v>85.3</v>
      </c>
      <c r="E672" s="14">
        <v>73.5</v>
      </c>
      <c r="F672" s="15" t="s">
        <v>8</v>
      </c>
    </row>
    <row r="673" spans="1:6" ht="17.100000000000001" customHeight="1">
      <c r="A673" s="11" t="s">
        <v>679</v>
      </c>
      <c r="B673" s="12">
        <v>202303022</v>
      </c>
      <c r="C673" s="12" t="str">
        <f>"202303023011"</f>
        <v>202303023011</v>
      </c>
      <c r="D673" s="13">
        <v>0</v>
      </c>
      <c r="E673" s="14">
        <v>0</v>
      </c>
      <c r="F673" s="15" t="s">
        <v>12</v>
      </c>
    </row>
    <row r="674" spans="1:6" ht="17.100000000000001" customHeight="1">
      <c r="A674" s="11" t="s">
        <v>680</v>
      </c>
      <c r="B674" s="12">
        <v>202303022</v>
      </c>
      <c r="C674" s="12" t="str">
        <f>"202303023012"</f>
        <v>202303023012</v>
      </c>
      <c r="D674" s="13">
        <v>68</v>
      </c>
      <c r="E674" s="14">
        <v>96.5</v>
      </c>
      <c r="F674" s="15" t="s">
        <v>8</v>
      </c>
    </row>
    <row r="675" spans="1:6" ht="17.100000000000001" customHeight="1">
      <c r="A675" s="11" t="s">
        <v>681</v>
      </c>
      <c r="B675" s="12">
        <v>202303022</v>
      </c>
      <c r="C675" s="12" t="str">
        <f>"202303023013"</f>
        <v>202303023013</v>
      </c>
      <c r="D675" s="13">
        <v>97.4</v>
      </c>
      <c r="E675" s="14">
        <v>100.5</v>
      </c>
      <c r="F675" s="15" t="s">
        <v>8</v>
      </c>
    </row>
    <row r="676" spans="1:6" ht="17.100000000000001" customHeight="1">
      <c r="A676" s="11" t="s">
        <v>682</v>
      </c>
      <c r="B676" s="12">
        <v>202303022</v>
      </c>
      <c r="C676" s="12" t="str">
        <f>"202303023014"</f>
        <v>202303023014</v>
      </c>
      <c r="D676" s="13">
        <v>0</v>
      </c>
      <c r="E676" s="14">
        <v>0</v>
      </c>
      <c r="F676" s="15" t="s">
        <v>12</v>
      </c>
    </row>
    <row r="677" spans="1:6" ht="17.100000000000001" customHeight="1">
      <c r="A677" s="11" t="s">
        <v>683</v>
      </c>
      <c r="B677" s="12">
        <v>202303022</v>
      </c>
      <c r="C677" s="12" t="str">
        <f>"202303023015"</f>
        <v>202303023015</v>
      </c>
      <c r="D677" s="13">
        <v>64.3</v>
      </c>
      <c r="E677" s="14">
        <v>86.5</v>
      </c>
      <c r="F677" s="15" t="s">
        <v>8</v>
      </c>
    </row>
    <row r="678" spans="1:6" ht="17.100000000000001" customHeight="1">
      <c r="A678" s="11" t="s">
        <v>684</v>
      </c>
      <c r="B678" s="12">
        <v>202303022</v>
      </c>
      <c r="C678" s="12" t="str">
        <f>"202303023016"</f>
        <v>202303023016</v>
      </c>
      <c r="D678" s="13">
        <v>64.5</v>
      </c>
      <c r="E678" s="14">
        <v>100.5</v>
      </c>
      <c r="F678" s="15" t="s">
        <v>8</v>
      </c>
    </row>
    <row r="679" spans="1:6" ht="17.100000000000001" customHeight="1">
      <c r="A679" s="11" t="s">
        <v>685</v>
      </c>
      <c r="B679" s="12">
        <v>202303022</v>
      </c>
      <c r="C679" s="12" t="str">
        <f>"202303023017"</f>
        <v>202303023017</v>
      </c>
      <c r="D679" s="13">
        <v>57.3</v>
      </c>
      <c r="E679" s="14">
        <v>80.5</v>
      </c>
      <c r="F679" s="15" t="s">
        <v>8</v>
      </c>
    </row>
    <row r="680" spans="1:6" ht="17.100000000000001" customHeight="1">
      <c r="A680" s="11" t="s">
        <v>686</v>
      </c>
      <c r="B680" s="12">
        <v>202303022</v>
      </c>
      <c r="C680" s="12" t="str">
        <f>"202303023018"</f>
        <v>202303023018</v>
      </c>
      <c r="D680" s="13">
        <v>0</v>
      </c>
      <c r="E680" s="14">
        <v>0</v>
      </c>
      <c r="F680" s="15" t="s">
        <v>12</v>
      </c>
    </row>
    <row r="681" spans="1:6" ht="17.100000000000001" customHeight="1">
      <c r="A681" s="11" t="s">
        <v>687</v>
      </c>
      <c r="B681" s="12">
        <v>202303022</v>
      </c>
      <c r="C681" s="12" t="str">
        <f>"202303023019"</f>
        <v>202303023019</v>
      </c>
      <c r="D681" s="13">
        <v>81.599999999999994</v>
      </c>
      <c r="E681" s="14">
        <v>63.5</v>
      </c>
      <c r="F681" s="15" t="s">
        <v>8</v>
      </c>
    </row>
    <row r="682" spans="1:6" ht="17.100000000000001" customHeight="1">
      <c r="A682" s="11" t="s">
        <v>688</v>
      </c>
      <c r="B682" s="12">
        <v>202303022</v>
      </c>
      <c r="C682" s="12" t="str">
        <f>"202303023020"</f>
        <v>202303023020</v>
      </c>
      <c r="D682" s="13">
        <v>0</v>
      </c>
      <c r="E682" s="14">
        <v>0</v>
      </c>
      <c r="F682" s="15" t="s">
        <v>12</v>
      </c>
    </row>
    <row r="683" spans="1:6" ht="17.100000000000001" customHeight="1">
      <c r="A683" s="11" t="s">
        <v>689</v>
      </c>
      <c r="B683" s="12">
        <v>202303022</v>
      </c>
      <c r="C683" s="12" t="str">
        <f>"202303023021"</f>
        <v>202303023021</v>
      </c>
      <c r="D683" s="13">
        <v>70.900000000000006</v>
      </c>
      <c r="E683" s="14">
        <v>71</v>
      </c>
      <c r="F683" s="15" t="s">
        <v>8</v>
      </c>
    </row>
    <row r="684" spans="1:6" ht="17.100000000000001" customHeight="1">
      <c r="A684" s="11" t="s">
        <v>690</v>
      </c>
      <c r="B684" s="12">
        <v>202303022</v>
      </c>
      <c r="C684" s="12" t="str">
        <f>"202303023022"</f>
        <v>202303023022</v>
      </c>
      <c r="D684" s="13">
        <v>0</v>
      </c>
      <c r="E684" s="14">
        <v>0</v>
      </c>
      <c r="F684" s="15" t="s">
        <v>12</v>
      </c>
    </row>
    <row r="685" spans="1:6" ht="17.100000000000001" customHeight="1">
      <c r="A685" s="11" t="s">
        <v>691</v>
      </c>
      <c r="B685" s="12">
        <v>202303022</v>
      </c>
      <c r="C685" s="12" t="str">
        <f>"202303023023"</f>
        <v>202303023023</v>
      </c>
      <c r="D685" s="13">
        <v>77.8</v>
      </c>
      <c r="E685" s="14">
        <v>105.5</v>
      </c>
      <c r="F685" s="15" t="s">
        <v>8</v>
      </c>
    </row>
    <row r="686" spans="1:6" ht="17.100000000000001" customHeight="1">
      <c r="A686" s="11" t="s">
        <v>692</v>
      </c>
      <c r="B686" s="12">
        <v>202303022</v>
      </c>
      <c r="C686" s="12" t="str">
        <f>"202303023024"</f>
        <v>202303023024</v>
      </c>
      <c r="D686" s="13">
        <v>101.3</v>
      </c>
      <c r="E686" s="14">
        <v>108.5</v>
      </c>
      <c r="F686" s="15" t="s">
        <v>8</v>
      </c>
    </row>
    <row r="687" spans="1:6" ht="17.100000000000001" customHeight="1">
      <c r="A687" s="11" t="s">
        <v>693</v>
      </c>
      <c r="B687" s="12">
        <v>202303022</v>
      </c>
      <c r="C687" s="12" t="str">
        <f>"202303023025"</f>
        <v>202303023025</v>
      </c>
      <c r="D687" s="13">
        <v>98.8</v>
      </c>
      <c r="E687" s="14">
        <v>104.5</v>
      </c>
      <c r="F687" s="15" t="s">
        <v>8</v>
      </c>
    </row>
    <row r="688" spans="1:6" ht="17.100000000000001" customHeight="1">
      <c r="A688" s="11" t="s">
        <v>694</v>
      </c>
      <c r="B688" s="12">
        <v>202303022</v>
      </c>
      <c r="C688" s="12" t="str">
        <f>"202303023026"</f>
        <v>202303023026</v>
      </c>
      <c r="D688" s="13">
        <v>54.8</v>
      </c>
      <c r="E688" s="14">
        <v>63.5</v>
      </c>
      <c r="F688" s="15" t="s">
        <v>8</v>
      </c>
    </row>
    <row r="689" spans="1:6" ht="17.100000000000001" customHeight="1">
      <c r="A689" s="11" t="s">
        <v>695</v>
      </c>
      <c r="B689" s="12">
        <v>202303022</v>
      </c>
      <c r="C689" s="12" t="str">
        <f>"202303023027"</f>
        <v>202303023027</v>
      </c>
      <c r="D689" s="13">
        <v>0</v>
      </c>
      <c r="E689" s="14">
        <v>0</v>
      </c>
      <c r="F689" s="15" t="s">
        <v>12</v>
      </c>
    </row>
    <row r="690" spans="1:6" ht="17.100000000000001" customHeight="1">
      <c r="A690" s="11" t="s">
        <v>696</v>
      </c>
      <c r="B690" s="12">
        <v>202303022</v>
      </c>
      <c r="C690" s="12" t="str">
        <f>"202303023028"</f>
        <v>202303023028</v>
      </c>
      <c r="D690" s="13">
        <v>89.6</v>
      </c>
      <c r="E690" s="14">
        <v>80</v>
      </c>
      <c r="F690" s="15" t="s">
        <v>8</v>
      </c>
    </row>
    <row r="691" spans="1:6" ht="17.100000000000001" customHeight="1">
      <c r="A691" s="11" t="s">
        <v>697</v>
      </c>
      <c r="B691" s="12">
        <v>202303022</v>
      </c>
      <c r="C691" s="12" t="str">
        <f>"202303023029"</f>
        <v>202303023029</v>
      </c>
      <c r="D691" s="13">
        <v>0</v>
      </c>
      <c r="E691" s="14">
        <v>0</v>
      </c>
      <c r="F691" s="15" t="s">
        <v>12</v>
      </c>
    </row>
    <row r="692" spans="1:6" ht="17.100000000000001" customHeight="1">
      <c r="A692" s="11" t="s">
        <v>698</v>
      </c>
      <c r="B692" s="12">
        <v>202303022</v>
      </c>
      <c r="C692" s="12" t="str">
        <f>"202303023030"</f>
        <v>202303023030</v>
      </c>
      <c r="D692" s="13">
        <v>69.900000000000006</v>
      </c>
      <c r="E692" s="14">
        <v>98.5</v>
      </c>
      <c r="F692" s="15" t="s">
        <v>8</v>
      </c>
    </row>
    <row r="693" spans="1:6" ht="17.100000000000001" customHeight="1">
      <c r="A693" s="11" t="s">
        <v>699</v>
      </c>
      <c r="B693" s="12">
        <v>202303022</v>
      </c>
      <c r="C693" s="12" t="str">
        <f>"202303024001"</f>
        <v>202303024001</v>
      </c>
      <c r="D693" s="13">
        <v>65.2</v>
      </c>
      <c r="E693" s="14">
        <v>99.5</v>
      </c>
      <c r="F693" s="15" t="s">
        <v>8</v>
      </c>
    </row>
    <row r="694" spans="1:6" ht="17.100000000000001" customHeight="1">
      <c r="A694" s="11" t="s">
        <v>700</v>
      </c>
      <c r="B694" s="12">
        <v>202303022</v>
      </c>
      <c r="C694" s="12" t="str">
        <f>"202303024002"</f>
        <v>202303024002</v>
      </c>
      <c r="D694" s="13">
        <v>70.400000000000006</v>
      </c>
      <c r="E694" s="14">
        <v>95</v>
      </c>
      <c r="F694" s="15" t="s">
        <v>8</v>
      </c>
    </row>
    <row r="695" spans="1:6" ht="17.100000000000001" customHeight="1">
      <c r="A695" s="11" t="s">
        <v>701</v>
      </c>
      <c r="B695" s="12">
        <v>202303023</v>
      </c>
      <c r="C695" s="12" t="str">
        <f>"202303024003"</f>
        <v>202303024003</v>
      </c>
      <c r="D695" s="13">
        <v>48</v>
      </c>
      <c r="E695" s="14">
        <v>96.5</v>
      </c>
      <c r="F695" s="15" t="s">
        <v>8</v>
      </c>
    </row>
    <row r="696" spans="1:6" ht="17.100000000000001" customHeight="1">
      <c r="A696" s="11" t="s">
        <v>702</v>
      </c>
      <c r="B696" s="12">
        <v>202303023</v>
      </c>
      <c r="C696" s="12" t="str">
        <f>"202303024004"</f>
        <v>202303024004</v>
      </c>
      <c r="D696" s="13">
        <v>82</v>
      </c>
      <c r="E696" s="14">
        <v>107.5</v>
      </c>
      <c r="F696" s="15" t="s">
        <v>8</v>
      </c>
    </row>
    <row r="697" spans="1:6" ht="17.100000000000001" customHeight="1">
      <c r="A697" s="11" t="s">
        <v>703</v>
      </c>
      <c r="B697" s="12">
        <v>202303023</v>
      </c>
      <c r="C697" s="12" t="str">
        <f>"202303024005"</f>
        <v>202303024005</v>
      </c>
      <c r="D697" s="13">
        <v>0</v>
      </c>
      <c r="E697" s="14">
        <v>0</v>
      </c>
      <c r="F697" s="15" t="s">
        <v>12</v>
      </c>
    </row>
    <row r="698" spans="1:6" ht="17.100000000000001" customHeight="1">
      <c r="A698" s="11" t="s">
        <v>704</v>
      </c>
      <c r="B698" s="12">
        <v>202303023</v>
      </c>
      <c r="C698" s="12" t="str">
        <f>"202303024006"</f>
        <v>202303024006</v>
      </c>
      <c r="D698" s="13">
        <v>90.3</v>
      </c>
      <c r="E698" s="14">
        <v>98</v>
      </c>
      <c r="F698" s="15" t="s">
        <v>8</v>
      </c>
    </row>
    <row r="699" spans="1:6" ht="17.100000000000001" customHeight="1">
      <c r="A699" s="11" t="s">
        <v>705</v>
      </c>
      <c r="B699" s="12">
        <v>202303023</v>
      </c>
      <c r="C699" s="12" t="str">
        <f>"202303024007"</f>
        <v>202303024007</v>
      </c>
      <c r="D699" s="13">
        <v>69.7</v>
      </c>
      <c r="E699" s="14">
        <v>96.5</v>
      </c>
      <c r="F699" s="15" t="s">
        <v>8</v>
      </c>
    </row>
    <row r="700" spans="1:6" ht="17.100000000000001" customHeight="1">
      <c r="A700" s="11" t="s">
        <v>706</v>
      </c>
      <c r="B700" s="12">
        <v>202303023</v>
      </c>
      <c r="C700" s="12" t="str">
        <f>"202303024008"</f>
        <v>202303024008</v>
      </c>
      <c r="D700" s="13">
        <v>97.9</v>
      </c>
      <c r="E700" s="14">
        <v>104.5</v>
      </c>
      <c r="F700" s="15" t="s">
        <v>8</v>
      </c>
    </row>
    <row r="701" spans="1:6" ht="17.100000000000001" customHeight="1">
      <c r="A701" s="11" t="s">
        <v>707</v>
      </c>
      <c r="B701" s="12">
        <v>202303023</v>
      </c>
      <c r="C701" s="12" t="str">
        <f>"202303024009"</f>
        <v>202303024009</v>
      </c>
      <c r="D701" s="13">
        <v>85.4</v>
      </c>
      <c r="E701" s="14">
        <v>108</v>
      </c>
      <c r="F701" s="15" t="s">
        <v>8</v>
      </c>
    </row>
    <row r="702" spans="1:6" ht="17.100000000000001" customHeight="1">
      <c r="A702" s="11" t="s">
        <v>708</v>
      </c>
      <c r="B702" s="12">
        <v>202303023</v>
      </c>
      <c r="C702" s="12" t="str">
        <f>"202303024010"</f>
        <v>202303024010</v>
      </c>
      <c r="D702" s="13">
        <v>89</v>
      </c>
      <c r="E702" s="14">
        <v>96.5</v>
      </c>
      <c r="F702" s="15" t="s">
        <v>8</v>
      </c>
    </row>
    <row r="703" spans="1:6" ht="17.100000000000001" customHeight="1">
      <c r="A703" s="11" t="s">
        <v>709</v>
      </c>
      <c r="B703" s="12">
        <v>202303023</v>
      </c>
      <c r="C703" s="12" t="str">
        <f>"202303024011"</f>
        <v>202303024011</v>
      </c>
      <c r="D703" s="13">
        <v>90.2</v>
      </c>
      <c r="E703" s="14">
        <v>96</v>
      </c>
      <c r="F703" s="15" t="s">
        <v>8</v>
      </c>
    </row>
    <row r="704" spans="1:6" ht="17.100000000000001" customHeight="1">
      <c r="A704" s="11" t="s">
        <v>710</v>
      </c>
      <c r="B704" s="12">
        <v>202303023</v>
      </c>
      <c r="C704" s="12" t="str">
        <f>"202303024012"</f>
        <v>202303024012</v>
      </c>
      <c r="D704" s="13">
        <v>84.1</v>
      </c>
      <c r="E704" s="14">
        <v>111</v>
      </c>
      <c r="F704" s="15" t="s">
        <v>8</v>
      </c>
    </row>
    <row r="705" spans="1:6" ht="17.100000000000001" customHeight="1">
      <c r="A705" s="11" t="s">
        <v>711</v>
      </c>
      <c r="B705" s="12">
        <v>202303023</v>
      </c>
      <c r="C705" s="12" t="str">
        <f>"202303024013"</f>
        <v>202303024013</v>
      </c>
      <c r="D705" s="13">
        <v>88.4</v>
      </c>
      <c r="E705" s="14">
        <v>103.5</v>
      </c>
      <c r="F705" s="15" t="s">
        <v>8</v>
      </c>
    </row>
    <row r="706" spans="1:6" ht="17.100000000000001" customHeight="1">
      <c r="A706" s="11" t="s">
        <v>712</v>
      </c>
      <c r="B706" s="12">
        <v>202303023</v>
      </c>
      <c r="C706" s="12" t="str">
        <f>"202303024014"</f>
        <v>202303024014</v>
      </c>
      <c r="D706" s="13">
        <v>91.8</v>
      </c>
      <c r="E706" s="14">
        <v>103.5</v>
      </c>
      <c r="F706" s="15" t="s">
        <v>8</v>
      </c>
    </row>
    <row r="707" spans="1:6" ht="17.100000000000001" customHeight="1">
      <c r="A707" s="11" t="s">
        <v>713</v>
      </c>
      <c r="B707" s="12">
        <v>202303023</v>
      </c>
      <c r="C707" s="12" t="str">
        <f>"202303024015"</f>
        <v>202303024015</v>
      </c>
      <c r="D707" s="13">
        <v>80.7</v>
      </c>
      <c r="E707" s="14">
        <v>104</v>
      </c>
      <c r="F707" s="15" t="s">
        <v>8</v>
      </c>
    </row>
    <row r="708" spans="1:6" ht="17.100000000000001" customHeight="1">
      <c r="A708" s="11" t="s">
        <v>714</v>
      </c>
      <c r="B708" s="12">
        <v>202303023</v>
      </c>
      <c r="C708" s="12" t="str">
        <f>"202303024016"</f>
        <v>202303024016</v>
      </c>
      <c r="D708" s="13">
        <v>0</v>
      </c>
      <c r="E708" s="14">
        <v>0</v>
      </c>
      <c r="F708" s="15" t="s">
        <v>12</v>
      </c>
    </row>
    <row r="709" spans="1:6" ht="17.100000000000001" customHeight="1">
      <c r="A709" s="11" t="s">
        <v>715</v>
      </c>
      <c r="B709" s="12">
        <v>202303023</v>
      </c>
      <c r="C709" s="12" t="str">
        <f>"202303024017"</f>
        <v>202303024017</v>
      </c>
      <c r="D709" s="13">
        <v>94.8</v>
      </c>
      <c r="E709" s="14">
        <v>105.5</v>
      </c>
      <c r="F709" s="15" t="s">
        <v>8</v>
      </c>
    </row>
    <row r="710" spans="1:6" ht="17.100000000000001" customHeight="1">
      <c r="A710" s="11" t="s">
        <v>716</v>
      </c>
      <c r="B710" s="12">
        <v>202303024</v>
      </c>
      <c r="C710" s="12" t="str">
        <f>"202303024018"</f>
        <v>202303024018</v>
      </c>
      <c r="D710" s="13">
        <v>0</v>
      </c>
      <c r="E710" s="14">
        <v>0</v>
      </c>
      <c r="F710" s="15" t="s">
        <v>12</v>
      </c>
    </row>
    <row r="711" spans="1:6" ht="17.100000000000001" customHeight="1">
      <c r="A711" s="11" t="s">
        <v>717</v>
      </c>
      <c r="B711" s="12">
        <v>202303024</v>
      </c>
      <c r="C711" s="12" t="str">
        <f>"202303024019"</f>
        <v>202303024019</v>
      </c>
      <c r="D711" s="13">
        <v>0</v>
      </c>
      <c r="E711" s="14">
        <v>0</v>
      </c>
      <c r="F711" s="15" t="s">
        <v>12</v>
      </c>
    </row>
    <row r="712" spans="1:6" ht="17.100000000000001" customHeight="1">
      <c r="A712" s="11" t="s">
        <v>718</v>
      </c>
      <c r="B712" s="12">
        <v>202303024</v>
      </c>
      <c r="C712" s="12" t="str">
        <f>"202303024020"</f>
        <v>202303024020</v>
      </c>
      <c r="D712" s="13">
        <v>77.3</v>
      </c>
      <c r="E712" s="14">
        <v>98.5</v>
      </c>
      <c r="F712" s="15" t="s">
        <v>8</v>
      </c>
    </row>
    <row r="713" spans="1:6" ht="17.100000000000001" customHeight="1">
      <c r="A713" s="11" t="s">
        <v>719</v>
      </c>
      <c r="B713" s="12">
        <v>202303024</v>
      </c>
      <c r="C713" s="12" t="str">
        <f>"202303024021"</f>
        <v>202303024021</v>
      </c>
      <c r="D713" s="13">
        <v>85.2</v>
      </c>
      <c r="E713" s="14">
        <v>106.5</v>
      </c>
      <c r="F713" s="15" t="s">
        <v>8</v>
      </c>
    </row>
    <row r="714" spans="1:6" ht="17.100000000000001" customHeight="1">
      <c r="A714" s="11" t="s">
        <v>720</v>
      </c>
      <c r="B714" s="12">
        <v>202303024</v>
      </c>
      <c r="C714" s="12" t="str">
        <f>"202303024022"</f>
        <v>202303024022</v>
      </c>
      <c r="D714" s="13">
        <v>77.599999999999994</v>
      </c>
      <c r="E714" s="14">
        <v>73</v>
      </c>
      <c r="F714" s="15" t="s">
        <v>8</v>
      </c>
    </row>
    <row r="715" spans="1:6" ht="17.100000000000001" customHeight="1">
      <c r="A715" s="11" t="s">
        <v>721</v>
      </c>
      <c r="B715" s="12">
        <v>202303024</v>
      </c>
      <c r="C715" s="12" t="str">
        <f>"202303024023"</f>
        <v>202303024023</v>
      </c>
      <c r="D715" s="13">
        <v>56</v>
      </c>
      <c r="E715" s="14">
        <v>96</v>
      </c>
      <c r="F715" s="15" t="s">
        <v>8</v>
      </c>
    </row>
    <row r="716" spans="1:6" ht="17.100000000000001" customHeight="1">
      <c r="A716" s="11" t="s">
        <v>722</v>
      </c>
      <c r="B716" s="12">
        <v>202303024</v>
      </c>
      <c r="C716" s="12" t="str">
        <f>"202303024024"</f>
        <v>202303024024</v>
      </c>
      <c r="D716" s="13">
        <v>87.6</v>
      </c>
      <c r="E716" s="14">
        <v>65</v>
      </c>
      <c r="F716" s="15" t="s">
        <v>8</v>
      </c>
    </row>
    <row r="717" spans="1:6" ht="17.100000000000001" customHeight="1">
      <c r="A717" s="11" t="s">
        <v>723</v>
      </c>
      <c r="B717" s="12">
        <v>202303024</v>
      </c>
      <c r="C717" s="12" t="str">
        <f>"202303024025"</f>
        <v>202303024025</v>
      </c>
      <c r="D717" s="13">
        <v>95.4</v>
      </c>
      <c r="E717" s="14">
        <v>94.5</v>
      </c>
      <c r="F717" s="15" t="s">
        <v>8</v>
      </c>
    </row>
    <row r="718" spans="1:6" ht="17.100000000000001" customHeight="1">
      <c r="A718" s="11" t="s">
        <v>724</v>
      </c>
      <c r="B718" s="12">
        <v>202303024</v>
      </c>
      <c r="C718" s="12" t="str">
        <f>"202303024026"</f>
        <v>202303024026</v>
      </c>
      <c r="D718" s="13">
        <v>92.2</v>
      </c>
      <c r="E718" s="14">
        <v>102.5</v>
      </c>
      <c r="F718" s="15" t="s">
        <v>8</v>
      </c>
    </row>
    <row r="719" spans="1:6" ht="17.100000000000001" customHeight="1">
      <c r="A719" s="11" t="s">
        <v>725</v>
      </c>
      <c r="B719" s="12">
        <v>202303024</v>
      </c>
      <c r="C719" s="12" t="str">
        <f>"202303024027"</f>
        <v>202303024027</v>
      </c>
      <c r="D719" s="13">
        <v>79.8</v>
      </c>
      <c r="E719" s="14">
        <v>111.5</v>
      </c>
      <c r="F719" s="15" t="s">
        <v>8</v>
      </c>
    </row>
    <row r="720" spans="1:6" ht="17.100000000000001" customHeight="1">
      <c r="A720" s="11" t="s">
        <v>726</v>
      </c>
      <c r="B720" s="12">
        <v>202303024</v>
      </c>
      <c r="C720" s="12" t="str">
        <f>"202303024028"</f>
        <v>202303024028</v>
      </c>
      <c r="D720" s="13">
        <v>94.2</v>
      </c>
      <c r="E720" s="14">
        <v>96.5</v>
      </c>
      <c r="F720" s="15" t="s">
        <v>8</v>
      </c>
    </row>
    <row r="721" spans="1:6" ht="17.100000000000001" customHeight="1">
      <c r="A721" s="11" t="s">
        <v>727</v>
      </c>
      <c r="B721" s="12">
        <v>202303024</v>
      </c>
      <c r="C721" s="12" t="str">
        <f>"202303024029"</f>
        <v>202303024029</v>
      </c>
      <c r="D721" s="13">
        <v>101.2</v>
      </c>
      <c r="E721" s="14">
        <v>81.5</v>
      </c>
      <c r="F721" s="15" t="s">
        <v>8</v>
      </c>
    </row>
    <row r="722" spans="1:6" ht="17.100000000000001" customHeight="1">
      <c r="A722" s="11" t="s">
        <v>728</v>
      </c>
      <c r="B722" s="12">
        <v>202303024</v>
      </c>
      <c r="C722" s="12" t="str">
        <f>"202303024030"</f>
        <v>202303024030</v>
      </c>
      <c r="D722" s="13">
        <v>88</v>
      </c>
      <c r="E722" s="14">
        <v>94.5</v>
      </c>
      <c r="F722" s="15" t="s">
        <v>8</v>
      </c>
    </row>
    <row r="723" spans="1:6" ht="17.100000000000001" customHeight="1">
      <c r="A723" s="11" t="s">
        <v>729</v>
      </c>
      <c r="B723" s="12">
        <v>202303024</v>
      </c>
      <c r="C723" s="12" t="str">
        <f>"202303025001"</f>
        <v>202303025001</v>
      </c>
      <c r="D723" s="13">
        <v>90.8</v>
      </c>
      <c r="E723" s="14">
        <v>39.5</v>
      </c>
      <c r="F723" s="15" t="s">
        <v>8</v>
      </c>
    </row>
    <row r="724" spans="1:6" ht="17.100000000000001" customHeight="1">
      <c r="A724" s="11" t="s">
        <v>730</v>
      </c>
      <c r="B724" s="12">
        <v>202303024</v>
      </c>
      <c r="C724" s="12" t="str">
        <f>"202303025002"</f>
        <v>202303025002</v>
      </c>
      <c r="D724" s="13">
        <v>85.9</v>
      </c>
      <c r="E724" s="14">
        <v>100.5</v>
      </c>
      <c r="F724" s="15" t="s">
        <v>8</v>
      </c>
    </row>
    <row r="725" spans="1:6" ht="17.100000000000001" customHeight="1">
      <c r="A725" s="11" t="s">
        <v>731</v>
      </c>
      <c r="B725" s="12">
        <v>202303024</v>
      </c>
      <c r="C725" s="12" t="str">
        <f>"202303025003"</f>
        <v>202303025003</v>
      </c>
      <c r="D725" s="13">
        <v>0</v>
      </c>
      <c r="E725" s="14">
        <v>0</v>
      </c>
      <c r="F725" s="15" t="s">
        <v>12</v>
      </c>
    </row>
    <row r="726" spans="1:6" ht="17.100000000000001" customHeight="1">
      <c r="A726" s="11" t="s">
        <v>732</v>
      </c>
      <c r="B726" s="12">
        <v>202303024</v>
      </c>
      <c r="C726" s="12" t="str">
        <f>"202303025004"</f>
        <v>202303025004</v>
      </c>
      <c r="D726" s="13">
        <v>80.099999999999994</v>
      </c>
      <c r="E726" s="14">
        <v>102.5</v>
      </c>
      <c r="F726" s="15" t="s">
        <v>8</v>
      </c>
    </row>
    <row r="727" spans="1:6" ht="17.100000000000001" customHeight="1">
      <c r="A727" s="11" t="s">
        <v>733</v>
      </c>
      <c r="B727" s="12">
        <v>202303024</v>
      </c>
      <c r="C727" s="12" t="str">
        <f>"202303025005"</f>
        <v>202303025005</v>
      </c>
      <c r="D727" s="13">
        <v>85.5</v>
      </c>
      <c r="E727" s="14">
        <v>90.5</v>
      </c>
      <c r="F727" s="15" t="s">
        <v>8</v>
      </c>
    </row>
    <row r="728" spans="1:6" ht="17.100000000000001" customHeight="1">
      <c r="A728" s="11" t="s">
        <v>734</v>
      </c>
      <c r="B728" s="12">
        <v>202303024</v>
      </c>
      <c r="C728" s="12" t="str">
        <f>"202303025006"</f>
        <v>202303025006</v>
      </c>
      <c r="D728" s="13">
        <v>0</v>
      </c>
      <c r="E728" s="14">
        <v>0</v>
      </c>
      <c r="F728" s="15" t="s">
        <v>12</v>
      </c>
    </row>
    <row r="729" spans="1:6" ht="17.100000000000001" customHeight="1">
      <c r="A729" s="11" t="s">
        <v>735</v>
      </c>
      <c r="B729" s="12">
        <v>202303024</v>
      </c>
      <c r="C729" s="12" t="str">
        <f>"202303025007"</f>
        <v>202303025007</v>
      </c>
      <c r="D729" s="13">
        <v>0</v>
      </c>
      <c r="E729" s="14">
        <v>0</v>
      </c>
      <c r="F729" s="15" t="s">
        <v>12</v>
      </c>
    </row>
    <row r="730" spans="1:6" ht="17.100000000000001" customHeight="1">
      <c r="A730" s="11" t="s">
        <v>736</v>
      </c>
      <c r="B730" s="12">
        <v>202303024</v>
      </c>
      <c r="C730" s="12" t="str">
        <f>"202303025008"</f>
        <v>202303025008</v>
      </c>
      <c r="D730" s="13">
        <v>91</v>
      </c>
      <c r="E730" s="14">
        <v>79.5</v>
      </c>
      <c r="F730" s="15" t="s">
        <v>8</v>
      </c>
    </row>
    <row r="731" spans="1:6" ht="17.100000000000001" customHeight="1">
      <c r="A731" s="11" t="s">
        <v>737</v>
      </c>
      <c r="B731" s="12">
        <v>202303024</v>
      </c>
      <c r="C731" s="12" t="str">
        <f>"202303025009"</f>
        <v>202303025009</v>
      </c>
      <c r="D731" s="13">
        <v>67.7</v>
      </c>
      <c r="E731" s="14">
        <v>104.5</v>
      </c>
      <c r="F731" s="15" t="s">
        <v>8</v>
      </c>
    </row>
    <row r="732" spans="1:6" ht="17.100000000000001" customHeight="1">
      <c r="A732" s="11" t="s">
        <v>738</v>
      </c>
      <c r="B732" s="12">
        <v>202303024</v>
      </c>
      <c r="C732" s="12" t="str">
        <f>"202303025010"</f>
        <v>202303025010</v>
      </c>
      <c r="D732" s="13">
        <v>68.900000000000006</v>
      </c>
      <c r="E732" s="14">
        <v>88</v>
      </c>
      <c r="F732" s="15" t="s">
        <v>8</v>
      </c>
    </row>
    <row r="733" spans="1:6" ht="17.100000000000001" customHeight="1">
      <c r="A733" s="11" t="s">
        <v>739</v>
      </c>
      <c r="B733" s="12">
        <v>202303024</v>
      </c>
      <c r="C733" s="12" t="str">
        <f>"202303025011"</f>
        <v>202303025011</v>
      </c>
      <c r="D733" s="13">
        <v>89.1</v>
      </c>
      <c r="E733" s="14">
        <v>111.5</v>
      </c>
      <c r="F733" s="15" t="s">
        <v>8</v>
      </c>
    </row>
    <row r="734" spans="1:6" ht="17.100000000000001" customHeight="1">
      <c r="A734" s="11" t="s">
        <v>740</v>
      </c>
      <c r="B734" s="12">
        <v>202303024</v>
      </c>
      <c r="C734" s="12" t="str">
        <f>"202303025012"</f>
        <v>202303025012</v>
      </c>
      <c r="D734" s="13">
        <v>0</v>
      </c>
      <c r="E734" s="14">
        <v>0</v>
      </c>
      <c r="F734" s="15" t="s">
        <v>12</v>
      </c>
    </row>
    <row r="735" spans="1:6" ht="17.100000000000001" customHeight="1">
      <c r="A735" s="11" t="s">
        <v>741</v>
      </c>
      <c r="B735" s="12">
        <v>202303024</v>
      </c>
      <c r="C735" s="12" t="str">
        <f>"202303025013"</f>
        <v>202303025013</v>
      </c>
      <c r="D735" s="13">
        <v>78.099999999999994</v>
      </c>
      <c r="E735" s="14">
        <v>78</v>
      </c>
      <c r="F735" s="15" t="s">
        <v>8</v>
      </c>
    </row>
    <row r="736" spans="1:6" ht="17.100000000000001" customHeight="1">
      <c r="A736" s="11" t="s">
        <v>742</v>
      </c>
      <c r="B736" s="12">
        <v>202303024</v>
      </c>
      <c r="C736" s="12" t="str">
        <f>"202303025014"</f>
        <v>202303025014</v>
      </c>
      <c r="D736" s="13">
        <v>63.9</v>
      </c>
      <c r="E736" s="14">
        <v>85</v>
      </c>
      <c r="F736" s="15" t="s">
        <v>8</v>
      </c>
    </row>
    <row r="737" spans="1:6" ht="17.100000000000001" customHeight="1">
      <c r="A737" s="11" t="s">
        <v>743</v>
      </c>
      <c r="B737" s="12">
        <v>202303024</v>
      </c>
      <c r="C737" s="12" t="str">
        <f>"202303025015"</f>
        <v>202303025015</v>
      </c>
      <c r="D737" s="13">
        <v>99.4</v>
      </c>
      <c r="E737" s="14">
        <v>75.5</v>
      </c>
      <c r="F737" s="15" t="s">
        <v>8</v>
      </c>
    </row>
    <row r="738" spans="1:6" ht="17.100000000000001" customHeight="1">
      <c r="A738" s="11" t="s">
        <v>744</v>
      </c>
      <c r="B738" s="12">
        <v>202303024</v>
      </c>
      <c r="C738" s="12" t="str">
        <f>"202303025016"</f>
        <v>202303025016</v>
      </c>
      <c r="D738" s="13">
        <v>0</v>
      </c>
      <c r="E738" s="14">
        <v>0</v>
      </c>
      <c r="F738" s="15" t="s">
        <v>12</v>
      </c>
    </row>
    <row r="739" spans="1:6" ht="17.100000000000001" customHeight="1">
      <c r="A739" s="11" t="s">
        <v>745</v>
      </c>
      <c r="B739" s="12">
        <v>202303024</v>
      </c>
      <c r="C739" s="12" t="str">
        <f>"202303025017"</f>
        <v>202303025017</v>
      </c>
      <c r="D739" s="13">
        <v>63.8</v>
      </c>
      <c r="E739" s="14">
        <v>97.5</v>
      </c>
      <c r="F739" s="15" t="s">
        <v>8</v>
      </c>
    </row>
    <row r="740" spans="1:6" ht="17.100000000000001" customHeight="1">
      <c r="A740" s="11" t="s">
        <v>746</v>
      </c>
      <c r="B740" s="12">
        <v>202303024</v>
      </c>
      <c r="C740" s="12" t="str">
        <f>"202303025018"</f>
        <v>202303025018</v>
      </c>
      <c r="D740" s="13">
        <v>0</v>
      </c>
      <c r="E740" s="14">
        <v>0</v>
      </c>
      <c r="F740" s="15" t="s">
        <v>12</v>
      </c>
    </row>
    <row r="741" spans="1:6" ht="17.100000000000001" customHeight="1">
      <c r="A741" s="11" t="s">
        <v>747</v>
      </c>
      <c r="B741" s="12">
        <v>202303024</v>
      </c>
      <c r="C741" s="12" t="str">
        <f>"202303025019"</f>
        <v>202303025019</v>
      </c>
      <c r="D741" s="13">
        <v>93.8</v>
      </c>
      <c r="E741" s="14">
        <v>106</v>
      </c>
      <c r="F741" s="15" t="s">
        <v>8</v>
      </c>
    </row>
    <row r="742" spans="1:6" ht="17.100000000000001" customHeight="1">
      <c r="A742" s="11" t="s">
        <v>748</v>
      </c>
      <c r="B742" s="12">
        <v>202303024</v>
      </c>
      <c r="C742" s="12" t="str">
        <f>"202303025020"</f>
        <v>202303025020</v>
      </c>
      <c r="D742" s="13">
        <v>81.900000000000006</v>
      </c>
      <c r="E742" s="14">
        <v>95.5</v>
      </c>
      <c r="F742" s="15" t="s">
        <v>8</v>
      </c>
    </row>
    <row r="743" spans="1:6" ht="17.100000000000001" customHeight="1">
      <c r="A743" s="11" t="s">
        <v>749</v>
      </c>
      <c r="B743" s="12">
        <v>202303024</v>
      </c>
      <c r="C743" s="12" t="str">
        <f>"202303025021"</f>
        <v>202303025021</v>
      </c>
      <c r="D743" s="13">
        <v>0</v>
      </c>
      <c r="E743" s="14">
        <v>0</v>
      </c>
      <c r="F743" s="15" t="s">
        <v>12</v>
      </c>
    </row>
    <row r="744" spans="1:6" ht="17.100000000000001" customHeight="1">
      <c r="A744" s="11" t="s">
        <v>750</v>
      </c>
      <c r="B744" s="12">
        <v>202303025</v>
      </c>
      <c r="C744" s="12" t="str">
        <f>"202303025022"</f>
        <v>202303025022</v>
      </c>
      <c r="D744" s="13">
        <v>70.400000000000006</v>
      </c>
      <c r="E744" s="14">
        <v>99</v>
      </c>
      <c r="F744" s="15" t="s">
        <v>8</v>
      </c>
    </row>
    <row r="745" spans="1:6" ht="17.100000000000001" customHeight="1">
      <c r="A745" s="11" t="s">
        <v>751</v>
      </c>
      <c r="B745" s="12">
        <v>202303025</v>
      </c>
      <c r="C745" s="12" t="str">
        <f>"202303025023"</f>
        <v>202303025023</v>
      </c>
      <c r="D745" s="13">
        <v>94</v>
      </c>
      <c r="E745" s="14">
        <v>97.5</v>
      </c>
      <c r="F745" s="15" t="s">
        <v>8</v>
      </c>
    </row>
    <row r="746" spans="1:6" ht="17.100000000000001" customHeight="1">
      <c r="A746" s="11" t="s">
        <v>752</v>
      </c>
      <c r="B746" s="12">
        <v>202303025</v>
      </c>
      <c r="C746" s="12" t="str">
        <f>"202303025024"</f>
        <v>202303025024</v>
      </c>
      <c r="D746" s="13">
        <v>79.599999999999994</v>
      </c>
      <c r="E746" s="14">
        <v>102</v>
      </c>
      <c r="F746" s="15" t="s">
        <v>8</v>
      </c>
    </row>
    <row r="747" spans="1:6" ht="17.100000000000001" customHeight="1">
      <c r="A747" s="11" t="s">
        <v>753</v>
      </c>
      <c r="B747" s="12">
        <v>202303025</v>
      </c>
      <c r="C747" s="12" t="str">
        <f>"202303025025"</f>
        <v>202303025025</v>
      </c>
      <c r="D747" s="13">
        <v>0</v>
      </c>
      <c r="E747" s="14">
        <v>0</v>
      </c>
      <c r="F747" s="15" t="s">
        <v>12</v>
      </c>
    </row>
    <row r="748" spans="1:6" ht="17.100000000000001" customHeight="1">
      <c r="A748" s="11" t="s">
        <v>754</v>
      </c>
      <c r="B748" s="12">
        <v>202303025</v>
      </c>
      <c r="C748" s="12" t="str">
        <f>"202303025026"</f>
        <v>202303025026</v>
      </c>
      <c r="D748" s="13">
        <v>80.2</v>
      </c>
      <c r="E748" s="14">
        <v>99</v>
      </c>
      <c r="F748" s="15" t="s">
        <v>8</v>
      </c>
    </row>
    <row r="749" spans="1:6" ht="17.100000000000001" customHeight="1">
      <c r="A749" s="11" t="s">
        <v>755</v>
      </c>
      <c r="B749" s="12">
        <v>202303025</v>
      </c>
      <c r="C749" s="12" t="str">
        <f>"202303025027"</f>
        <v>202303025027</v>
      </c>
      <c r="D749" s="13">
        <v>0</v>
      </c>
      <c r="E749" s="14">
        <v>0</v>
      </c>
      <c r="F749" s="15" t="s">
        <v>12</v>
      </c>
    </row>
    <row r="750" spans="1:6" ht="17.100000000000001" customHeight="1">
      <c r="A750" s="11" t="s">
        <v>756</v>
      </c>
      <c r="B750" s="12">
        <v>202303025</v>
      </c>
      <c r="C750" s="12" t="str">
        <f>"202303025028"</f>
        <v>202303025028</v>
      </c>
      <c r="D750" s="13">
        <v>81</v>
      </c>
      <c r="E750" s="14">
        <v>111.5</v>
      </c>
      <c r="F750" s="15" t="s">
        <v>8</v>
      </c>
    </row>
    <row r="751" spans="1:6" ht="17.100000000000001" customHeight="1">
      <c r="A751" s="11" t="s">
        <v>757</v>
      </c>
      <c r="B751" s="12">
        <v>202303025</v>
      </c>
      <c r="C751" s="12" t="str">
        <f>"202303025029"</f>
        <v>202303025029</v>
      </c>
      <c r="D751" s="13">
        <v>84.3</v>
      </c>
      <c r="E751" s="14">
        <v>112.5</v>
      </c>
      <c r="F751" s="15" t="s">
        <v>8</v>
      </c>
    </row>
    <row r="752" spans="1:6" ht="17.100000000000001" customHeight="1">
      <c r="A752" s="11" t="s">
        <v>758</v>
      </c>
      <c r="B752" s="12">
        <v>202303025</v>
      </c>
      <c r="C752" s="12" t="str">
        <f>"202303025030"</f>
        <v>202303025030</v>
      </c>
      <c r="D752" s="13">
        <v>89.2</v>
      </c>
      <c r="E752" s="14">
        <v>105.5</v>
      </c>
      <c r="F752" s="15" t="s">
        <v>8</v>
      </c>
    </row>
    <row r="753" spans="1:6" ht="17.100000000000001" customHeight="1">
      <c r="A753" s="11" t="s">
        <v>759</v>
      </c>
      <c r="B753" s="12">
        <v>202303025</v>
      </c>
      <c r="C753" s="12" t="str">
        <f>"202303026001"</f>
        <v>202303026001</v>
      </c>
      <c r="D753" s="13">
        <v>69.5</v>
      </c>
      <c r="E753" s="14">
        <v>63</v>
      </c>
      <c r="F753" s="15" t="s">
        <v>8</v>
      </c>
    </row>
    <row r="754" spans="1:6" ht="17.100000000000001" customHeight="1">
      <c r="A754" s="11" t="s">
        <v>760</v>
      </c>
      <c r="B754" s="12">
        <v>202303025</v>
      </c>
      <c r="C754" s="12" t="str">
        <f>"202303026002"</f>
        <v>202303026002</v>
      </c>
      <c r="D754" s="13">
        <v>0</v>
      </c>
      <c r="E754" s="14">
        <v>0</v>
      </c>
      <c r="F754" s="15" t="s">
        <v>12</v>
      </c>
    </row>
    <row r="755" spans="1:6" ht="17.100000000000001" customHeight="1">
      <c r="A755" s="11" t="s">
        <v>761</v>
      </c>
      <c r="B755" s="12">
        <v>202303025</v>
      </c>
      <c r="C755" s="12" t="str">
        <f>"202303026003"</f>
        <v>202303026003</v>
      </c>
      <c r="D755" s="13">
        <v>82.1</v>
      </c>
      <c r="E755" s="14">
        <v>89.5</v>
      </c>
      <c r="F755" s="15" t="s">
        <v>8</v>
      </c>
    </row>
    <row r="756" spans="1:6" ht="17.100000000000001" customHeight="1">
      <c r="A756" s="11" t="s">
        <v>762</v>
      </c>
      <c r="B756" s="12">
        <v>202303025</v>
      </c>
      <c r="C756" s="12" t="str">
        <f>"202303026004"</f>
        <v>202303026004</v>
      </c>
      <c r="D756" s="13">
        <v>0</v>
      </c>
      <c r="E756" s="14">
        <v>0</v>
      </c>
      <c r="F756" s="15" t="s">
        <v>12</v>
      </c>
    </row>
    <row r="757" spans="1:6" ht="17.100000000000001" customHeight="1">
      <c r="A757" s="11" t="s">
        <v>763</v>
      </c>
      <c r="B757" s="12">
        <v>202303025</v>
      </c>
      <c r="C757" s="12" t="str">
        <f>"202303026005"</f>
        <v>202303026005</v>
      </c>
      <c r="D757" s="13">
        <v>67</v>
      </c>
      <c r="E757" s="14">
        <v>98.5</v>
      </c>
      <c r="F757" s="15" t="s">
        <v>8</v>
      </c>
    </row>
    <row r="758" spans="1:6" ht="17.100000000000001" customHeight="1">
      <c r="A758" s="11" t="s">
        <v>764</v>
      </c>
      <c r="B758" s="12">
        <v>202303025</v>
      </c>
      <c r="C758" s="12" t="str">
        <f>"202303026006"</f>
        <v>202303026006</v>
      </c>
      <c r="D758" s="13">
        <v>113.2</v>
      </c>
      <c r="E758" s="14">
        <v>67.5</v>
      </c>
      <c r="F758" s="15" t="s">
        <v>8</v>
      </c>
    </row>
    <row r="759" spans="1:6" ht="17.100000000000001" customHeight="1">
      <c r="A759" s="11" t="s">
        <v>765</v>
      </c>
      <c r="B759" s="12">
        <v>202303025</v>
      </c>
      <c r="C759" s="12" t="str">
        <f>"202303026007"</f>
        <v>202303026007</v>
      </c>
      <c r="D759" s="13">
        <v>53.8</v>
      </c>
      <c r="E759" s="14">
        <v>73</v>
      </c>
      <c r="F759" s="15" t="s">
        <v>8</v>
      </c>
    </row>
    <row r="760" spans="1:6" ht="17.100000000000001" customHeight="1">
      <c r="A760" s="11" t="s">
        <v>766</v>
      </c>
      <c r="B760" s="12">
        <v>202303025</v>
      </c>
      <c r="C760" s="12" t="str">
        <f>"202303026008"</f>
        <v>202303026008</v>
      </c>
      <c r="D760" s="13">
        <v>71.2</v>
      </c>
      <c r="E760" s="14">
        <v>96</v>
      </c>
      <c r="F760" s="15" t="s">
        <v>8</v>
      </c>
    </row>
    <row r="761" spans="1:6" ht="17.100000000000001" customHeight="1">
      <c r="A761" s="11" t="s">
        <v>767</v>
      </c>
      <c r="B761" s="12">
        <v>202303025</v>
      </c>
      <c r="C761" s="12" t="str">
        <f>"202303026009"</f>
        <v>202303026009</v>
      </c>
      <c r="D761" s="13">
        <v>0</v>
      </c>
      <c r="E761" s="14">
        <v>0</v>
      </c>
      <c r="F761" s="15" t="s">
        <v>12</v>
      </c>
    </row>
    <row r="762" spans="1:6" ht="17.100000000000001" customHeight="1">
      <c r="A762" s="11" t="s">
        <v>768</v>
      </c>
      <c r="B762" s="12">
        <v>202303025</v>
      </c>
      <c r="C762" s="12" t="str">
        <f>"202303026010"</f>
        <v>202303026010</v>
      </c>
      <c r="D762" s="13">
        <v>0</v>
      </c>
      <c r="E762" s="14">
        <v>0</v>
      </c>
      <c r="F762" s="15" t="s">
        <v>12</v>
      </c>
    </row>
    <row r="763" spans="1:6" ht="17.100000000000001" customHeight="1">
      <c r="A763" s="11" t="s">
        <v>769</v>
      </c>
      <c r="B763" s="12">
        <v>202303025</v>
      </c>
      <c r="C763" s="12" t="str">
        <f>"202303026011"</f>
        <v>202303026011</v>
      </c>
      <c r="D763" s="13">
        <v>80.5</v>
      </c>
      <c r="E763" s="14">
        <v>107.5</v>
      </c>
      <c r="F763" s="15" t="s">
        <v>8</v>
      </c>
    </row>
    <row r="764" spans="1:6" ht="17.100000000000001" customHeight="1">
      <c r="A764" s="11" t="s">
        <v>770</v>
      </c>
      <c r="B764" s="12">
        <v>202303025</v>
      </c>
      <c r="C764" s="12" t="str">
        <f>"202303026012"</f>
        <v>202303026012</v>
      </c>
      <c r="D764" s="13">
        <v>100.6</v>
      </c>
      <c r="E764" s="14">
        <v>97.5</v>
      </c>
      <c r="F764" s="15" t="s">
        <v>8</v>
      </c>
    </row>
    <row r="765" spans="1:6" ht="17.100000000000001" customHeight="1">
      <c r="A765" s="11" t="s">
        <v>771</v>
      </c>
      <c r="B765" s="12">
        <v>202303026</v>
      </c>
      <c r="C765" s="12" t="str">
        <f>"202303026013"</f>
        <v>202303026013</v>
      </c>
      <c r="D765" s="13">
        <v>99.6</v>
      </c>
      <c r="E765" s="14">
        <v>99</v>
      </c>
      <c r="F765" s="15" t="s">
        <v>8</v>
      </c>
    </row>
    <row r="766" spans="1:6" ht="17.100000000000001" customHeight="1">
      <c r="A766" s="11" t="s">
        <v>772</v>
      </c>
      <c r="B766" s="12">
        <v>202303026</v>
      </c>
      <c r="C766" s="12" t="str">
        <f>"202303026014"</f>
        <v>202303026014</v>
      </c>
      <c r="D766" s="13">
        <v>83.5</v>
      </c>
      <c r="E766" s="14">
        <v>101.5</v>
      </c>
      <c r="F766" s="15" t="s">
        <v>8</v>
      </c>
    </row>
    <row r="767" spans="1:6" ht="17.100000000000001" customHeight="1">
      <c r="A767" s="11" t="s">
        <v>773</v>
      </c>
      <c r="B767" s="12">
        <v>202303026</v>
      </c>
      <c r="C767" s="12" t="str">
        <f>"202303026015"</f>
        <v>202303026015</v>
      </c>
      <c r="D767" s="13">
        <v>0</v>
      </c>
      <c r="E767" s="14">
        <v>0</v>
      </c>
      <c r="F767" s="15" t="s">
        <v>12</v>
      </c>
    </row>
    <row r="768" spans="1:6" ht="17.100000000000001" customHeight="1">
      <c r="A768" s="11" t="s">
        <v>774</v>
      </c>
      <c r="B768" s="12">
        <v>202303026</v>
      </c>
      <c r="C768" s="12" t="str">
        <f>"202303026016"</f>
        <v>202303026016</v>
      </c>
      <c r="D768" s="13">
        <v>95.7</v>
      </c>
      <c r="E768" s="14">
        <v>97</v>
      </c>
      <c r="F768" s="15" t="s">
        <v>8</v>
      </c>
    </row>
    <row r="769" spans="1:6" ht="17.100000000000001" customHeight="1">
      <c r="A769" s="11" t="s">
        <v>775</v>
      </c>
      <c r="B769" s="12">
        <v>202303026</v>
      </c>
      <c r="C769" s="12" t="str">
        <f>"202303026017"</f>
        <v>202303026017</v>
      </c>
      <c r="D769" s="13">
        <v>81.2</v>
      </c>
      <c r="E769" s="14">
        <v>109.5</v>
      </c>
      <c r="F769" s="15" t="s">
        <v>8</v>
      </c>
    </row>
    <row r="770" spans="1:6" ht="17.100000000000001" customHeight="1">
      <c r="A770" s="11" t="s">
        <v>776</v>
      </c>
      <c r="B770" s="12">
        <v>202303027</v>
      </c>
      <c r="C770" s="12" t="str">
        <f>"202303026018"</f>
        <v>202303026018</v>
      </c>
      <c r="D770" s="13">
        <v>62</v>
      </c>
      <c r="E770" s="14">
        <v>104.5</v>
      </c>
      <c r="F770" s="15" t="s">
        <v>8</v>
      </c>
    </row>
    <row r="771" spans="1:6" ht="17.100000000000001" customHeight="1">
      <c r="A771" s="11" t="s">
        <v>777</v>
      </c>
      <c r="B771" s="12">
        <v>202303027</v>
      </c>
      <c r="C771" s="12" t="str">
        <f>"202303026019"</f>
        <v>202303026019</v>
      </c>
      <c r="D771" s="13">
        <v>109.1</v>
      </c>
      <c r="E771" s="14">
        <v>101.5</v>
      </c>
      <c r="F771" s="15" t="s">
        <v>8</v>
      </c>
    </row>
    <row r="772" spans="1:6" ht="17.100000000000001" customHeight="1">
      <c r="A772" s="11" t="s">
        <v>778</v>
      </c>
      <c r="B772" s="12">
        <v>202303027</v>
      </c>
      <c r="C772" s="12" t="str">
        <f>"202303026020"</f>
        <v>202303026020</v>
      </c>
      <c r="D772" s="13">
        <v>0</v>
      </c>
      <c r="E772" s="14">
        <v>0</v>
      </c>
      <c r="F772" s="15" t="s">
        <v>12</v>
      </c>
    </row>
    <row r="773" spans="1:6" ht="17.100000000000001" customHeight="1">
      <c r="A773" s="11" t="s">
        <v>779</v>
      </c>
      <c r="B773" s="12">
        <v>202303027</v>
      </c>
      <c r="C773" s="12" t="str">
        <f>"202303026021"</f>
        <v>202303026021</v>
      </c>
      <c r="D773" s="13">
        <v>0</v>
      </c>
      <c r="E773" s="14">
        <v>0</v>
      </c>
      <c r="F773" s="15" t="s">
        <v>12</v>
      </c>
    </row>
    <row r="774" spans="1:6" ht="17.100000000000001" customHeight="1">
      <c r="A774" s="11" t="s">
        <v>780</v>
      </c>
      <c r="B774" s="12">
        <v>202303027</v>
      </c>
      <c r="C774" s="12" t="str">
        <f>"202303026022"</f>
        <v>202303026022</v>
      </c>
      <c r="D774" s="13">
        <v>64.8</v>
      </c>
      <c r="E774" s="14">
        <v>96</v>
      </c>
      <c r="F774" s="15" t="s">
        <v>8</v>
      </c>
    </row>
    <row r="775" spans="1:6" ht="17.100000000000001" customHeight="1">
      <c r="A775" s="11" t="s">
        <v>781</v>
      </c>
      <c r="B775" s="12">
        <v>202303027</v>
      </c>
      <c r="C775" s="12" t="str">
        <f>"202303026023"</f>
        <v>202303026023</v>
      </c>
      <c r="D775" s="13">
        <v>0</v>
      </c>
      <c r="E775" s="14">
        <v>0</v>
      </c>
      <c r="F775" s="15" t="s">
        <v>12</v>
      </c>
    </row>
    <row r="776" spans="1:6" ht="17.100000000000001" customHeight="1">
      <c r="A776" s="11" t="s">
        <v>782</v>
      </c>
      <c r="B776" s="12">
        <v>202303027</v>
      </c>
      <c r="C776" s="12" t="str">
        <f>"202303026024"</f>
        <v>202303026024</v>
      </c>
      <c r="D776" s="13">
        <v>68.3</v>
      </c>
      <c r="E776" s="14">
        <v>85.5</v>
      </c>
      <c r="F776" s="15" t="s">
        <v>8</v>
      </c>
    </row>
    <row r="777" spans="1:6" ht="17.100000000000001" customHeight="1">
      <c r="A777" s="11" t="s">
        <v>783</v>
      </c>
      <c r="B777" s="12">
        <v>202303027</v>
      </c>
      <c r="C777" s="12" t="str">
        <f>"202303026025"</f>
        <v>202303026025</v>
      </c>
      <c r="D777" s="13">
        <v>77.900000000000006</v>
      </c>
      <c r="E777" s="14">
        <v>97.5</v>
      </c>
      <c r="F777" s="15" t="s">
        <v>8</v>
      </c>
    </row>
    <row r="778" spans="1:6" ht="17.100000000000001" customHeight="1">
      <c r="A778" s="11" t="s">
        <v>784</v>
      </c>
      <c r="B778" s="12">
        <v>202303027</v>
      </c>
      <c r="C778" s="12" t="str">
        <f>"202303026026"</f>
        <v>202303026026</v>
      </c>
      <c r="D778" s="13">
        <v>65.8</v>
      </c>
      <c r="E778" s="14">
        <v>102.5</v>
      </c>
      <c r="F778" s="15" t="s">
        <v>8</v>
      </c>
    </row>
    <row r="779" spans="1:6" ht="17.100000000000001" customHeight="1">
      <c r="A779" s="11" t="s">
        <v>785</v>
      </c>
      <c r="B779" s="12">
        <v>202303027</v>
      </c>
      <c r="C779" s="12" t="str">
        <f>"202303026027"</f>
        <v>202303026027</v>
      </c>
      <c r="D779" s="13">
        <v>0</v>
      </c>
      <c r="E779" s="14">
        <v>0</v>
      </c>
      <c r="F779" s="15" t="s">
        <v>12</v>
      </c>
    </row>
    <row r="780" spans="1:6" ht="17.100000000000001" customHeight="1">
      <c r="A780" s="11" t="s">
        <v>786</v>
      </c>
      <c r="B780" s="12">
        <v>202303028</v>
      </c>
      <c r="C780" s="12" t="str">
        <f>"202303026028"</f>
        <v>202303026028</v>
      </c>
      <c r="D780" s="13">
        <v>68.7</v>
      </c>
      <c r="E780" s="14">
        <v>82.5</v>
      </c>
      <c r="F780" s="15" t="s">
        <v>8</v>
      </c>
    </row>
    <row r="781" spans="1:6" ht="17.100000000000001" customHeight="1">
      <c r="A781" s="11" t="s">
        <v>787</v>
      </c>
      <c r="B781" s="12">
        <v>202303028</v>
      </c>
      <c r="C781" s="12" t="str">
        <f>"202303026029"</f>
        <v>202303026029</v>
      </c>
      <c r="D781" s="13">
        <v>68.2</v>
      </c>
      <c r="E781" s="14">
        <v>109.5</v>
      </c>
      <c r="F781" s="15" t="s">
        <v>8</v>
      </c>
    </row>
    <row r="782" spans="1:6" ht="17.100000000000001" customHeight="1">
      <c r="A782" s="11" t="s">
        <v>788</v>
      </c>
      <c r="B782" s="12">
        <v>202303028</v>
      </c>
      <c r="C782" s="12" t="str">
        <f>"202303026030"</f>
        <v>202303026030</v>
      </c>
      <c r="D782" s="13">
        <v>85</v>
      </c>
      <c r="E782" s="14">
        <v>101.5</v>
      </c>
      <c r="F782" s="15" t="s">
        <v>8</v>
      </c>
    </row>
    <row r="783" spans="1:6" ht="17.100000000000001" customHeight="1">
      <c r="A783" s="11" t="s">
        <v>789</v>
      </c>
      <c r="B783" s="12">
        <v>202303028</v>
      </c>
      <c r="C783" s="12" t="str">
        <f>"202303027001"</f>
        <v>202303027001</v>
      </c>
      <c r="D783" s="13">
        <v>90.4</v>
      </c>
      <c r="E783" s="14">
        <v>96.5</v>
      </c>
      <c r="F783" s="15" t="s">
        <v>8</v>
      </c>
    </row>
    <row r="784" spans="1:6" ht="17.100000000000001" customHeight="1">
      <c r="A784" s="11" t="s">
        <v>790</v>
      </c>
      <c r="B784" s="12">
        <v>202303028</v>
      </c>
      <c r="C784" s="12" t="str">
        <f>"202303027002"</f>
        <v>202303027002</v>
      </c>
      <c r="D784" s="13">
        <v>100.3</v>
      </c>
      <c r="E784" s="14">
        <v>104</v>
      </c>
      <c r="F784" s="15" t="s">
        <v>8</v>
      </c>
    </row>
    <row r="785" spans="1:6" ht="17.100000000000001" customHeight="1">
      <c r="A785" s="11" t="s">
        <v>791</v>
      </c>
      <c r="B785" s="12">
        <v>202303028</v>
      </c>
      <c r="C785" s="12" t="str">
        <f>"202303027003"</f>
        <v>202303027003</v>
      </c>
      <c r="D785" s="13">
        <v>85.1</v>
      </c>
      <c r="E785" s="14">
        <v>100.5</v>
      </c>
      <c r="F785" s="15" t="s">
        <v>8</v>
      </c>
    </row>
    <row r="786" spans="1:6" ht="17.100000000000001" customHeight="1">
      <c r="A786" s="11" t="s">
        <v>792</v>
      </c>
      <c r="B786" s="12">
        <v>202303028</v>
      </c>
      <c r="C786" s="12" t="str">
        <f>"202303027004"</f>
        <v>202303027004</v>
      </c>
      <c r="D786" s="13">
        <v>0</v>
      </c>
      <c r="E786" s="14">
        <v>0</v>
      </c>
      <c r="F786" s="15" t="s">
        <v>12</v>
      </c>
    </row>
    <row r="787" spans="1:6" ht="17.100000000000001" customHeight="1">
      <c r="A787" s="11" t="s">
        <v>793</v>
      </c>
      <c r="B787" s="12">
        <v>202303028</v>
      </c>
      <c r="C787" s="12" t="str">
        <f>"202303027005"</f>
        <v>202303027005</v>
      </c>
      <c r="D787" s="13">
        <v>0</v>
      </c>
      <c r="E787" s="14">
        <v>0</v>
      </c>
      <c r="F787" s="15" t="s">
        <v>12</v>
      </c>
    </row>
    <row r="788" spans="1:6" ht="17.100000000000001" customHeight="1">
      <c r="A788" s="11" t="s">
        <v>794</v>
      </c>
      <c r="B788" s="12">
        <v>202303028</v>
      </c>
      <c r="C788" s="12" t="str">
        <f>"202303027006"</f>
        <v>202303027006</v>
      </c>
      <c r="D788" s="13">
        <v>83.3</v>
      </c>
      <c r="E788" s="14">
        <v>94</v>
      </c>
      <c r="F788" s="15" t="s">
        <v>8</v>
      </c>
    </row>
    <row r="789" spans="1:6" ht="17.100000000000001" customHeight="1">
      <c r="A789" s="11" t="s">
        <v>795</v>
      </c>
      <c r="B789" s="12">
        <v>202303028</v>
      </c>
      <c r="C789" s="12" t="str">
        <f>"202303027007"</f>
        <v>202303027007</v>
      </c>
      <c r="D789" s="13">
        <v>78.099999999999994</v>
      </c>
      <c r="E789" s="14">
        <v>81.5</v>
      </c>
      <c r="F789" s="15" t="s">
        <v>8</v>
      </c>
    </row>
    <row r="790" spans="1:6" ht="17.100000000000001" customHeight="1">
      <c r="A790" s="11" t="s">
        <v>796</v>
      </c>
      <c r="B790" s="12">
        <v>202303028</v>
      </c>
      <c r="C790" s="12" t="str">
        <f>"202303027008"</f>
        <v>202303027008</v>
      </c>
      <c r="D790" s="13">
        <v>78.5</v>
      </c>
      <c r="E790" s="14">
        <v>94</v>
      </c>
      <c r="F790" s="15" t="s">
        <v>8</v>
      </c>
    </row>
    <row r="791" spans="1:6" ht="17.100000000000001" customHeight="1">
      <c r="A791" s="11" t="s">
        <v>797</v>
      </c>
      <c r="B791" s="12">
        <v>202303028</v>
      </c>
      <c r="C791" s="12" t="str">
        <f>"202303027009"</f>
        <v>202303027009</v>
      </c>
      <c r="D791" s="13">
        <v>86.3</v>
      </c>
      <c r="E791" s="14">
        <v>105</v>
      </c>
      <c r="F791" s="15" t="s">
        <v>8</v>
      </c>
    </row>
    <row r="792" spans="1:6" ht="17.100000000000001" customHeight="1">
      <c r="A792" s="11" t="s">
        <v>798</v>
      </c>
      <c r="B792" s="12">
        <v>202303028</v>
      </c>
      <c r="C792" s="12" t="str">
        <f>"202303027010"</f>
        <v>202303027010</v>
      </c>
      <c r="D792" s="13">
        <v>91.3</v>
      </c>
      <c r="E792" s="14">
        <v>116</v>
      </c>
      <c r="F792" s="15" t="s">
        <v>8</v>
      </c>
    </row>
    <row r="793" spans="1:6" ht="17.100000000000001" customHeight="1">
      <c r="A793" s="11" t="s">
        <v>799</v>
      </c>
      <c r="B793" s="12">
        <v>202303028</v>
      </c>
      <c r="C793" s="12" t="str">
        <f>"202303027011"</f>
        <v>202303027011</v>
      </c>
      <c r="D793" s="13">
        <v>0</v>
      </c>
      <c r="E793" s="14">
        <v>0</v>
      </c>
      <c r="F793" s="15" t="s">
        <v>12</v>
      </c>
    </row>
    <row r="794" spans="1:6" ht="17.100000000000001" customHeight="1">
      <c r="A794" s="11" t="s">
        <v>800</v>
      </c>
      <c r="B794" s="12">
        <v>202303028</v>
      </c>
      <c r="C794" s="12" t="str">
        <f>"202303027012"</f>
        <v>202303027012</v>
      </c>
      <c r="D794" s="13">
        <v>60</v>
      </c>
      <c r="E794" s="14">
        <v>39</v>
      </c>
      <c r="F794" s="15" t="s">
        <v>8</v>
      </c>
    </row>
    <row r="795" spans="1:6" ht="17.100000000000001" customHeight="1">
      <c r="A795" s="11" t="s">
        <v>801</v>
      </c>
      <c r="B795" s="12">
        <v>202303028</v>
      </c>
      <c r="C795" s="12" t="str">
        <f>"202303027013"</f>
        <v>202303027013</v>
      </c>
      <c r="D795" s="13">
        <v>93.2</v>
      </c>
      <c r="E795" s="14">
        <v>105.5</v>
      </c>
      <c r="F795" s="15" t="s">
        <v>8</v>
      </c>
    </row>
    <row r="796" spans="1:6" ht="17.100000000000001" customHeight="1">
      <c r="A796" s="11" t="s">
        <v>802</v>
      </c>
      <c r="B796" s="12">
        <v>202303028</v>
      </c>
      <c r="C796" s="12" t="str">
        <f>"202303027014"</f>
        <v>202303027014</v>
      </c>
      <c r="D796" s="13">
        <v>86.3</v>
      </c>
      <c r="E796" s="14">
        <v>110.5</v>
      </c>
      <c r="F796" s="15" t="s">
        <v>8</v>
      </c>
    </row>
    <row r="797" spans="1:6" ht="17.100000000000001" customHeight="1">
      <c r="A797" s="11" t="s">
        <v>803</v>
      </c>
      <c r="B797" s="12">
        <v>202303028</v>
      </c>
      <c r="C797" s="12" t="str">
        <f>"202303027015"</f>
        <v>202303027015</v>
      </c>
      <c r="D797" s="13">
        <v>94.7</v>
      </c>
      <c r="E797" s="14">
        <v>102.5</v>
      </c>
      <c r="F797" s="15" t="s">
        <v>8</v>
      </c>
    </row>
    <row r="798" spans="1:6" ht="17.100000000000001" customHeight="1">
      <c r="A798" s="11" t="s">
        <v>804</v>
      </c>
      <c r="B798" s="12">
        <v>202303028</v>
      </c>
      <c r="C798" s="12" t="str">
        <f>"202303027016"</f>
        <v>202303027016</v>
      </c>
      <c r="D798" s="13">
        <v>83.4</v>
      </c>
      <c r="E798" s="14">
        <v>106</v>
      </c>
      <c r="F798" s="15" t="s">
        <v>8</v>
      </c>
    </row>
    <row r="799" spans="1:6" ht="17.100000000000001" customHeight="1">
      <c r="A799" s="11" t="s">
        <v>805</v>
      </c>
      <c r="B799" s="12">
        <v>202303029</v>
      </c>
      <c r="C799" s="12" t="str">
        <f>"202303027017"</f>
        <v>202303027017</v>
      </c>
      <c r="D799" s="13">
        <v>80.3</v>
      </c>
      <c r="E799" s="14">
        <v>90</v>
      </c>
      <c r="F799" s="15" t="s">
        <v>8</v>
      </c>
    </row>
    <row r="800" spans="1:6" ht="17.100000000000001" customHeight="1">
      <c r="A800" s="11" t="s">
        <v>806</v>
      </c>
      <c r="B800" s="12">
        <v>202303029</v>
      </c>
      <c r="C800" s="12" t="str">
        <f>"202303027018"</f>
        <v>202303027018</v>
      </c>
      <c r="D800" s="13">
        <v>0</v>
      </c>
      <c r="E800" s="14">
        <v>0</v>
      </c>
      <c r="F800" s="15" t="s">
        <v>12</v>
      </c>
    </row>
    <row r="801" spans="1:6" ht="17.100000000000001" customHeight="1">
      <c r="A801" s="11" t="s">
        <v>807</v>
      </c>
      <c r="B801" s="12">
        <v>202303029</v>
      </c>
      <c r="C801" s="12" t="str">
        <f>"202303027019"</f>
        <v>202303027019</v>
      </c>
      <c r="D801" s="13">
        <v>0</v>
      </c>
      <c r="E801" s="14">
        <v>0</v>
      </c>
      <c r="F801" s="15" t="s">
        <v>12</v>
      </c>
    </row>
    <row r="802" spans="1:6" ht="17.100000000000001" customHeight="1">
      <c r="A802" s="11" t="s">
        <v>808</v>
      </c>
      <c r="B802" s="12">
        <v>202303029</v>
      </c>
      <c r="C802" s="12" t="str">
        <f>"202303027020"</f>
        <v>202303027020</v>
      </c>
      <c r="D802" s="13">
        <v>0</v>
      </c>
      <c r="E802" s="14">
        <v>0</v>
      </c>
      <c r="F802" s="15" t="s">
        <v>12</v>
      </c>
    </row>
    <row r="803" spans="1:6" ht="17.100000000000001" customHeight="1">
      <c r="A803" s="11" t="s">
        <v>809</v>
      </c>
      <c r="B803" s="12">
        <v>202303029</v>
      </c>
      <c r="C803" s="12" t="str">
        <f>"202303027021"</f>
        <v>202303027021</v>
      </c>
      <c r="D803" s="13">
        <v>84.1</v>
      </c>
      <c r="E803" s="14">
        <v>97.5</v>
      </c>
      <c r="F803" s="15" t="s">
        <v>8</v>
      </c>
    </row>
    <row r="804" spans="1:6" ht="17.100000000000001" customHeight="1">
      <c r="A804" s="11" t="s">
        <v>810</v>
      </c>
      <c r="B804" s="12">
        <v>202303029</v>
      </c>
      <c r="C804" s="12" t="str">
        <f>"202303027022"</f>
        <v>202303027022</v>
      </c>
      <c r="D804" s="13">
        <v>58.7</v>
      </c>
      <c r="E804" s="14">
        <v>93</v>
      </c>
      <c r="F804" s="15" t="s">
        <v>8</v>
      </c>
    </row>
    <row r="805" spans="1:6" ht="17.100000000000001" customHeight="1">
      <c r="A805" s="11" t="s">
        <v>811</v>
      </c>
      <c r="B805" s="12">
        <v>202303029</v>
      </c>
      <c r="C805" s="12" t="str">
        <f>"202303027023"</f>
        <v>202303027023</v>
      </c>
      <c r="D805" s="13">
        <v>58</v>
      </c>
      <c r="E805" s="14">
        <v>76.5</v>
      </c>
      <c r="F805" s="15" t="s">
        <v>8</v>
      </c>
    </row>
    <row r="806" spans="1:6" ht="17.100000000000001" customHeight="1">
      <c r="A806" s="11" t="s">
        <v>812</v>
      </c>
      <c r="B806" s="12">
        <v>202303029</v>
      </c>
      <c r="C806" s="12" t="str">
        <f>"202303027024"</f>
        <v>202303027024</v>
      </c>
      <c r="D806" s="13">
        <v>0</v>
      </c>
      <c r="E806" s="14">
        <v>0</v>
      </c>
      <c r="F806" s="15" t="s">
        <v>12</v>
      </c>
    </row>
    <row r="807" spans="1:6" ht="17.100000000000001" customHeight="1">
      <c r="A807" s="11" t="s">
        <v>813</v>
      </c>
      <c r="B807" s="12">
        <v>202303029</v>
      </c>
      <c r="C807" s="12" t="str">
        <f>"202303027025"</f>
        <v>202303027025</v>
      </c>
      <c r="D807" s="13">
        <v>99.5</v>
      </c>
      <c r="E807" s="14">
        <v>107.5</v>
      </c>
      <c r="F807" s="15" t="s">
        <v>8</v>
      </c>
    </row>
    <row r="808" spans="1:6" ht="17.100000000000001" customHeight="1">
      <c r="A808" s="11" t="s">
        <v>814</v>
      </c>
      <c r="B808" s="12">
        <v>202303029</v>
      </c>
      <c r="C808" s="12" t="str">
        <f>"202303027026"</f>
        <v>202303027026</v>
      </c>
      <c r="D808" s="13">
        <v>84.1</v>
      </c>
      <c r="E808" s="14">
        <v>85.5</v>
      </c>
      <c r="F808" s="15" t="s">
        <v>8</v>
      </c>
    </row>
    <row r="809" spans="1:6" ht="17.100000000000001" customHeight="1">
      <c r="A809" s="11" t="s">
        <v>815</v>
      </c>
      <c r="B809" s="12">
        <v>202303029</v>
      </c>
      <c r="C809" s="12" t="str">
        <f>"202303027027"</f>
        <v>202303027027</v>
      </c>
      <c r="D809" s="13">
        <v>63.6</v>
      </c>
      <c r="E809" s="14">
        <v>98</v>
      </c>
      <c r="F809" s="15" t="s">
        <v>8</v>
      </c>
    </row>
    <row r="810" spans="1:6" ht="17.100000000000001" customHeight="1">
      <c r="A810" s="11" t="s">
        <v>816</v>
      </c>
      <c r="B810" s="12">
        <v>202303029</v>
      </c>
      <c r="C810" s="12" t="str">
        <f>"202303027028"</f>
        <v>202303027028</v>
      </c>
      <c r="D810" s="13">
        <v>81.5</v>
      </c>
      <c r="E810" s="14">
        <v>96.5</v>
      </c>
      <c r="F810" s="15" t="s">
        <v>8</v>
      </c>
    </row>
    <row r="811" spans="1:6" ht="17.100000000000001" customHeight="1">
      <c r="A811" s="11" t="s">
        <v>817</v>
      </c>
      <c r="B811" s="12">
        <v>202303029</v>
      </c>
      <c r="C811" s="12" t="str">
        <f>"202303027029"</f>
        <v>202303027029</v>
      </c>
      <c r="D811" s="13">
        <v>67.3</v>
      </c>
      <c r="E811" s="14">
        <v>104.5</v>
      </c>
      <c r="F811" s="15" t="s">
        <v>8</v>
      </c>
    </row>
    <row r="812" spans="1:6" ht="17.100000000000001" customHeight="1">
      <c r="A812" s="11" t="s">
        <v>818</v>
      </c>
      <c r="B812" s="12">
        <v>202303029</v>
      </c>
      <c r="C812" s="12" t="str">
        <f>"202303027030"</f>
        <v>202303027030</v>
      </c>
      <c r="D812" s="13">
        <v>0</v>
      </c>
      <c r="E812" s="14">
        <v>0</v>
      </c>
      <c r="F812" s="15" t="s">
        <v>12</v>
      </c>
    </row>
    <row r="813" spans="1:6" ht="17.100000000000001" customHeight="1">
      <c r="A813" s="11" t="s">
        <v>819</v>
      </c>
      <c r="B813" s="12">
        <v>202303029</v>
      </c>
      <c r="C813" s="12" t="str">
        <f>"202303028001"</f>
        <v>202303028001</v>
      </c>
      <c r="D813" s="13">
        <v>97</v>
      </c>
      <c r="E813" s="14">
        <v>98</v>
      </c>
      <c r="F813" s="15" t="s">
        <v>8</v>
      </c>
    </row>
    <row r="814" spans="1:6" ht="17.100000000000001" customHeight="1">
      <c r="A814" s="11" t="s">
        <v>820</v>
      </c>
      <c r="B814" s="12">
        <v>202303029</v>
      </c>
      <c r="C814" s="12" t="str">
        <f>"202303028002"</f>
        <v>202303028002</v>
      </c>
      <c r="D814" s="13">
        <v>77.900000000000006</v>
      </c>
      <c r="E814" s="14">
        <v>102.5</v>
      </c>
      <c r="F814" s="15" t="s">
        <v>8</v>
      </c>
    </row>
    <row r="815" spans="1:6" ht="17.100000000000001" customHeight="1">
      <c r="A815" s="11" t="s">
        <v>821</v>
      </c>
      <c r="B815" s="12">
        <v>202303029</v>
      </c>
      <c r="C815" s="12" t="str">
        <f>"202303028003"</f>
        <v>202303028003</v>
      </c>
      <c r="D815" s="13">
        <v>74.7</v>
      </c>
      <c r="E815" s="14">
        <v>101.5</v>
      </c>
      <c r="F815" s="15" t="s">
        <v>8</v>
      </c>
    </row>
    <row r="816" spans="1:6" ht="17.100000000000001" customHeight="1">
      <c r="A816" s="11" t="s">
        <v>822</v>
      </c>
      <c r="B816" s="12">
        <v>202303029</v>
      </c>
      <c r="C816" s="12" t="str">
        <f>"202303028004"</f>
        <v>202303028004</v>
      </c>
      <c r="D816" s="13">
        <v>0</v>
      </c>
      <c r="E816" s="14">
        <v>0</v>
      </c>
      <c r="F816" s="15" t="s">
        <v>12</v>
      </c>
    </row>
    <row r="817" spans="1:6" ht="17.100000000000001" customHeight="1">
      <c r="A817" s="11" t="s">
        <v>823</v>
      </c>
      <c r="B817" s="12">
        <v>202303030</v>
      </c>
      <c r="C817" s="12" t="str">
        <f>"202303028005"</f>
        <v>202303028005</v>
      </c>
      <c r="D817" s="13">
        <v>87.2</v>
      </c>
      <c r="E817" s="14">
        <v>94</v>
      </c>
      <c r="F817" s="15" t="s">
        <v>8</v>
      </c>
    </row>
    <row r="818" spans="1:6" ht="17.100000000000001" customHeight="1">
      <c r="A818" s="11" t="s">
        <v>824</v>
      </c>
      <c r="B818" s="12">
        <v>202303030</v>
      </c>
      <c r="C818" s="12" t="str">
        <f>"202303028006"</f>
        <v>202303028006</v>
      </c>
      <c r="D818" s="13">
        <v>84.7</v>
      </c>
      <c r="E818" s="14">
        <v>88</v>
      </c>
      <c r="F818" s="15" t="s">
        <v>8</v>
      </c>
    </row>
    <row r="819" spans="1:6" ht="17.100000000000001" customHeight="1">
      <c r="A819" s="11" t="s">
        <v>825</v>
      </c>
      <c r="B819" s="12">
        <v>202303030</v>
      </c>
      <c r="C819" s="12" t="str">
        <f>"202303028007"</f>
        <v>202303028007</v>
      </c>
      <c r="D819" s="13">
        <v>0</v>
      </c>
      <c r="E819" s="14">
        <v>0</v>
      </c>
      <c r="F819" s="15" t="s">
        <v>12</v>
      </c>
    </row>
    <row r="820" spans="1:6" ht="17.100000000000001" customHeight="1">
      <c r="A820" s="11" t="s">
        <v>826</v>
      </c>
      <c r="B820" s="12">
        <v>202303030</v>
      </c>
      <c r="C820" s="12" t="str">
        <f>"202303028008"</f>
        <v>202303028008</v>
      </c>
      <c r="D820" s="13">
        <v>78.5</v>
      </c>
      <c r="E820" s="14">
        <v>101.5</v>
      </c>
      <c r="F820" s="15" t="s">
        <v>8</v>
      </c>
    </row>
    <row r="821" spans="1:6" ht="17.100000000000001" customHeight="1">
      <c r="A821" s="11" t="s">
        <v>827</v>
      </c>
      <c r="B821" s="12">
        <v>202303030</v>
      </c>
      <c r="C821" s="12" t="str">
        <f>"202303028009"</f>
        <v>202303028009</v>
      </c>
      <c r="D821" s="13">
        <v>94.8</v>
      </c>
      <c r="E821" s="14">
        <v>90</v>
      </c>
      <c r="F821" s="15" t="s">
        <v>8</v>
      </c>
    </row>
    <row r="822" spans="1:6" ht="17.100000000000001" customHeight="1">
      <c r="A822" s="11" t="s">
        <v>828</v>
      </c>
      <c r="B822" s="12">
        <v>202303030</v>
      </c>
      <c r="C822" s="12" t="str">
        <f>"202303028010"</f>
        <v>202303028010</v>
      </c>
      <c r="D822" s="13">
        <v>76.599999999999994</v>
      </c>
      <c r="E822" s="14">
        <v>99.5</v>
      </c>
      <c r="F822" s="15" t="s">
        <v>8</v>
      </c>
    </row>
    <row r="823" spans="1:6" ht="17.100000000000001" customHeight="1">
      <c r="A823" s="11" t="s">
        <v>829</v>
      </c>
      <c r="B823" s="12">
        <v>202303031</v>
      </c>
      <c r="C823" s="12" t="str">
        <f>"202303028011"</f>
        <v>202303028011</v>
      </c>
      <c r="D823" s="13">
        <v>91.9</v>
      </c>
      <c r="E823" s="14">
        <v>99</v>
      </c>
      <c r="F823" s="15" t="s">
        <v>8</v>
      </c>
    </row>
    <row r="824" spans="1:6" ht="17.100000000000001" customHeight="1">
      <c r="A824" s="11" t="s">
        <v>830</v>
      </c>
      <c r="B824" s="12">
        <v>202303031</v>
      </c>
      <c r="C824" s="12" t="str">
        <f>"202303028012"</f>
        <v>202303028012</v>
      </c>
      <c r="D824" s="13">
        <v>0</v>
      </c>
      <c r="E824" s="14">
        <v>0</v>
      </c>
      <c r="F824" s="15" t="s">
        <v>12</v>
      </c>
    </row>
    <row r="825" spans="1:6" ht="17.100000000000001" customHeight="1">
      <c r="A825" s="11" t="s">
        <v>831</v>
      </c>
      <c r="B825" s="12">
        <v>202303031</v>
      </c>
      <c r="C825" s="12" t="str">
        <f>"202303028013"</f>
        <v>202303028013</v>
      </c>
      <c r="D825" s="13">
        <v>93.9</v>
      </c>
      <c r="E825" s="14">
        <v>90.5</v>
      </c>
      <c r="F825" s="15" t="s">
        <v>8</v>
      </c>
    </row>
    <row r="826" spans="1:6" ht="17.100000000000001" customHeight="1">
      <c r="A826" s="11" t="s">
        <v>832</v>
      </c>
      <c r="B826" s="12">
        <v>202303031</v>
      </c>
      <c r="C826" s="12" t="str">
        <f>"202303028014"</f>
        <v>202303028014</v>
      </c>
      <c r="D826" s="13">
        <v>72.8</v>
      </c>
      <c r="E826" s="14">
        <v>98.5</v>
      </c>
      <c r="F826" s="15" t="s">
        <v>8</v>
      </c>
    </row>
    <row r="827" spans="1:6" ht="17.100000000000001" customHeight="1">
      <c r="A827" s="11" t="s">
        <v>833</v>
      </c>
      <c r="B827" s="12">
        <v>202303031</v>
      </c>
      <c r="C827" s="12" t="str">
        <f>"202303028015"</f>
        <v>202303028015</v>
      </c>
      <c r="D827" s="13">
        <v>0</v>
      </c>
      <c r="E827" s="14">
        <v>0</v>
      </c>
      <c r="F827" s="15" t="s">
        <v>12</v>
      </c>
    </row>
    <row r="828" spans="1:6" ht="17.100000000000001" customHeight="1">
      <c r="A828" s="11" t="s">
        <v>834</v>
      </c>
      <c r="B828" s="12">
        <v>202303031</v>
      </c>
      <c r="C828" s="12" t="str">
        <f>"202303028016"</f>
        <v>202303028016</v>
      </c>
      <c r="D828" s="13">
        <v>84.6</v>
      </c>
      <c r="E828" s="14">
        <v>100.5</v>
      </c>
      <c r="F828" s="15" t="s">
        <v>8</v>
      </c>
    </row>
    <row r="829" spans="1:6" ht="17.100000000000001" customHeight="1">
      <c r="A829" s="11" t="s">
        <v>835</v>
      </c>
      <c r="B829" s="12">
        <v>202303031</v>
      </c>
      <c r="C829" s="12" t="str">
        <f>"202303028017"</f>
        <v>202303028017</v>
      </c>
      <c r="D829" s="13">
        <v>97.5</v>
      </c>
      <c r="E829" s="14">
        <v>104.5</v>
      </c>
      <c r="F829" s="15" t="s">
        <v>8</v>
      </c>
    </row>
    <row r="830" spans="1:6" ht="17.100000000000001" customHeight="1">
      <c r="A830" s="11" t="s">
        <v>836</v>
      </c>
      <c r="B830" s="12">
        <v>202303031</v>
      </c>
      <c r="C830" s="12" t="str">
        <f>"202303028018"</f>
        <v>202303028018</v>
      </c>
      <c r="D830" s="13">
        <v>0</v>
      </c>
      <c r="E830" s="14">
        <v>0</v>
      </c>
      <c r="F830" s="15" t="s">
        <v>12</v>
      </c>
    </row>
    <row r="831" spans="1:6" ht="17.100000000000001" customHeight="1">
      <c r="A831" s="11" t="s">
        <v>837</v>
      </c>
      <c r="B831" s="12">
        <v>202303031</v>
      </c>
      <c r="C831" s="12" t="str">
        <f>"202303028019"</f>
        <v>202303028019</v>
      </c>
      <c r="D831" s="13">
        <v>0</v>
      </c>
      <c r="E831" s="14">
        <v>0</v>
      </c>
      <c r="F831" s="15" t="s">
        <v>12</v>
      </c>
    </row>
    <row r="832" spans="1:6" ht="17.100000000000001" customHeight="1">
      <c r="A832" s="11" t="s">
        <v>838</v>
      </c>
      <c r="B832" s="12">
        <v>202303031</v>
      </c>
      <c r="C832" s="12" t="str">
        <f>"202303028020"</f>
        <v>202303028020</v>
      </c>
      <c r="D832" s="13">
        <v>92.2</v>
      </c>
      <c r="E832" s="14">
        <v>101.5</v>
      </c>
      <c r="F832" s="15" t="s">
        <v>8</v>
      </c>
    </row>
    <row r="833" spans="1:6" ht="17.100000000000001" customHeight="1">
      <c r="A833" s="11" t="s">
        <v>839</v>
      </c>
      <c r="B833" s="12">
        <v>202303031</v>
      </c>
      <c r="C833" s="12" t="str">
        <f>"202303028021"</f>
        <v>202303028021</v>
      </c>
      <c r="D833" s="13">
        <v>0</v>
      </c>
      <c r="E833" s="14">
        <v>0</v>
      </c>
      <c r="F833" s="15" t="s">
        <v>12</v>
      </c>
    </row>
    <row r="834" spans="1:6" ht="17.100000000000001" customHeight="1">
      <c r="A834" s="11" t="s">
        <v>840</v>
      </c>
      <c r="B834" s="12">
        <v>202303031</v>
      </c>
      <c r="C834" s="12" t="str">
        <f>"202303028022"</f>
        <v>202303028022</v>
      </c>
      <c r="D834" s="13">
        <v>102.1</v>
      </c>
      <c r="E834" s="14">
        <v>94.5</v>
      </c>
      <c r="F834" s="15" t="s">
        <v>8</v>
      </c>
    </row>
    <row r="835" spans="1:6" ht="17.100000000000001" customHeight="1">
      <c r="A835" s="11" t="s">
        <v>841</v>
      </c>
      <c r="B835" s="12">
        <v>202303031</v>
      </c>
      <c r="C835" s="12" t="str">
        <f>"202303028023"</f>
        <v>202303028023</v>
      </c>
      <c r="D835" s="13">
        <v>0</v>
      </c>
      <c r="E835" s="14">
        <v>0</v>
      </c>
      <c r="F835" s="15" t="s">
        <v>12</v>
      </c>
    </row>
    <row r="836" spans="1:6" ht="17.100000000000001" customHeight="1">
      <c r="A836" s="11" t="s">
        <v>842</v>
      </c>
      <c r="B836" s="12">
        <v>202303031</v>
      </c>
      <c r="C836" s="12" t="str">
        <f>"202303028024"</f>
        <v>202303028024</v>
      </c>
      <c r="D836" s="13">
        <v>83.9</v>
      </c>
      <c r="E836" s="14">
        <v>111.5</v>
      </c>
      <c r="F836" s="15" t="s">
        <v>8</v>
      </c>
    </row>
    <row r="837" spans="1:6" ht="17.100000000000001" customHeight="1">
      <c r="A837" s="11" t="s">
        <v>843</v>
      </c>
      <c r="B837" s="12">
        <v>202303031</v>
      </c>
      <c r="C837" s="12" t="str">
        <f>"202303028025"</f>
        <v>202303028025</v>
      </c>
      <c r="D837" s="13">
        <v>0</v>
      </c>
      <c r="E837" s="14">
        <v>0</v>
      </c>
      <c r="F837" s="15" t="s">
        <v>12</v>
      </c>
    </row>
    <row r="838" spans="1:6" ht="17.100000000000001" customHeight="1">
      <c r="A838" s="11" t="s">
        <v>844</v>
      </c>
      <c r="B838" s="12">
        <v>202303031</v>
      </c>
      <c r="C838" s="12" t="str">
        <f>"202303028026"</f>
        <v>202303028026</v>
      </c>
      <c r="D838" s="13">
        <v>0</v>
      </c>
      <c r="E838" s="14">
        <v>0</v>
      </c>
      <c r="F838" s="15" t="s">
        <v>12</v>
      </c>
    </row>
    <row r="839" spans="1:6" ht="17.100000000000001" customHeight="1">
      <c r="A839" s="11" t="s">
        <v>845</v>
      </c>
      <c r="B839" s="12">
        <v>202303031</v>
      </c>
      <c r="C839" s="12" t="str">
        <f>"202303028027"</f>
        <v>202303028027</v>
      </c>
      <c r="D839" s="13">
        <v>0</v>
      </c>
      <c r="E839" s="14">
        <v>0</v>
      </c>
      <c r="F839" s="15" t="s">
        <v>12</v>
      </c>
    </row>
    <row r="840" spans="1:6" ht="17.100000000000001" customHeight="1">
      <c r="A840" s="11" t="s">
        <v>846</v>
      </c>
      <c r="B840" s="12">
        <v>202303031</v>
      </c>
      <c r="C840" s="12" t="str">
        <f>"202303028028"</f>
        <v>202303028028</v>
      </c>
      <c r="D840" s="13">
        <v>95.4</v>
      </c>
      <c r="E840" s="14">
        <v>106.5</v>
      </c>
      <c r="F840" s="15" t="s">
        <v>8</v>
      </c>
    </row>
    <row r="841" spans="1:6" ht="17.100000000000001" customHeight="1">
      <c r="A841" s="11" t="s">
        <v>847</v>
      </c>
      <c r="B841" s="12">
        <v>202303031</v>
      </c>
      <c r="C841" s="12" t="str">
        <f>"202303028029"</f>
        <v>202303028029</v>
      </c>
      <c r="D841" s="13">
        <v>85.1</v>
      </c>
      <c r="E841" s="14">
        <v>85</v>
      </c>
      <c r="F841" s="15" t="s">
        <v>8</v>
      </c>
    </row>
    <row r="842" spans="1:6" ht="17.100000000000001" customHeight="1">
      <c r="A842" s="11" t="s">
        <v>848</v>
      </c>
      <c r="B842" s="12">
        <v>202303031</v>
      </c>
      <c r="C842" s="12" t="str">
        <f>"202303028030"</f>
        <v>202303028030</v>
      </c>
      <c r="D842" s="13">
        <v>0</v>
      </c>
      <c r="E842" s="14">
        <v>0</v>
      </c>
      <c r="F842" s="15" t="s">
        <v>12</v>
      </c>
    </row>
    <row r="843" spans="1:6" ht="17.100000000000001" customHeight="1">
      <c r="A843" s="11" t="s">
        <v>849</v>
      </c>
      <c r="B843" s="12">
        <v>202303031</v>
      </c>
      <c r="C843" s="12" t="str">
        <f>"202303029001"</f>
        <v>202303029001</v>
      </c>
      <c r="D843" s="13">
        <v>0</v>
      </c>
      <c r="E843" s="14">
        <v>0</v>
      </c>
      <c r="F843" s="15" t="s">
        <v>12</v>
      </c>
    </row>
    <row r="844" spans="1:6" ht="17.100000000000001" customHeight="1">
      <c r="A844" s="11" t="s">
        <v>850</v>
      </c>
      <c r="B844" s="12">
        <v>202303031</v>
      </c>
      <c r="C844" s="12" t="str">
        <f>"202303029002"</f>
        <v>202303029002</v>
      </c>
      <c r="D844" s="13">
        <v>0</v>
      </c>
      <c r="E844" s="14">
        <v>0</v>
      </c>
      <c r="F844" s="15" t="s">
        <v>12</v>
      </c>
    </row>
    <row r="845" spans="1:6" ht="17.100000000000001" customHeight="1">
      <c r="A845" s="11" t="s">
        <v>851</v>
      </c>
      <c r="B845" s="12">
        <v>202303031</v>
      </c>
      <c r="C845" s="12" t="str">
        <f>"202303029003"</f>
        <v>202303029003</v>
      </c>
      <c r="D845" s="13">
        <v>0</v>
      </c>
      <c r="E845" s="14">
        <v>0</v>
      </c>
      <c r="F845" s="15" t="s">
        <v>12</v>
      </c>
    </row>
    <row r="846" spans="1:6" ht="17.100000000000001" customHeight="1">
      <c r="A846" s="11" t="s">
        <v>852</v>
      </c>
      <c r="B846" s="12">
        <v>202303031</v>
      </c>
      <c r="C846" s="12" t="str">
        <f>"202303029004"</f>
        <v>202303029004</v>
      </c>
      <c r="D846" s="13">
        <v>92.9</v>
      </c>
      <c r="E846" s="14">
        <v>111.5</v>
      </c>
      <c r="F846" s="15" t="s">
        <v>8</v>
      </c>
    </row>
    <row r="847" spans="1:6" ht="17.100000000000001" customHeight="1">
      <c r="A847" s="11" t="s">
        <v>853</v>
      </c>
      <c r="B847" s="12">
        <v>202303031</v>
      </c>
      <c r="C847" s="12" t="str">
        <f>"202303029005"</f>
        <v>202303029005</v>
      </c>
      <c r="D847" s="13">
        <v>73.2</v>
      </c>
      <c r="E847" s="14">
        <v>109</v>
      </c>
      <c r="F847" s="15" t="s">
        <v>8</v>
      </c>
    </row>
    <row r="848" spans="1:6" ht="17.100000000000001" customHeight="1">
      <c r="A848" s="11" t="s">
        <v>854</v>
      </c>
      <c r="B848" s="12">
        <v>202303031</v>
      </c>
      <c r="C848" s="12" t="str">
        <f>"202303029006"</f>
        <v>202303029006</v>
      </c>
      <c r="D848" s="13">
        <v>109.6</v>
      </c>
      <c r="E848" s="14">
        <v>106.5</v>
      </c>
      <c r="F848" s="15" t="s">
        <v>8</v>
      </c>
    </row>
    <row r="849" spans="1:6" ht="17.100000000000001" customHeight="1">
      <c r="A849" s="11" t="s">
        <v>855</v>
      </c>
      <c r="B849" s="12">
        <v>202303031</v>
      </c>
      <c r="C849" s="12" t="str">
        <f>"202303029007"</f>
        <v>202303029007</v>
      </c>
      <c r="D849" s="13">
        <v>0</v>
      </c>
      <c r="E849" s="14">
        <v>0</v>
      </c>
      <c r="F849" s="15" t="s">
        <v>12</v>
      </c>
    </row>
    <row r="850" spans="1:6" ht="17.100000000000001" customHeight="1">
      <c r="A850" s="11" t="s">
        <v>856</v>
      </c>
      <c r="B850" s="12">
        <v>202303031</v>
      </c>
      <c r="C850" s="12" t="str">
        <f>"202303029008"</f>
        <v>202303029008</v>
      </c>
      <c r="D850" s="13">
        <v>82.1</v>
      </c>
      <c r="E850" s="14">
        <v>112</v>
      </c>
      <c r="F850" s="15" t="s">
        <v>8</v>
      </c>
    </row>
    <row r="851" spans="1:6" ht="17.100000000000001" customHeight="1">
      <c r="A851" s="11" t="s">
        <v>857</v>
      </c>
      <c r="B851" s="12">
        <v>202303031</v>
      </c>
      <c r="C851" s="12" t="str">
        <f>"202303029009"</f>
        <v>202303029009</v>
      </c>
      <c r="D851" s="13">
        <v>90.3</v>
      </c>
      <c r="E851" s="14">
        <v>95</v>
      </c>
      <c r="F851" s="15" t="s">
        <v>8</v>
      </c>
    </row>
    <row r="852" spans="1:6" ht="17.100000000000001" customHeight="1">
      <c r="A852" s="11" t="s">
        <v>858</v>
      </c>
      <c r="B852" s="12">
        <v>202303031</v>
      </c>
      <c r="C852" s="12" t="str">
        <f>"202303029010"</f>
        <v>202303029010</v>
      </c>
      <c r="D852" s="13">
        <v>69.599999999999994</v>
      </c>
      <c r="E852" s="14">
        <v>103.5</v>
      </c>
      <c r="F852" s="15" t="s">
        <v>8</v>
      </c>
    </row>
    <row r="853" spans="1:6" ht="17.100000000000001" customHeight="1">
      <c r="A853" s="11" t="s">
        <v>859</v>
      </c>
      <c r="B853" s="12">
        <v>202303031</v>
      </c>
      <c r="C853" s="12" t="str">
        <f>"202303029011"</f>
        <v>202303029011</v>
      </c>
      <c r="D853" s="13">
        <v>0</v>
      </c>
      <c r="E853" s="14">
        <v>0</v>
      </c>
      <c r="F853" s="15" t="s">
        <v>12</v>
      </c>
    </row>
    <row r="854" spans="1:6" ht="17.100000000000001" customHeight="1">
      <c r="A854" s="11" t="s">
        <v>860</v>
      </c>
      <c r="B854" s="12">
        <v>202303031</v>
      </c>
      <c r="C854" s="12" t="str">
        <f>"202303029012"</f>
        <v>202303029012</v>
      </c>
      <c r="D854" s="13">
        <v>105.9</v>
      </c>
      <c r="E854" s="14">
        <v>108</v>
      </c>
      <c r="F854" s="15" t="s">
        <v>8</v>
      </c>
    </row>
    <row r="855" spans="1:6" ht="17.100000000000001" customHeight="1">
      <c r="A855" s="11" t="s">
        <v>861</v>
      </c>
      <c r="B855" s="12">
        <v>202303031</v>
      </c>
      <c r="C855" s="12" t="str">
        <f>"202303029013"</f>
        <v>202303029013</v>
      </c>
      <c r="D855" s="13">
        <v>77.7</v>
      </c>
      <c r="E855" s="14">
        <v>99.5</v>
      </c>
      <c r="F855" s="15" t="s">
        <v>8</v>
      </c>
    </row>
    <row r="856" spans="1:6" ht="17.100000000000001" customHeight="1">
      <c r="A856" s="11" t="s">
        <v>862</v>
      </c>
      <c r="B856" s="12">
        <v>202303031</v>
      </c>
      <c r="C856" s="12" t="str">
        <f>"202303029014"</f>
        <v>202303029014</v>
      </c>
      <c r="D856" s="13">
        <v>75.400000000000006</v>
      </c>
      <c r="E856" s="14">
        <v>105.5</v>
      </c>
      <c r="F856" s="15" t="s">
        <v>8</v>
      </c>
    </row>
    <row r="857" spans="1:6" ht="17.100000000000001" customHeight="1">
      <c r="A857" s="11" t="s">
        <v>863</v>
      </c>
      <c r="B857" s="12">
        <v>202303031</v>
      </c>
      <c r="C857" s="12" t="str">
        <f>"202303029015"</f>
        <v>202303029015</v>
      </c>
      <c r="D857" s="13">
        <v>90.3</v>
      </c>
      <c r="E857" s="14">
        <v>105</v>
      </c>
      <c r="F857" s="15" t="s">
        <v>8</v>
      </c>
    </row>
    <row r="858" spans="1:6" ht="17.100000000000001" customHeight="1">
      <c r="A858" s="11" t="s">
        <v>864</v>
      </c>
      <c r="B858" s="12">
        <v>202303031</v>
      </c>
      <c r="C858" s="12" t="str">
        <f>"202303029016"</f>
        <v>202303029016</v>
      </c>
      <c r="D858" s="13">
        <v>89.3</v>
      </c>
      <c r="E858" s="14">
        <v>105</v>
      </c>
      <c r="F858" s="15" t="s">
        <v>8</v>
      </c>
    </row>
    <row r="859" spans="1:6" ht="17.100000000000001" customHeight="1">
      <c r="A859" s="11" t="s">
        <v>865</v>
      </c>
      <c r="B859" s="12">
        <v>202303031</v>
      </c>
      <c r="C859" s="12" t="str">
        <f>"202303029017"</f>
        <v>202303029017</v>
      </c>
      <c r="D859" s="13">
        <v>87.7</v>
      </c>
      <c r="E859" s="14">
        <v>105.5</v>
      </c>
      <c r="F859" s="15" t="s">
        <v>8</v>
      </c>
    </row>
    <row r="860" spans="1:6" ht="17.100000000000001" customHeight="1">
      <c r="A860" s="11" t="s">
        <v>866</v>
      </c>
      <c r="B860" s="12">
        <v>202303031</v>
      </c>
      <c r="C860" s="12" t="str">
        <f>"202303029018"</f>
        <v>202303029018</v>
      </c>
      <c r="D860" s="13">
        <v>86.4</v>
      </c>
      <c r="E860" s="14">
        <v>99</v>
      </c>
      <c r="F860" s="15" t="s">
        <v>8</v>
      </c>
    </row>
    <row r="861" spans="1:6" ht="17.100000000000001" customHeight="1">
      <c r="A861" s="11" t="s">
        <v>867</v>
      </c>
      <c r="B861" s="12">
        <v>202303031</v>
      </c>
      <c r="C861" s="12" t="str">
        <f>"202303029019"</f>
        <v>202303029019</v>
      </c>
      <c r="D861" s="13">
        <v>0</v>
      </c>
      <c r="E861" s="14">
        <v>0</v>
      </c>
      <c r="F861" s="15" t="s">
        <v>12</v>
      </c>
    </row>
    <row r="862" spans="1:6" ht="17.100000000000001" customHeight="1">
      <c r="A862" s="11" t="s">
        <v>868</v>
      </c>
      <c r="B862" s="12">
        <v>202303031</v>
      </c>
      <c r="C862" s="12" t="str">
        <f>"202303029020"</f>
        <v>202303029020</v>
      </c>
      <c r="D862" s="13">
        <v>90.2</v>
      </c>
      <c r="E862" s="14">
        <v>111</v>
      </c>
      <c r="F862" s="15" t="s">
        <v>8</v>
      </c>
    </row>
    <row r="863" spans="1:6" ht="17.100000000000001" customHeight="1">
      <c r="A863" s="11" t="s">
        <v>869</v>
      </c>
      <c r="B863" s="12">
        <v>202303031</v>
      </c>
      <c r="C863" s="12" t="str">
        <f>"202303029021"</f>
        <v>202303029021</v>
      </c>
      <c r="D863" s="13">
        <v>89.7</v>
      </c>
      <c r="E863" s="14">
        <v>107</v>
      </c>
      <c r="F863" s="15" t="s">
        <v>8</v>
      </c>
    </row>
    <row r="864" spans="1:6" ht="17.100000000000001" customHeight="1">
      <c r="A864" s="11" t="s">
        <v>870</v>
      </c>
      <c r="B864" s="12">
        <v>202303031</v>
      </c>
      <c r="C864" s="12" t="str">
        <f>"202303029022"</f>
        <v>202303029022</v>
      </c>
      <c r="D864" s="13">
        <v>72.400000000000006</v>
      </c>
      <c r="E864" s="14">
        <v>91.5</v>
      </c>
      <c r="F864" s="15" t="s">
        <v>8</v>
      </c>
    </row>
    <row r="865" spans="1:6" ht="17.100000000000001" customHeight="1">
      <c r="A865" s="11" t="s">
        <v>871</v>
      </c>
      <c r="B865" s="12">
        <v>202303032</v>
      </c>
      <c r="C865" s="12" t="str">
        <f>"202303029023"</f>
        <v>202303029023</v>
      </c>
      <c r="D865" s="13">
        <v>87.7</v>
      </c>
      <c r="E865" s="14">
        <v>102</v>
      </c>
      <c r="F865" s="15" t="s">
        <v>8</v>
      </c>
    </row>
    <row r="866" spans="1:6" ht="17.100000000000001" customHeight="1">
      <c r="A866" s="11" t="s">
        <v>872</v>
      </c>
      <c r="B866" s="12">
        <v>202303032</v>
      </c>
      <c r="C866" s="12" t="str">
        <f>"202303029024"</f>
        <v>202303029024</v>
      </c>
      <c r="D866" s="13">
        <v>96.7</v>
      </c>
      <c r="E866" s="14">
        <v>104.5</v>
      </c>
      <c r="F866" s="15" t="s">
        <v>8</v>
      </c>
    </row>
    <row r="867" spans="1:6" ht="17.100000000000001" customHeight="1">
      <c r="A867" s="11" t="s">
        <v>873</v>
      </c>
      <c r="B867" s="12">
        <v>202303032</v>
      </c>
      <c r="C867" s="12" t="str">
        <f>"202303029025"</f>
        <v>202303029025</v>
      </c>
      <c r="D867" s="13">
        <v>85.7</v>
      </c>
      <c r="E867" s="14">
        <v>101.5</v>
      </c>
      <c r="F867" s="15" t="s">
        <v>8</v>
      </c>
    </row>
    <row r="868" spans="1:6" ht="17.100000000000001" customHeight="1">
      <c r="A868" s="11" t="s">
        <v>874</v>
      </c>
      <c r="B868" s="12">
        <v>202303032</v>
      </c>
      <c r="C868" s="12" t="str">
        <f>"202303029026"</f>
        <v>202303029026</v>
      </c>
      <c r="D868" s="13">
        <v>88.9</v>
      </c>
      <c r="E868" s="14">
        <v>77.5</v>
      </c>
      <c r="F868" s="15" t="s">
        <v>8</v>
      </c>
    </row>
    <row r="869" spans="1:6" ht="17.100000000000001" customHeight="1">
      <c r="A869" s="11" t="s">
        <v>875</v>
      </c>
      <c r="B869" s="12">
        <v>202303032</v>
      </c>
      <c r="C869" s="12" t="str">
        <f>"202303029027"</f>
        <v>202303029027</v>
      </c>
      <c r="D869" s="13">
        <v>76.7</v>
      </c>
      <c r="E869" s="14">
        <v>82.5</v>
      </c>
      <c r="F869" s="15" t="s">
        <v>8</v>
      </c>
    </row>
    <row r="870" spans="1:6" ht="17.100000000000001" customHeight="1">
      <c r="A870" s="11" t="s">
        <v>876</v>
      </c>
      <c r="B870" s="12">
        <v>202303032</v>
      </c>
      <c r="C870" s="12" t="str">
        <f>"202303029028"</f>
        <v>202303029028</v>
      </c>
      <c r="D870" s="13">
        <v>0</v>
      </c>
      <c r="E870" s="14">
        <v>0</v>
      </c>
      <c r="F870" s="15" t="s">
        <v>12</v>
      </c>
    </row>
    <row r="871" spans="1:6" ht="17.100000000000001" customHeight="1">
      <c r="A871" s="11" t="s">
        <v>877</v>
      </c>
      <c r="B871" s="12">
        <v>202303032</v>
      </c>
      <c r="C871" s="12" t="str">
        <f>"202303029029"</f>
        <v>202303029029</v>
      </c>
      <c r="D871" s="13">
        <v>82.9</v>
      </c>
      <c r="E871" s="14">
        <v>79</v>
      </c>
      <c r="F871" s="15" t="s">
        <v>8</v>
      </c>
    </row>
    <row r="872" spans="1:6" ht="17.100000000000001" customHeight="1">
      <c r="A872" s="11" t="s">
        <v>878</v>
      </c>
      <c r="B872" s="12">
        <v>202303032</v>
      </c>
      <c r="C872" s="12" t="str">
        <f>"202303029030"</f>
        <v>202303029030</v>
      </c>
      <c r="D872" s="13">
        <v>81.900000000000006</v>
      </c>
      <c r="E872" s="14">
        <v>106.5</v>
      </c>
      <c r="F872" s="15" t="s">
        <v>8</v>
      </c>
    </row>
    <row r="873" spans="1:6" ht="17.100000000000001" customHeight="1">
      <c r="A873" s="11" t="s">
        <v>879</v>
      </c>
      <c r="B873" s="12">
        <v>202303032</v>
      </c>
      <c r="C873" s="12" t="str">
        <f>"202303030001"</f>
        <v>202303030001</v>
      </c>
      <c r="D873" s="13">
        <v>61.6</v>
      </c>
      <c r="E873" s="14">
        <v>106.5</v>
      </c>
      <c r="F873" s="15" t="s">
        <v>8</v>
      </c>
    </row>
    <row r="874" spans="1:6" ht="17.100000000000001" customHeight="1">
      <c r="A874" s="11" t="s">
        <v>880</v>
      </c>
      <c r="B874" s="12">
        <v>202303033</v>
      </c>
      <c r="C874" s="12" t="str">
        <f>"202303030002"</f>
        <v>202303030002</v>
      </c>
      <c r="D874" s="13">
        <v>77.099999999999994</v>
      </c>
      <c r="E874" s="14">
        <v>107</v>
      </c>
      <c r="F874" s="15" t="s">
        <v>8</v>
      </c>
    </row>
    <row r="875" spans="1:6" ht="17.100000000000001" customHeight="1">
      <c r="A875" s="11" t="s">
        <v>881</v>
      </c>
      <c r="B875" s="12">
        <v>202303033</v>
      </c>
      <c r="C875" s="12" t="str">
        <f>"202303030003"</f>
        <v>202303030003</v>
      </c>
      <c r="D875" s="13">
        <v>111.3</v>
      </c>
      <c r="E875" s="14">
        <v>89.5</v>
      </c>
      <c r="F875" s="15" t="s">
        <v>8</v>
      </c>
    </row>
    <row r="876" spans="1:6" ht="17.100000000000001" customHeight="1">
      <c r="A876" s="11" t="s">
        <v>882</v>
      </c>
      <c r="B876" s="12">
        <v>202303033</v>
      </c>
      <c r="C876" s="12" t="str">
        <f>"202303030004"</f>
        <v>202303030004</v>
      </c>
      <c r="D876" s="13">
        <v>98.4</v>
      </c>
      <c r="E876" s="14">
        <v>102.5</v>
      </c>
      <c r="F876" s="15" t="s">
        <v>8</v>
      </c>
    </row>
    <row r="877" spans="1:6" ht="17.100000000000001" customHeight="1">
      <c r="A877" s="11" t="s">
        <v>883</v>
      </c>
      <c r="B877" s="12">
        <v>202303033</v>
      </c>
      <c r="C877" s="12" t="str">
        <f>"202303030005"</f>
        <v>202303030005</v>
      </c>
      <c r="D877" s="13">
        <v>73.7</v>
      </c>
      <c r="E877" s="14">
        <v>93</v>
      </c>
      <c r="F877" s="15" t="s">
        <v>8</v>
      </c>
    </row>
    <row r="878" spans="1:6" ht="17.100000000000001" customHeight="1">
      <c r="A878" s="11" t="s">
        <v>884</v>
      </c>
      <c r="B878" s="12">
        <v>202303033</v>
      </c>
      <c r="C878" s="12" t="str">
        <f>"202303030006"</f>
        <v>202303030006</v>
      </c>
      <c r="D878" s="13">
        <v>98.4</v>
      </c>
      <c r="E878" s="14">
        <v>92.5</v>
      </c>
      <c r="F878" s="15" t="s">
        <v>8</v>
      </c>
    </row>
    <row r="879" spans="1:6" ht="17.100000000000001" customHeight="1">
      <c r="A879" s="11" t="s">
        <v>885</v>
      </c>
      <c r="B879" s="12">
        <v>202303033</v>
      </c>
      <c r="C879" s="12" t="str">
        <f>"202303030007"</f>
        <v>202303030007</v>
      </c>
      <c r="D879" s="13">
        <v>116.3</v>
      </c>
      <c r="E879" s="14">
        <v>100.5</v>
      </c>
      <c r="F879" s="15" t="s">
        <v>8</v>
      </c>
    </row>
    <row r="880" spans="1:6" ht="17.100000000000001" customHeight="1">
      <c r="A880" s="11" t="s">
        <v>886</v>
      </c>
      <c r="B880" s="12">
        <v>202303033</v>
      </c>
      <c r="C880" s="12" t="str">
        <f>"202303030008"</f>
        <v>202303030008</v>
      </c>
      <c r="D880" s="13">
        <v>92.1</v>
      </c>
      <c r="E880" s="14">
        <v>107.5</v>
      </c>
      <c r="F880" s="15" t="s">
        <v>8</v>
      </c>
    </row>
    <row r="881" spans="1:6" ht="17.100000000000001" customHeight="1">
      <c r="A881" s="11" t="s">
        <v>887</v>
      </c>
      <c r="B881" s="12">
        <v>202303033</v>
      </c>
      <c r="C881" s="12" t="str">
        <f>"202303030009"</f>
        <v>202303030009</v>
      </c>
      <c r="D881" s="13">
        <v>95.6</v>
      </c>
      <c r="E881" s="14">
        <v>111.5</v>
      </c>
      <c r="F881" s="15" t="s">
        <v>8</v>
      </c>
    </row>
    <row r="882" spans="1:6" ht="17.100000000000001" customHeight="1">
      <c r="A882" s="11" t="s">
        <v>888</v>
      </c>
      <c r="B882" s="12">
        <v>202303033</v>
      </c>
      <c r="C882" s="12" t="str">
        <f>"202303030010"</f>
        <v>202303030010</v>
      </c>
      <c r="D882" s="13">
        <v>0</v>
      </c>
      <c r="E882" s="14">
        <v>0</v>
      </c>
      <c r="F882" s="15" t="s">
        <v>12</v>
      </c>
    </row>
    <row r="883" spans="1:6" ht="17.100000000000001" customHeight="1">
      <c r="A883" s="11" t="s">
        <v>889</v>
      </c>
      <c r="B883" s="12">
        <v>202303033</v>
      </c>
      <c r="C883" s="12" t="str">
        <f>"202303030011"</f>
        <v>202303030011</v>
      </c>
      <c r="D883" s="13">
        <v>0</v>
      </c>
      <c r="E883" s="14">
        <v>0</v>
      </c>
      <c r="F883" s="15" t="s">
        <v>12</v>
      </c>
    </row>
    <row r="884" spans="1:6" ht="17.100000000000001" customHeight="1">
      <c r="A884" s="11" t="s">
        <v>890</v>
      </c>
      <c r="B884" s="12">
        <v>202303033</v>
      </c>
      <c r="C884" s="12" t="str">
        <f>"202303030012"</f>
        <v>202303030012</v>
      </c>
      <c r="D884" s="13">
        <v>0</v>
      </c>
      <c r="E884" s="14">
        <v>0</v>
      </c>
      <c r="F884" s="15" t="s">
        <v>12</v>
      </c>
    </row>
    <row r="885" spans="1:6" ht="17.100000000000001" customHeight="1">
      <c r="A885" s="11" t="s">
        <v>891</v>
      </c>
      <c r="B885" s="12">
        <v>202303034</v>
      </c>
      <c r="C885" s="12" t="str">
        <f>"202303030013"</f>
        <v>202303030013</v>
      </c>
      <c r="D885" s="13">
        <v>0</v>
      </c>
      <c r="E885" s="14">
        <v>0</v>
      </c>
      <c r="F885" s="15" t="s">
        <v>12</v>
      </c>
    </row>
    <row r="886" spans="1:6" ht="17.100000000000001" customHeight="1">
      <c r="A886" s="11" t="s">
        <v>892</v>
      </c>
      <c r="B886" s="12">
        <v>202303034</v>
      </c>
      <c r="C886" s="12" t="str">
        <f>"202303030014"</f>
        <v>202303030014</v>
      </c>
      <c r="D886" s="13">
        <v>91.7</v>
      </c>
      <c r="E886" s="14">
        <v>111.5</v>
      </c>
      <c r="F886" s="15" t="s">
        <v>8</v>
      </c>
    </row>
    <row r="887" spans="1:6" ht="17.100000000000001" customHeight="1">
      <c r="A887" s="11" t="s">
        <v>893</v>
      </c>
      <c r="B887" s="12">
        <v>202303034</v>
      </c>
      <c r="C887" s="12" t="str">
        <f>"202303030015"</f>
        <v>202303030015</v>
      </c>
      <c r="D887" s="13">
        <v>84.4</v>
      </c>
      <c r="E887" s="14">
        <v>105</v>
      </c>
      <c r="F887" s="15" t="s">
        <v>8</v>
      </c>
    </row>
    <row r="888" spans="1:6" ht="17.100000000000001" customHeight="1">
      <c r="A888" s="11" t="s">
        <v>894</v>
      </c>
      <c r="B888" s="12">
        <v>202303034</v>
      </c>
      <c r="C888" s="12" t="str">
        <f>"202303030016"</f>
        <v>202303030016</v>
      </c>
      <c r="D888" s="13">
        <v>89.5</v>
      </c>
      <c r="E888" s="14">
        <v>95.5</v>
      </c>
      <c r="F888" s="15" t="s">
        <v>8</v>
      </c>
    </row>
    <row r="889" spans="1:6" ht="17.100000000000001" customHeight="1">
      <c r="A889" s="11" t="s">
        <v>895</v>
      </c>
      <c r="B889" s="12">
        <v>202303034</v>
      </c>
      <c r="C889" s="12" t="str">
        <f>"202303030017"</f>
        <v>202303030017</v>
      </c>
      <c r="D889" s="13">
        <v>65.7</v>
      </c>
      <c r="E889" s="14">
        <v>93</v>
      </c>
      <c r="F889" s="15" t="s">
        <v>8</v>
      </c>
    </row>
    <row r="890" spans="1:6" ht="17.100000000000001" customHeight="1">
      <c r="A890" s="11" t="s">
        <v>896</v>
      </c>
      <c r="B890" s="12">
        <v>202303034</v>
      </c>
      <c r="C890" s="12" t="str">
        <f>"202303030018"</f>
        <v>202303030018</v>
      </c>
      <c r="D890" s="13">
        <v>89</v>
      </c>
      <c r="E890" s="14">
        <v>107.5</v>
      </c>
      <c r="F890" s="15" t="s">
        <v>8</v>
      </c>
    </row>
    <row r="891" spans="1:6" ht="17.100000000000001" customHeight="1">
      <c r="A891" s="11" t="s">
        <v>897</v>
      </c>
      <c r="B891" s="12">
        <v>202303034</v>
      </c>
      <c r="C891" s="12" t="str">
        <f>"202303030019"</f>
        <v>202303030019</v>
      </c>
      <c r="D891" s="13">
        <v>80.8</v>
      </c>
      <c r="E891" s="14">
        <v>88.5</v>
      </c>
      <c r="F891" s="15" t="s">
        <v>8</v>
      </c>
    </row>
    <row r="892" spans="1:6" ht="17.100000000000001" customHeight="1">
      <c r="A892" s="11" t="s">
        <v>898</v>
      </c>
      <c r="B892" s="12">
        <v>202303034</v>
      </c>
      <c r="C892" s="12" t="str">
        <f>"202303030020"</f>
        <v>202303030020</v>
      </c>
      <c r="D892" s="13">
        <v>87.1</v>
      </c>
      <c r="E892" s="14">
        <v>94.5</v>
      </c>
      <c r="F892" s="15" t="s">
        <v>8</v>
      </c>
    </row>
    <row r="893" spans="1:6" ht="17.100000000000001" customHeight="1">
      <c r="A893" s="11" t="s">
        <v>899</v>
      </c>
      <c r="B893" s="12">
        <v>202303034</v>
      </c>
      <c r="C893" s="12" t="str">
        <f>"202303030021"</f>
        <v>202303030021</v>
      </c>
      <c r="D893" s="13">
        <v>97.7</v>
      </c>
      <c r="E893" s="14">
        <v>98.5</v>
      </c>
      <c r="F893" s="15" t="s">
        <v>8</v>
      </c>
    </row>
    <row r="894" spans="1:6" ht="17.100000000000001" customHeight="1">
      <c r="A894" s="11" t="s">
        <v>900</v>
      </c>
      <c r="B894" s="12">
        <v>202303034</v>
      </c>
      <c r="C894" s="12" t="str">
        <f>"202303030022"</f>
        <v>202303030022</v>
      </c>
      <c r="D894" s="13">
        <v>80.3</v>
      </c>
      <c r="E894" s="14">
        <v>103.5</v>
      </c>
      <c r="F894" s="15" t="s">
        <v>8</v>
      </c>
    </row>
    <row r="895" spans="1:6" ht="17.100000000000001" customHeight="1">
      <c r="A895" s="11" t="s">
        <v>901</v>
      </c>
      <c r="B895" s="12">
        <v>202303034</v>
      </c>
      <c r="C895" s="12" t="str">
        <f>"202303030023"</f>
        <v>202303030023</v>
      </c>
      <c r="D895" s="13">
        <v>87.8</v>
      </c>
      <c r="E895" s="14">
        <v>105.5</v>
      </c>
      <c r="F895" s="15" t="s">
        <v>8</v>
      </c>
    </row>
    <row r="896" spans="1:6" ht="17.100000000000001" customHeight="1">
      <c r="A896" s="11" t="s">
        <v>902</v>
      </c>
      <c r="B896" s="12">
        <v>202303034</v>
      </c>
      <c r="C896" s="12" t="str">
        <f>"202303030024"</f>
        <v>202303030024</v>
      </c>
      <c r="D896" s="13">
        <v>74.5</v>
      </c>
      <c r="E896" s="14">
        <v>101.5</v>
      </c>
      <c r="F896" s="15" t="s">
        <v>8</v>
      </c>
    </row>
    <row r="897" spans="1:6" ht="17.100000000000001" customHeight="1">
      <c r="A897" s="11" t="s">
        <v>903</v>
      </c>
      <c r="B897" s="12">
        <v>202303034</v>
      </c>
      <c r="C897" s="12" t="str">
        <f>"202303030025"</f>
        <v>202303030025</v>
      </c>
      <c r="D897" s="13">
        <v>73.7</v>
      </c>
      <c r="E897" s="14">
        <v>109</v>
      </c>
      <c r="F897" s="15" t="s">
        <v>8</v>
      </c>
    </row>
    <row r="898" spans="1:6" ht="17.100000000000001" customHeight="1">
      <c r="A898" s="11" t="s">
        <v>904</v>
      </c>
      <c r="B898" s="12">
        <v>202303034</v>
      </c>
      <c r="C898" s="12" t="str">
        <f>"202303030026"</f>
        <v>202303030026</v>
      </c>
      <c r="D898" s="13">
        <v>0</v>
      </c>
      <c r="E898" s="14">
        <v>0</v>
      </c>
      <c r="F898" s="15" t="s">
        <v>12</v>
      </c>
    </row>
    <row r="899" spans="1:6" ht="17.100000000000001" customHeight="1">
      <c r="A899" s="11" t="s">
        <v>905</v>
      </c>
      <c r="B899" s="12">
        <v>202303034</v>
      </c>
      <c r="C899" s="12" t="str">
        <f>"202303030027"</f>
        <v>202303030027</v>
      </c>
      <c r="D899" s="13">
        <v>88.2</v>
      </c>
      <c r="E899" s="14">
        <v>101</v>
      </c>
      <c r="F899" s="15" t="s">
        <v>8</v>
      </c>
    </row>
    <row r="900" spans="1:6" ht="17.100000000000001" customHeight="1">
      <c r="A900" s="11" t="s">
        <v>906</v>
      </c>
      <c r="B900" s="12">
        <v>202303034</v>
      </c>
      <c r="C900" s="12" t="str">
        <f>"202303030028"</f>
        <v>202303030028</v>
      </c>
      <c r="D900" s="13">
        <v>80</v>
      </c>
      <c r="E900" s="14">
        <v>100.5</v>
      </c>
      <c r="F900" s="15" t="s">
        <v>8</v>
      </c>
    </row>
    <row r="901" spans="1:6" ht="17.100000000000001" customHeight="1">
      <c r="A901" s="11" t="s">
        <v>907</v>
      </c>
      <c r="B901" s="12">
        <v>202303034</v>
      </c>
      <c r="C901" s="12" t="str">
        <f>"202303030029"</f>
        <v>202303030029</v>
      </c>
      <c r="D901" s="13">
        <v>0</v>
      </c>
      <c r="E901" s="14">
        <v>0</v>
      </c>
      <c r="F901" s="15" t="s">
        <v>12</v>
      </c>
    </row>
    <row r="902" spans="1:6" ht="17.100000000000001" customHeight="1">
      <c r="A902" s="11" t="s">
        <v>908</v>
      </c>
      <c r="B902" s="12">
        <v>202303034</v>
      </c>
      <c r="C902" s="12" t="str">
        <f>"202303030030"</f>
        <v>202303030030</v>
      </c>
      <c r="D902" s="13">
        <v>81.599999999999994</v>
      </c>
      <c r="E902" s="14">
        <v>107.5</v>
      </c>
      <c r="F902" s="15" t="s">
        <v>8</v>
      </c>
    </row>
    <row r="903" spans="1:6" ht="17.100000000000001" customHeight="1">
      <c r="A903" s="11" t="s">
        <v>909</v>
      </c>
      <c r="B903" s="12">
        <v>202303034</v>
      </c>
      <c r="C903" s="12" t="str">
        <f>"202303031001"</f>
        <v>202303031001</v>
      </c>
      <c r="D903" s="13">
        <v>89.7</v>
      </c>
      <c r="E903" s="14">
        <v>99.5</v>
      </c>
      <c r="F903" s="15" t="s">
        <v>8</v>
      </c>
    </row>
    <row r="904" spans="1:6" ht="17.100000000000001" customHeight="1">
      <c r="A904" s="11" t="s">
        <v>910</v>
      </c>
      <c r="B904" s="12">
        <v>202303034</v>
      </c>
      <c r="C904" s="12" t="str">
        <f>"202303031002"</f>
        <v>202303031002</v>
      </c>
      <c r="D904" s="13">
        <v>97.3</v>
      </c>
      <c r="E904" s="14">
        <v>104.5</v>
      </c>
      <c r="F904" s="15" t="s">
        <v>8</v>
      </c>
    </row>
    <row r="905" spans="1:6" ht="17.100000000000001" customHeight="1">
      <c r="A905" s="11" t="s">
        <v>911</v>
      </c>
      <c r="B905" s="12">
        <v>202303034</v>
      </c>
      <c r="C905" s="12" t="str">
        <f>"202303031003"</f>
        <v>202303031003</v>
      </c>
      <c r="D905" s="13">
        <v>80.400000000000006</v>
      </c>
      <c r="E905" s="14">
        <v>95</v>
      </c>
      <c r="F905" s="15" t="s">
        <v>8</v>
      </c>
    </row>
    <row r="906" spans="1:6" ht="17.100000000000001" customHeight="1">
      <c r="A906" s="11" t="s">
        <v>912</v>
      </c>
      <c r="B906" s="12">
        <v>202303034</v>
      </c>
      <c r="C906" s="12" t="str">
        <f>"202303031004"</f>
        <v>202303031004</v>
      </c>
      <c r="D906" s="13">
        <v>0</v>
      </c>
      <c r="E906" s="14">
        <v>0</v>
      </c>
      <c r="F906" s="15" t="s">
        <v>12</v>
      </c>
    </row>
    <row r="907" spans="1:6" ht="17.100000000000001" customHeight="1">
      <c r="A907" s="11" t="s">
        <v>913</v>
      </c>
      <c r="B907" s="12">
        <v>202303034</v>
      </c>
      <c r="C907" s="12" t="str">
        <f>"202303031005"</f>
        <v>202303031005</v>
      </c>
      <c r="D907" s="13">
        <v>83.8</v>
      </c>
      <c r="E907" s="14">
        <v>105.5</v>
      </c>
      <c r="F907" s="15" t="s">
        <v>8</v>
      </c>
    </row>
    <row r="908" spans="1:6" ht="17.100000000000001" customHeight="1">
      <c r="A908" s="11" t="s">
        <v>914</v>
      </c>
      <c r="B908" s="12">
        <v>202303034</v>
      </c>
      <c r="C908" s="12" t="str">
        <f>"202303031006"</f>
        <v>202303031006</v>
      </c>
      <c r="D908" s="13">
        <v>80.7</v>
      </c>
      <c r="E908" s="14">
        <v>102</v>
      </c>
      <c r="F908" s="15" t="s">
        <v>8</v>
      </c>
    </row>
    <row r="909" spans="1:6" ht="17.100000000000001" customHeight="1">
      <c r="A909" s="11" t="s">
        <v>915</v>
      </c>
      <c r="B909" s="12">
        <v>202303034</v>
      </c>
      <c r="C909" s="12" t="str">
        <f>"202303031007"</f>
        <v>202303031007</v>
      </c>
      <c r="D909" s="13">
        <v>84.9</v>
      </c>
      <c r="E909" s="14">
        <v>98</v>
      </c>
      <c r="F909" s="15" t="s">
        <v>8</v>
      </c>
    </row>
    <row r="910" spans="1:6" ht="17.100000000000001" customHeight="1">
      <c r="A910" s="11" t="s">
        <v>916</v>
      </c>
      <c r="B910" s="12">
        <v>202303034</v>
      </c>
      <c r="C910" s="12" t="str">
        <f>"202303031008"</f>
        <v>202303031008</v>
      </c>
      <c r="D910" s="13">
        <v>89.3</v>
      </c>
      <c r="E910" s="14">
        <v>88</v>
      </c>
      <c r="F910" s="15" t="s">
        <v>8</v>
      </c>
    </row>
    <row r="911" spans="1:6" ht="17.100000000000001" customHeight="1">
      <c r="A911" s="11" t="s">
        <v>917</v>
      </c>
      <c r="B911" s="12">
        <v>202303034</v>
      </c>
      <c r="C911" s="12" t="str">
        <f>"202303031009"</f>
        <v>202303031009</v>
      </c>
      <c r="D911" s="13">
        <v>73.400000000000006</v>
      </c>
      <c r="E911" s="14">
        <v>100</v>
      </c>
      <c r="F911" s="15" t="s">
        <v>8</v>
      </c>
    </row>
    <row r="912" spans="1:6" ht="17.100000000000001" customHeight="1">
      <c r="A912" s="11" t="s">
        <v>918</v>
      </c>
      <c r="B912" s="12">
        <v>202303034</v>
      </c>
      <c r="C912" s="12" t="str">
        <f>"202303031010"</f>
        <v>202303031010</v>
      </c>
      <c r="D912" s="13">
        <v>0</v>
      </c>
      <c r="E912" s="14">
        <v>0</v>
      </c>
      <c r="F912" s="15" t="s">
        <v>12</v>
      </c>
    </row>
    <row r="913" spans="1:6" ht="17.100000000000001" customHeight="1">
      <c r="A913" s="11" t="s">
        <v>919</v>
      </c>
      <c r="B913" s="12">
        <v>202303034</v>
      </c>
      <c r="C913" s="12" t="str">
        <f>"202303031011"</f>
        <v>202303031011</v>
      </c>
      <c r="D913" s="13">
        <v>82.1</v>
      </c>
      <c r="E913" s="14">
        <v>103.5</v>
      </c>
      <c r="F913" s="15" t="s">
        <v>8</v>
      </c>
    </row>
    <row r="914" spans="1:6" ht="17.100000000000001" customHeight="1">
      <c r="A914" s="11" t="s">
        <v>920</v>
      </c>
      <c r="B914" s="12">
        <v>202303034</v>
      </c>
      <c r="C914" s="12" t="str">
        <f>"202303031012"</f>
        <v>202303031012</v>
      </c>
      <c r="D914" s="13">
        <v>101.3</v>
      </c>
      <c r="E914" s="14">
        <v>107</v>
      </c>
      <c r="F914" s="15" t="s">
        <v>8</v>
      </c>
    </row>
    <row r="915" spans="1:6" ht="17.100000000000001" customHeight="1">
      <c r="A915" s="11" t="s">
        <v>921</v>
      </c>
      <c r="B915" s="12">
        <v>202303034</v>
      </c>
      <c r="C915" s="12" t="str">
        <f>"202303031013"</f>
        <v>202303031013</v>
      </c>
      <c r="D915" s="13">
        <v>85.1</v>
      </c>
      <c r="E915" s="14">
        <v>108.5</v>
      </c>
      <c r="F915" s="15" t="s">
        <v>8</v>
      </c>
    </row>
    <row r="916" spans="1:6" ht="17.100000000000001" customHeight="1">
      <c r="A916" s="11" t="s">
        <v>922</v>
      </c>
      <c r="B916" s="12">
        <v>202303034</v>
      </c>
      <c r="C916" s="12" t="str">
        <f>"202303031014"</f>
        <v>202303031014</v>
      </c>
      <c r="D916" s="13">
        <v>66.8</v>
      </c>
      <c r="E916" s="14">
        <v>101.5</v>
      </c>
      <c r="F916" s="15" t="s">
        <v>8</v>
      </c>
    </row>
    <row r="917" spans="1:6" ht="17.100000000000001" customHeight="1">
      <c r="A917" s="11" t="s">
        <v>923</v>
      </c>
      <c r="B917" s="12">
        <v>202303035</v>
      </c>
      <c r="C917" s="12" t="str">
        <f>"202303031015"</f>
        <v>202303031015</v>
      </c>
      <c r="D917" s="13">
        <v>84.2</v>
      </c>
      <c r="E917" s="14">
        <v>102.5</v>
      </c>
      <c r="F917" s="15" t="s">
        <v>8</v>
      </c>
    </row>
    <row r="918" spans="1:6" ht="17.100000000000001" customHeight="1">
      <c r="A918" s="11" t="s">
        <v>924</v>
      </c>
      <c r="B918" s="12">
        <v>202303035</v>
      </c>
      <c r="C918" s="12" t="str">
        <f>"202303031016"</f>
        <v>202303031016</v>
      </c>
      <c r="D918" s="13">
        <v>96.9</v>
      </c>
      <c r="E918" s="14">
        <v>118</v>
      </c>
      <c r="F918" s="15" t="s">
        <v>8</v>
      </c>
    </row>
    <row r="919" spans="1:6" ht="17.100000000000001" customHeight="1">
      <c r="A919" s="11" t="s">
        <v>925</v>
      </c>
      <c r="B919" s="12">
        <v>202303035</v>
      </c>
      <c r="C919" s="12" t="str">
        <f>"202303031017"</f>
        <v>202303031017</v>
      </c>
      <c r="D919" s="13">
        <v>88.7</v>
      </c>
      <c r="E919" s="14">
        <v>101.5</v>
      </c>
      <c r="F919" s="15" t="s">
        <v>8</v>
      </c>
    </row>
    <row r="920" spans="1:6" ht="17.100000000000001" customHeight="1">
      <c r="A920" s="11" t="s">
        <v>926</v>
      </c>
      <c r="B920" s="12">
        <v>202303035</v>
      </c>
      <c r="C920" s="12" t="str">
        <f>"202303031018"</f>
        <v>202303031018</v>
      </c>
      <c r="D920" s="13">
        <v>85.6</v>
      </c>
      <c r="E920" s="14">
        <v>103</v>
      </c>
      <c r="F920" s="15" t="s">
        <v>8</v>
      </c>
    </row>
    <row r="921" spans="1:6" ht="17.100000000000001" customHeight="1">
      <c r="A921" s="11" t="s">
        <v>927</v>
      </c>
      <c r="B921" s="12">
        <v>202303035</v>
      </c>
      <c r="C921" s="12" t="str">
        <f>"202303031019"</f>
        <v>202303031019</v>
      </c>
      <c r="D921" s="13">
        <v>81.3</v>
      </c>
      <c r="E921" s="14">
        <v>99</v>
      </c>
      <c r="F921" s="15" t="s">
        <v>8</v>
      </c>
    </row>
    <row r="922" spans="1:6" ht="17.100000000000001" customHeight="1">
      <c r="A922" s="11" t="s">
        <v>928</v>
      </c>
      <c r="B922" s="12">
        <v>202303035</v>
      </c>
      <c r="C922" s="12" t="str">
        <f>"202303031020"</f>
        <v>202303031020</v>
      </c>
      <c r="D922" s="13">
        <v>87.5</v>
      </c>
      <c r="E922" s="14">
        <v>86.5</v>
      </c>
      <c r="F922" s="15" t="s">
        <v>8</v>
      </c>
    </row>
    <row r="923" spans="1:6" ht="17.100000000000001" customHeight="1">
      <c r="A923" s="11" t="s">
        <v>929</v>
      </c>
      <c r="B923" s="12">
        <v>202303035</v>
      </c>
      <c r="C923" s="12" t="str">
        <f>"202303031021"</f>
        <v>202303031021</v>
      </c>
      <c r="D923" s="13">
        <v>70.3</v>
      </c>
      <c r="E923" s="14">
        <v>100.5</v>
      </c>
      <c r="F923" s="15" t="s">
        <v>8</v>
      </c>
    </row>
    <row r="924" spans="1:6" ht="17.100000000000001" customHeight="1">
      <c r="A924" s="11" t="s">
        <v>930</v>
      </c>
      <c r="B924" s="12">
        <v>202303035</v>
      </c>
      <c r="C924" s="12" t="str">
        <f>"202303031022"</f>
        <v>202303031022</v>
      </c>
      <c r="D924" s="13">
        <v>97.9</v>
      </c>
      <c r="E924" s="14">
        <v>99.5</v>
      </c>
      <c r="F924" s="15" t="s">
        <v>8</v>
      </c>
    </row>
    <row r="925" spans="1:6" ht="17.100000000000001" customHeight="1">
      <c r="A925" s="11" t="s">
        <v>931</v>
      </c>
      <c r="B925" s="12">
        <v>202303036</v>
      </c>
      <c r="C925" s="12" t="str">
        <f>"202303031023"</f>
        <v>202303031023</v>
      </c>
      <c r="D925" s="13">
        <v>78.7</v>
      </c>
      <c r="E925" s="14">
        <v>77</v>
      </c>
      <c r="F925" s="15" t="s">
        <v>8</v>
      </c>
    </row>
    <row r="926" spans="1:6" ht="17.100000000000001" customHeight="1">
      <c r="A926" s="11" t="s">
        <v>932</v>
      </c>
      <c r="B926" s="12">
        <v>202303036</v>
      </c>
      <c r="C926" s="12" t="str">
        <f>"202303031024"</f>
        <v>202303031024</v>
      </c>
      <c r="D926" s="13">
        <v>81.7</v>
      </c>
      <c r="E926" s="14">
        <v>100.5</v>
      </c>
      <c r="F926" s="15" t="s">
        <v>8</v>
      </c>
    </row>
    <row r="927" spans="1:6" ht="17.100000000000001" customHeight="1">
      <c r="A927" s="11" t="s">
        <v>933</v>
      </c>
      <c r="B927" s="12">
        <v>202303036</v>
      </c>
      <c r="C927" s="12" t="str">
        <f>"202303031025"</f>
        <v>202303031025</v>
      </c>
      <c r="D927" s="13">
        <v>67</v>
      </c>
      <c r="E927" s="14">
        <v>89</v>
      </c>
      <c r="F927" s="15" t="s">
        <v>8</v>
      </c>
    </row>
    <row r="928" spans="1:6" ht="17.100000000000001" customHeight="1">
      <c r="A928" s="11" t="s">
        <v>934</v>
      </c>
      <c r="B928" s="12">
        <v>202303036</v>
      </c>
      <c r="C928" s="12" t="str">
        <f>"202303031026"</f>
        <v>202303031026</v>
      </c>
      <c r="D928" s="13">
        <v>0</v>
      </c>
      <c r="E928" s="14">
        <v>0</v>
      </c>
      <c r="F928" s="15" t="s">
        <v>12</v>
      </c>
    </row>
    <row r="929" spans="1:6" ht="17.100000000000001" customHeight="1">
      <c r="A929" s="11" t="s">
        <v>935</v>
      </c>
      <c r="B929" s="12">
        <v>202303036</v>
      </c>
      <c r="C929" s="12" t="str">
        <f>"202303031027"</f>
        <v>202303031027</v>
      </c>
      <c r="D929" s="13">
        <v>84.1</v>
      </c>
      <c r="E929" s="14">
        <v>104.5</v>
      </c>
      <c r="F929" s="15" t="s">
        <v>8</v>
      </c>
    </row>
    <row r="930" spans="1:6" ht="17.100000000000001" customHeight="1">
      <c r="A930" s="11" t="s">
        <v>936</v>
      </c>
      <c r="B930" s="12">
        <v>202303036</v>
      </c>
      <c r="C930" s="12" t="str">
        <f>"202303031028"</f>
        <v>202303031028</v>
      </c>
      <c r="D930" s="13">
        <v>104.6</v>
      </c>
      <c r="E930" s="14">
        <v>102</v>
      </c>
      <c r="F930" s="15" t="s">
        <v>8</v>
      </c>
    </row>
    <row r="931" spans="1:6" ht="17.100000000000001" customHeight="1">
      <c r="A931" s="11" t="s">
        <v>937</v>
      </c>
      <c r="B931" s="12">
        <v>202303036</v>
      </c>
      <c r="C931" s="12" t="str">
        <f>"202303031029"</f>
        <v>202303031029</v>
      </c>
      <c r="D931" s="13">
        <v>0</v>
      </c>
      <c r="E931" s="14">
        <v>0</v>
      </c>
      <c r="F931" s="15" t="s">
        <v>12</v>
      </c>
    </row>
    <row r="932" spans="1:6" ht="17.100000000000001" customHeight="1">
      <c r="A932" s="11" t="s">
        <v>938</v>
      </c>
      <c r="B932" s="12">
        <v>202303036</v>
      </c>
      <c r="C932" s="12" t="str">
        <f>"202303031030"</f>
        <v>202303031030</v>
      </c>
      <c r="D932" s="13">
        <v>79.099999999999994</v>
      </c>
      <c r="E932" s="14">
        <v>105.5</v>
      </c>
      <c r="F932" s="15" t="s">
        <v>8</v>
      </c>
    </row>
    <row r="933" spans="1:6" ht="17.100000000000001" customHeight="1">
      <c r="A933" s="11" t="s">
        <v>939</v>
      </c>
      <c r="B933" s="12">
        <v>202303036</v>
      </c>
      <c r="C933" s="12" t="str">
        <f>"202303032001"</f>
        <v>202303032001</v>
      </c>
      <c r="D933" s="13">
        <v>0</v>
      </c>
      <c r="E933" s="14">
        <v>0</v>
      </c>
      <c r="F933" s="15" t="s">
        <v>12</v>
      </c>
    </row>
    <row r="934" spans="1:6" ht="17.100000000000001" customHeight="1">
      <c r="A934" s="11" t="s">
        <v>940</v>
      </c>
      <c r="B934" s="12">
        <v>202303036</v>
      </c>
      <c r="C934" s="12" t="str">
        <f>"202303032002"</f>
        <v>202303032002</v>
      </c>
      <c r="D934" s="13">
        <v>80.099999999999994</v>
      </c>
      <c r="E934" s="14">
        <v>98.5</v>
      </c>
      <c r="F934" s="15" t="s">
        <v>8</v>
      </c>
    </row>
    <row r="935" spans="1:6" ht="17.100000000000001" customHeight="1">
      <c r="A935" s="11" t="s">
        <v>941</v>
      </c>
      <c r="B935" s="12">
        <v>202303036</v>
      </c>
      <c r="C935" s="12" t="str">
        <f>"202303032003"</f>
        <v>202303032003</v>
      </c>
      <c r="D935" s="13">
        <v>96</v>
      </c>
      <c r="E935" s="14">
        <v>97</v>
      </c>
      <c r="F935" s="15" t="s">
        <v>8</v>
      </c>
    </row>
    <row r="936" spans="1:6" ht="17.100000000000001" customHeight="1">
      <c r="A936" s="11" t="s">
        <v>942</v>
      </c>
      <c r="B936" s="12">
        <v>202303036</v>
      </c>
      <c r="C936" s="12" t="str">
        <f>"202303032004"</f>
        <v>202303032004</v>
      </c>
      <c r="D936" s="13">
        <v>80.099999999999994</v>
      </c>
      <c r="E936" s="14">
        <v>100</v>
      </c>
      <c r="F936" s="15" t="s">
        <v>8</v>
      </c>
    </row>
    <row r="937" spans="1:6" ht="17.100000000000001" customHeight="1">
      <c r="A937" s="11" t="s">
        <v>943</v>
      </c>
      <c r="B937" s="12">
        <v>202303036</v>
      </c>
      <c r="C937" s="12" t="str">
        <f>"202303032005"</f>
        <v>202303032005</v>
      </c>
      <c r="D937" s="13">
        <v>0</v>
      </c>
      <c r="E937" s="14">
        <v>0</v>
      </c>
      <c r="F937" s="15" t="s">
        <v>12</v>
      </c>
    </row>
    <row r="938" spans="1:6" ht="17.100000000000001" customHeight="1">
      <c r="A938" s="11" t="s">
        <v>944</v>
      </c>
      <c r="B938" s="12">
        <v>202303036</v>
      </c>
      <c r="C938" s="12" t="str">
        <f>"202303032006"</f>
        <v>202303032006</v>
      </c>
      <c r="D938" s="13">
        <v>0</v>
      </c>
      <c r="E938" s="14">
        <v>0</v>
      </c>
      <c r="F938" s="15" t="s">
        <v>12</v>
      </c>
    </row>
    <row r="939" spans="1:6" ht="17.100000000000001" customHeight="1">
      <c r="A939" s="11" t="s">
        <v>945</v>
      </c>
      <c r="B939" s="12">
        <v>202303036</v>
      </c>
      <c r="C939" s="12" t="str">
        <f>"202303032007"</f>
        <v>202303032007</v>
      </c>
      <c r="D939" s="13">
        <v>76.400000000000006</v>
      </c>
      <c r="E939" s="14">
        <v>101</v>
      </c>
      <c r="F939" s="15" t="s">
        <v>8</v>
      </c>
    </row>
    <row r="940" spans="1:6" ht="17.100000000000001" customHeight="1">
      <c r="A940" s="11" t="s">
        <v>946</v>
      </c>
      <c r="B940" s="12">
        <v>202303036</v>
      </c>
      <c r="C940" s="12" t="str">
        <f>"202303032008"</f>
        <v>202303032008</v>
      </c>
      <c r="D940" s="13">
        <v>0</v>
      </c>
      <c r="E940" s="14">
        <v>0</v>
      </c>
      <c r="F940" s="15" t="s">
        <v>12</v>
      </c>
    </row>
    <row r="941" spans="1:6" ht="17.100000000000001" customHeight="1">
      <c r="A941" s="11" t="s">
        <v>947</v>
      </c>
      <c r="B941" s="12">
        <v>202303036</v>
      </c>
      <c r="C941" s="12" t="str">
        <f>"202303032009"</f>
        <v>202303032009</v>
      </c>
      <c r="D941" s="13">
        <v>85.4</v>
      </c>
      <c r="E941" s="14">
        <v>110</v>
      </c>
      <c r="F941" s="15" t="s">
        <v>8</v>
      </c>
    </row>
    <row r="942" spans="1:6" ht="17.100000000000001" customHeight="1">
      <c r="A942" s="11" t="s">
        <v>948</v>
      </c>
      <c r="B942" s="12">
        <v>202303036</v>
      </c>
      <c r="C942" s="12" t="str">
        <f>"202303032010"</f>
        <v>202303032010</v>
      </c>
      <c r="D942" s="13">
        <v>92.6</v>
      </c>
      <c r="E942" s="14">
        <v>109.5</v>
      </c>
      <c r="F942" s="15" t="s">
        <v>8</v>
      </c>
    </row>
    <row r="943" spans="1:6" ht="17.100000000000001" customHeight="1">
      <c r="A943" s="11" t="s">
        <v>949</v>
      </c>
      <c r="B943" s="12">
        <v>202303036</v>
      </c>
      <c r="C943" s="12" t="str">
        <f>"202303032011"</f>
        <v>202303032011</v>
      </c>
      <c r="D943" s="13">
        <v>78.5</v>
      </c>
      <c r="E943" s="14">
        <v>109</v>
      </c>
      <c r="F943" s="15" t="s">
        <v>8</v>
      </c>
    </row>
    <row r="944" spans="1:6" ht="17.100000000000001" customHeight="1">
      <c r="A944" s="11" t="s">
        <v>950</v>
      </c>
      <c r="B944" s="12">
        <v>202303036</v>
      </c>
      <c r="C944" s="12" t="str">
        <f>"202303032012"</f>
        <v>202303032012</v>
      </c>
      <c r="D944" s="13">
        <v>109.2</v>
      </c>
      <c r="E944" s="14">
        <v>95</v>
      </c>
      <c r="F944" s="15" t="s">
        <v>8</v>
      </c>
    </row>
    <row r="945" spans="1:6" ht="17.100000000000001" customHeight="1">
      <c r="A945" s="11" t="s">
        <v>951</v>
      </c>
      <c r="B945" s="12">
        <v>202303036</v>
      </c>
      <c r="C945" s="12" t="str">
        <f>"202303032013"</f>
        <v>202303032013</v>
      </c>
      <c r="D945" s="13">
        <v>69.400000000000006</v>
      </c>
      <c r="E945" s="14">
        <v>112</v>
      </c>
      <c r="F945" s="15" t="s">
        <v>8</v>
      </c>
    </row>
    <row r="946" spans="1:6" ht="17.100000000000001" customHeight="1">
      <c r="A946" s="11" t="s">
        <v>952</v>
      </c>
      <c r="B946" s="12">
        <v>202303036</v>
      </c>
      <c r="C946" s="12" t="str">
        <f>"202303032014"</f>
        <v>202303032014</v>
      </c>
      <c r="D946" s="13">
        <v>71.3</v>
      </c>
      <c r="E946" s="14">
        <v>105.5</v>
      </c>
      <c r="F946" s="15" t="s">
        <v>8</v>
      </c>
    </row>
    <row r="947" spans="1:6" ht="17.100000000000001" customHeight="1">
      <c r="A947" s="11" t="s">
        <v>953</v>
      </c>
      <c r="B947" s="12">
        <v>202303036</v>
      </c>
      <c r="C947" s="12" t="str">
        <f>"202303032015"</f>
        <v>202303032015</v>
      </c>
      <c r="D947" s="13">
        <v>88.1</v>
      </c>
      <c r="E947" s="14">
        <v>98.5</v>
      </c>
      <c r="F947" s="15" t="s">
        <v>8</v>
      </c>
    </row>
    <row r="948" spans="1:6" ht="17.100000000000001" customHeight="1">
      <c r="A948" s="11" t="s">
        <v>954</v>
      </c>
      <c r="B948" s="12">
        <v>202303036</v>
      </c>
      <c r="C948" s="12" t="str">
        <f>"202303032016"</f>
        <v>202303032016</v>
      </c>
      <c r="D948" s="13">
        <v>88.4</v>
      </c>
      <c r="E948" s="14">
        <v>93.5</v>
      </c>
      <c r="F948" s="15" t="s">
        <v>8</v>
      </c>
    </row>
    <row r="949" spans="1:6" ht="17.100000000000001" customHeight="1">
      <c r="A949" s="11" t="s">
        <v>955</v>
      </c>
      <c r="B949" s="12">
        <v>202303036</v>
      </c>
      <c r="C949" s="12" t="str">
        <f>"202303032017"</f>
        <v>202303032017</v>
      </c>
      <c r="D949" s="13">
        <v>89.1</v>
      </c>
      <c r="E949" s="14">
        <v>104</v>
      </c>
      <c r="F949" s="15" t="s">
        <v>8</v>
      </c>
    </row>
    <row r="950" spans="1:6" ht="17.100000000000001" customHeight="1">
      <c r="A950" s="11" t="s">
        <v>956</v>
      </c>
      <c r="B950" s="12">
        <v>202303036</v>
      </c>
      <c r="C950" s="12" t="str">
        <f>"202303032018"</f>
        <v>202303032018</v>
      </c>
      <c r="D950" s="13">
        <v>0</v>
      </c>
      <c r="E950" s="14">
        <v>0</v>
      </c>
      <c r="F950" s="15" t="s">
        <v>12</v>
      </c>
    </row>
    <row r="951" spans="1:6" ht="17.100000000000001" customHeight="1">
      <c r="A951" s="11" t="s">
        <v>957</v>
      </c>
      <c r="B951" s="12">
        <v>202303036</v>
      </c>
      <c r="C951" s="12" t="str">
        <f>"202303032019"</f>
        <v>202303032019</v>
      </c>
      <c r="D951" s="13">
        <v>94.6</v>
      </c>
      <c r="E951" s="14">
        <v>105</v>
      </c>
      <c r="F951" s="15" t="s">
        <v>8</v>
      </c>
    </row>
    <row r="952" spans="1:6" ht="17.100000000000001" customHeight="1">
      <c r="A952" s="11" t="s">
        <v>958</v>
      </c>
      <c r="B952" s="12">
        <v>202303036</v>
      </c>
      <c r="C952" s="12" t="str">
        <f>"202303032020"</f>
        <v>202303032020</v>
      </c>
      <c r="D952" s="13">
        <v>84.6</v>
      </c>
      <c r="E952" s="14">
        <v>102</v>
      </c>
      <c r="F952" s="15" t="s">
        <v>8</v>
      </c>
    </row>
    <row r="953" spans="1:6" ht="17.100000000000001" customHeight="1">
      <c r="A953" s="11" t="s">
        <v>959</v>
      </c>
      <c r="B953" s="12">
        <v>202303036</v>
      </c>
      <c r="C953" s="12" t="str">
        <f>"202303032021"</f>
        <v>202303032021</v>
      </c>
      <c r="D953" s="13">
        <v>86.9</v>
      </c>
      <c r="E953" s="14">
        <v>101.5</v>
      </c>
      <c r="F953" s="15" t="s">
        <v>8</v>
      </c>
    </row>
    <row r="954" spans="1:6" ht="17.100000000000001" customHeight="1">
      <c r="A954" s="11" t="s">
        <v>960</v>
      </c>
      <c r="B954" s="12">
        <v>202303037</v>
      </c>
      <c r="C954" s="12" t="str">
        <f>"202303032022"</f>
        <v>202303032022</v>
      </c>
      <c r="D954" s="13">
        <v>75.099999999999994</v>
      </c>
      <c r="E954" s="14">
        <v>62</v>
      </c>
      <c r="F954" s="15" t="s">
        <v>8</v>
      </c>
    </row>
    <row r="955" spans="1:6" ht="17.100000000000001" customHeight="1">
      <c r="A955" s="11" t="s">
        <v>961</v>
      </c>
      <c r="B955" s="12">
        <v>202303037</v>
      </c>
      <c r="C955" s="12" t="str">
        <f>"202303032023"</f>
        <v>202303032023</v>
      </c>
      <c r="D955" s="13">
        <v>0</v>
      </c>
      <c r="E955" s="14">
        <v>0</v>
      </c>
      <c r="F955" s="15" t="s">
        <v>12</v>
      </c>
    </row>
    <row r="956" spans="1:6" ht="17.100000000000001" customHeight="1">
      <c r="A956" s="11" t="s">
        <v>962</v>
      </c>
      <c r="B956" s="12">
        <v>202303037</v>
      </c>
      <c r="C956" s="12" t="str">
        <f>"202303032024"</f>
        <v>202303032024</v>
      </c>
      <c r="D956" s="13">
        <v>75.3</v>
      </c>
      <c r="E956" s="14">
        <v>79.5</v>
      </c>
      <c r="F956" s="15" t="s">
        <v>8</v>
      </c>
    </row>
    <row r="957" spans="1:6" ht="17.100000000000001" customHeight="1">
      <c r="A957" s="11" t="s">
        <v>963</v>
      </c>
      <c r="B957" s="12">
        <v>202303037</v>
      </c>
      <c r="C957" s="12" t="str">
        <f>"202303032025"</f>
        <v>202303032025</v>
      </c>
      <c r="D957" s="13">
        <v>0</v>
      </c>
      <c r="E957" s="14">
        <v>0</v>
      </c>
      <c r="F957" s="15" t="s">
        <v>12</v>
      </c>
    </row>
    <row r="958" spans="1:6" ht="17.100000000000001" customHeight="1">
      <c r="A958" s="11" t="s">
        <v>964</v>
      </c>
      <c r="B958" s="12">
        <v>202303037</v>
      </c>
      <c r="C958" s="12" t="str">
        <f>"202303032026"</f>
        <v>202303032026</v>
      </c>
      <c r="D958" s="13">
        <v>0</v>
      </c>
      <c r="E958" s="14">
        <v>0</v>
      </c>
      <c r="F958" s="15" t="s">
        <v>12</v>
      </c>
    </row>
    <row r="959" spans="1:6" ht="17.100000000000001" customHeight="1">
      <c r="A959" s="11" t="s">
        <v>965</v>
      </c>
      <c r="B959" s="12">
        <v>202303037</v>
      </c>
      <c r="C959" s="12" t="str">
        <f>"202303032027"</f>
        <v>202303032027</v>
      </c>
      <c r="D959" s="13">
        <v>111.8</v>
      </c>
      <c r="E959" s="14">
        <v>113.5</v>
      </c>
      <c r="F959" s="15" t="s">
        <v>8</v>
      </c>
    </row>
    <row r="960" spans="1:6" ht="17.100000000000001" customHeight="1">
      <c r="A960" s="11" t="s">
        <v>966</v>
      </c>
      <c r="B960" s="12">
        <v>202303037</v>
      </c>
      <c r="C960" s="12" t="str">
        <f>"202303032028"</f>
        <v>202303032028</v>
      </c>
      <c r="D960" s="13">
        <v>100.8</v>
      </c>
      <c r="E960" s="14">
        <v>108</v>
      </c>
      <c r="F960" s="15" t="s">
        <v>8</v>
      </c>
    </row>
    <row r="961" spans="1:6" ht="17.100000000000001" customHeight="1">
      <c r="A961" s="11" t="s">
        <v>967</v>
      </c>
      <c r="B961" s="12">
        <v>202303037</v>
      </c>
      <c r="C961" s="12" t="str">
        <f>"202303032029"</f>
        <v>202303032029</v>
      </c>
      <c r="D961" s="13">
        <v>91.1</v>
      </c>
      <c r="E961" s="14">
        <v>112.5</v>
      </c>
      <c r="F961" s="15" t="s">
        <v>8</v>
      </c>
    </row>
    <row r="962" spans="1:6" ht="17.100000000000001" customHeight="1">
      <c r="A962" s="11" t="s">
        <v>968</v>
      </c>
      <c r="B962" s="12">
        <v>202303037</v>
      </c>
      <c r="C962" s="12" t="str">
        <f>"202303032030"</f>
        <v>202303032030</v>
      </c>
      <c r="D962" s="13">
        <v>0</v>
      </c>
      <c r="E962" s="14">
        <v>0</v>
      </c>
      <c r="F962" s="15" t="s">
        <v>12</v>
      </c>
    </row>
    <row r="963" spans="1:6" ht="17.100000000000001" customHeight="1">
      <c r="A963" s="11" t="s">
        <v>969</v>
      </c>
      <c r="B963" s="12">
        <v>202303037</v>
      </c>
      <c r="C963" s="12" t="str">
        <f>"202303033001"</f>
        <v>202303033001</v>
      </c>
      <c r="D963" s="13">
        <v>88.6</v>
      </c>
      <c r="E963" s="14">
        <v>105.5</v>
      </c>
      <c r="F963" s="15" t="s">
        <v>8</v>
      </c>
    </row>
    <row r="964" spans="1:6" ht="17.100000000000001" customHeight="1">
      <c r="A964" s="11" t="s">
        <v>970</v>
      </c>
      <c r="B964" s="12">
        <v>202303037</v>
      </c>
      <c r="C964" s="12" t="str">
        <f>"202303033002"</f>
        <v>202303033002</v>
      </c>
      <c r="D964" s="13">
        <v>94.4</v>
      </c>
      <c r="E964" s="14">
        <v>103.5</v>
      </c>
      <c r="F964" s="15" t="s">
        <v>8</v>
      </c>
    </row>
    <row r="965" spans="1:6" ht="17.100000000000001" customHeight="1">
      <c r="A965" s="11" t="s">
        <v>971</v>
      </c>
      <c r="B965" s="12">
        <v>202303037</v>
      </c>
      <c r="C965" s="12" t="str">
        <f>"202303033003"</f>
        <v>202303033003</v>
      </c>
      <c r="D965" s="13">
        <v>97.4</v>
      </c>
      <c r="E965" s="14">
        <v>103</v>
      </c>
      <c r="F965" s="15" t="s">
        <v>8</v>
      </c>
    </row>
    <row r="966" spans="1:6" ht="17.100000000000001" customHeight="1">
      <c r="A966" s="11" t="s">
        <v>972</v>
      </c>
      <c r="B966" s="12">
        <v>202303038</v>
      </c>
      <c r="C966" s="12" t="str">
        <f>"202303033004"</f>
        <v>202303033004</v>
      </c>
      <c r="D966" s="13">
        <v>0</v>
      </c>
      <c r="E966" s="14">
        <v>0</v>
      </c>
      <c r="F966" s="15" t="s">
        <v>12</v>
      </c>
    </row>
    <row r="967" spans="1:6" ht="17.100000000000001" customHeight="1">
      <c r="A967" s="11" t="s">
        <v>973</v>
      </c>
      <c r="B967" s="12">
        <v>202303038</v>
      </c>
      <c r="C967" s="12" t="str">
        <f>"202303033005"</f>
        <v>202303033005</v>
      </c>
      <c r="D967" s="13">
        <v>80.3</v>
      </c>
      <c r="E967" s="14">
        <v>88.5</v>
      </c>
      <c r="F967" s="15" t="s">
        <v>8</v>
      </c>
    </row>
    <row r="968" spans="1:6" ht="17.100000000000001" customHeight="1">
      <c r="A968" s="11" t="s">
        <v>974</v>
      </c>
      <c r="B968" s="12">
        <v>202303038</v>
      </c>
      <c r="C968" s="12" t="str">
        <f>"202303033006"</f>
        <v>202303033006</v>
      </c>
      <c r="D968" s="13">
        <v>0</v>
      </c>
      <c r="E968" s="14">
        <v>0</v>
      </c>
      <c r="F968" s="15" t="s">
        <v>12</v>
      </c>
    </row>
    <row r="969" spans="1:6" ht="17.100000000000001" customHeight="1">
      <c r="A969" s="11" t="s">
        <v>975</v>
      </c>
      <c r="B969" s="12">
        <v>202303038</v>
      </c>
      <c r="C969" s="12" t="str">
        <f>"202303033007"</f>
        <v>202303033007</v>
      </c>
      <c r="D969" s="13">
        <v>101.5</v>
      </c>
      <c r="E969" s="14">
        <v>105</v>
      </c>
      <c r="F969" s="15" t="s">
        <v>8</v>
      </c>
    </row>
    <row r="970" spans="1:6" ht="17.100000000000001" customHeight="1">
      <c r="A970" s="11" t="s">
        <v>976</v>
      </c>
      <c r="B970" s="12">
        <v>202303038</v>
      </c>
      <c r="C970" s="12" t="str">
        <f>"202303033008"</f>
        <v>202303033008</v>
      </c>
      <c r="D970" s="13">
        <v>66.900000000000006</v>
      </c>
      <c r="E970" s="14">
        <v>101.5</v>
      </c>
      <c r="F970" s="15" t="s">
        <v>8</v>
      </c>
    </row>
    <row r="971" spans="1:6" ht="17.100000000000001" customHeight="1">
      <c r="A971" s="11" t="s">
        <v>977</v>
      </c>
      <c r="B971" s="12">
        <v>202303038</v>
      </c>
      <c r="C971" s="12" t="str">
        <f>"202303033009"</f>
        <v>202303033009</v>
      </c>
      <c r="D971" s="13">
        <v>0</v>
      </c>
      <c r="E971" s="14">
        <v>0</v>
      </c>
      <c r="F971" s="15" t="s">
        <v>12</v>
      </c>
    </row>
    <row r="972" spans="1:6" ht="17.100000000000001" customHeight="1">
      <c r="A972" s="11" t="s">
        <v>978</v>
      </c>
      <c r="B972" s="12">
        <v>202303038</v>
      </c>
      <c r="C972" s="12" t="str">
        <f>"202303033010"</f>
        <v>202303033010</v>
      </c>
      <c r="D972" s="13">
        <v>92.4</v>
      </c>
      <c r="E972" s="14">
        <v>101</v>
      </c>
      <c r="F972" s="15" t="s">
        <v>8</v>
      </c>
    </row>
    <row r="973" spans="1:6" ht="17.100000000000001" customHeight="1">
      <c r="A973" s="11" t="s">
        <v>979</v>
      </c>
      <c r="B973" s="12">
        <v>202303038</v>
      </c>
      <c r="C973" s="12" t="str">
        <f>"202303033011"</f>
        <v>202303033011</v>
      </c>
      <c r="D973" s="13">
        <v>0</v>
      </c>
      <c r="E973" s="14">
        <v>0</v>
      </c>
      <c r="F973" s="15" t="s">
        <v>12</v>
      </c>
    </row>
    <row r="974" spans="1:6" ht="17.100000000000001" customHeight="1">
      <c r="A974" s="11" t="s">
        <v>980</v>
      </c>
      <c r="B974" s="12">
        <v>202303039</v>
      </c>
      <c r="C974" s="12" t="str">
        <f>"202303033012"</f>
        <v>202303033012</v>
      </c>
      <c r="D974" s="13">
        <v>79.099999999999994</v>
      </c>
      <c r="E974" s="14">
        <v>100</v>
      </c>
      <c r="F974" s="15" t="s">
        <v>8</v>
      </c>
    </row>
    <row r="975" spans="1:6" ht="17.100000000000001" customHeight="1">
      <c r="A975" s="11" t="s">
        <v>981</v>
      </c>
      <c r="B975" s="12">
        <v>202303039</v>
      </c>
      <c r="C975" s="12" t="str">
        <f>"202303033013"</f>
        <v>202303033013</v>
      </c>
      <c r="D975" s="13">
        <v>0</v>
      </c>
      <c r="E975" s="14">
        <v>0</v>
      </c>
      <c r="F975" s="15" t="s">
        <v>12</v>
      </c>
    </row>
    <row r="976" spans="1:6" ht="17.100000000000001" customHeight="1">
      <c r="A976" s="11" t="s">
        <v>982</v>
      </c>
      <c r="B976" s="12">
        <v>202303039</v>
      </c>
      <c r="C976" s="12" t="str">
        <f>"202303033014"</f>
        <v>202303033014</v>
      </c>
      <c r="D976" s="13">
        <v>0</v>
      </c>
      <c r="E976" s="14">
        <v>0</v>
      </c>
      <c r="F976" s="15" t="s">
        <v>12</v>
      </c>
    </row>
    <row r="977" spans="1:6" ht="17.100000000000001" customHeight="1">
      <c r="A977" s="11" t="s">
        <v>983</v>
      </c>
      <c r="B977" s="12">
        <v>202303039</v>
      </c>
      <c r="C977" s="12" t="str">
        <f>"202303033015"</f>
        <v>202303033015</v>
      </c>
      <c r="D977" s="13">
        <v>83.6</v>
      </c>
      <c r="E977" s="14">
        <v>110.5</v>
      </c>
      <c r="F977" s="15" t="s">
        <v>8</v>
      </c>
    </row>
    <row r="978" spans="1:6" ht="17.100000000000001" customHeight="1">
      <c r="A978" s="11" t="s">
        <v>984</v>
      </c>
      <c r="B978" s="12">
        <v>202303039</v>
      </c>
      <c r="C978" s="12" t="str">
        <f>"202303033016"</f>
        <v>202303033016</v>
      </c>
      <c r="D978" s="13">
        <v>0</v>
      </c>
      <c r="E978" s="14">
        <v>0</v>
      </c>
      <c r="F978" s="15" t="s">
        <v>12</v>
      </c>
    </row>
    <row r="979" spans="1:6" ht="17.100000000000001" customHeight="1">
      <c r="A979" s="11" t="s">
        <v>985</v>
      </c>
      <c r="B979" s="12">
        <v>202303039</v>
      </c>
      <c r="C979" s="12" t="str">
        <f>"202303033017"</f>
        <v>202303033017</v>
      </c>
      <c r="D979" s="13">
        <v>88.2</v>
      </c>
      <c r="E979" s="14">
        <v>101.5</v>
      </c>
      <c r="F979" s="15" t="s">
        <v>8</v>
      </c>
    </row>
    <row r="980" spans="1:6" ht="17.100000000000001" customHeight="1">
      <c r="A980" s="11" t="s">
        <v>986</v>
      </c>
      <c r="B980" s="12">
        <v>202303039</v>
      </c>
      <c r="C980" s="12" t="str">
        <f>"202303033018"</f>
        <v>202303033018</v>
      </c>
      <c r="D980" s="13">
        <v>0</v>
      </c>
      <c r="E980" s="14">
        <v>0</v>
      </c>
      <c r="F980" s="15" t="s">
        <v>12</v>
      </c>
    </row>
    <row r="981" spans="1:6" ht="17.100000000000001" customHeight="1">
      <c r="A981" s="11" t="s">
        <v>987</v>
      </c>
      <c r="B981" s="12">
        <v>202303039</v>
      </c>
      <c r="C981" s="12" t="str">
        <f>"202303033019"</f>
        <v>202303033019</v>
      </c>
      <c r="D981" s="13">
        <v>89.3</v>
      </c>
      <c r="E981" s="14">
        <v>98.5</v>
      </c>
      <c r="F981" s="15" t="s">
        <v>8</v>
      </c>
    </row>
    <row r="982" spans="1:6" ht="17.100000000000001" customHeight="1">
      <c r="A982" s="11" t="s">
        <v>988</v>
      </c>
      <c r="B982" s="12">
        <v>202303039</v>
      </c>
      <c r="C982" s="12" t="str">
        <f>"202303033020"</f>
        <v>202303033020</v>
      </c>
      <c r="D982" s="13">
        <v>77.099999999999994</v>
      </c>
      <c r="E982" s="14">
        <v>108</v>
      </c>
      <c r="F982" s="15" t="s">
        <v>8</v>
      </c>
    </row>
    <row r="983" spans="1:6" ht="17.100000000000001" customHeight="1">
      <c r="A983" s="11" t="s">
        <v>989</v>
      </c>
      <c r="B983" s="12">
        <v>202303039</v>
      </c>
      <c r="C983" s="12" t="str">
        <f>"202303033021"</f>
        <v>202303033021</v>
      </c>
      <c r="D983" s="13">
        <v>0</v>
      </c>
      <c r="E983" s="14">
        <v>0</v>
      </c>
      <c r="F983" s="15" t="s">
        <v>12</v>
      </c>
    </row>
    <row r="984" spans="1:6" ht="17.100000000000001" customHeight="1">
      <c r="A984" s="11" t="s">
        <v>990</v>
      </c>
      <c r="B984" s="12">
        <v>202303039</v>
      </c>
      <c r="C984" s="12" t="str">
        <f>"202303033022"</f>
        <v>202303033022</v>
      </c>
      <c r="D984" s="13">
        <v>0</v>
      </c>
      <c r="E984" s="14">
        <v>0</v>
      </c>
      <c r="F984" s="15" t="s">
        <v>12</v>
      </c>
    </row>
    <row r="985" spans="1:6" ht="17.100000000000001" customHeight="1">
      <c r="A985" s="11" t="s">
        <v>991</v>
      </c>
      <c r="B985" s="12">
        <v>202303039</v>
      </c>
      <c r="C985" s="12" t="str">
        <f>"202303033023"</f>
        <v>202303033023</v>
      </c>
      <c r="D985" s="13">
        <v>71.400000000000006</v>
      </c>
      <c r="E985" s="14">
        <v>68.5</v>
      </c>
      <c r="F985" s="15" t="s">
        <v>8</v>
      </c>
    </row>
    <row r="986" spans="1:6" ht="17.100000000000001" customHeight="1">
      <c r="A986" s="11" t="s">
        <v>992</v>
      </c>
      <c r="B986" s="12">
        <v>202303039</v>
      </c>
      <c r="C986" s="12" t="str">
        <f>"202303033024"</f>
        <v>202303033024</v>
      </c>
      <c r="D986" s="13">
        <v>87.3</v>
      </c>
      <c r="E986" s="14">
        <v>111</v>
      </c>
      <c r="F986" s="15" t="s">
        <v>8</v>
      </c>
    </row>
    <row r="987" spans="1:6" ht="17.100000000000001" customHeight="1">
      <c r="A987" s="11" t="s">
        <v>993</v>
      </c>
      <c r="B987" s="12">
        <v>202303039</v>
      </c>
      <c r="C987" s="12" t="str">
        <f>"202303033025"</f>
        <v>202303033025</v>
      </c>
      <c r="D987" s="13">
        <v>70.400000000000006</v>
      </c>
      <c r="E987" s="14">
        <v>98</v>
      </c>
      <c r="F987" s="15" t="s">
        <v>8</v>
      </c>
    </row>
    <row r="988" spans="1:6" ht="17.100000000000001" customHeight="1">
      <c r="A988" s="11" t="s">
        <v>994</v>
      </c>
      <c r="B988" s="12">
        <v>202303039</v>
      </c>
      <c r="C988" s="12" t="str">
        <f>"202303033026"</f>
        <v>202303033026</v>
      </c>
      <c r="D988" s="13">
        <v>94.3</v>
      </c>
      <c r="E988" s="14">
        <v>114</v>
      </c>
      <c r="F988" s="15" t="s">
        <v>8</v>
      </c>
    </row>
    <row r="989" spans="1:6" ht="17.100000000000001" customHeight="1">
      <c r="A989" s="11" t="s">
        <v>995</v>
      </c>
      <c r="B989" s="12">
        <v>202303039</v>
      </c>
      <c r="C989" s="12" t="str">
        <f>"202303033027"</f>
        <v>202303033027</v>
      </c>
      <c r="D989" s="13">
        <v>80.400000000000006</v>
      </c>
      <c r="E989" s="14">
        <v>95.5</v>
      </c>
      <c r="F989" s="15" t="s">
        <v>8</v>
      </c>
    </row>
    <row r="990" spans="1:6" ht="17.100000000000001" customHeight="1">
      <c r="A990" s="11" t="s">
        <v>996</v>
      </c>
      <c r="B990" s="12">
        <v>202303039</v>
      </c>
      <c r="C990" s="12" t="str">
        <f>"202303033028"</f>
        <v>202303033028</v>
      </c>
      <c r="D990" s="13">
        <v>0</v>
      </c>
      <c r="E990" s="14">
        <v>0</v>
      </c>
      <c r="F990" s="15" t="s">
        <v>12</v>
      </c>
    </row>
    <row r="991" spans="1:6" ht="17.100000000000001" customHeight="1">
      <c r="A991" s="11" t="s">
        <v>997</v>
      </c>
      <c r="B991" s="12">
        <v>202303039</v>
      </c>
      <c r="C991" s="12" t="str">
        <f>"202303033029"</f>
        <v>202303033029</v>
      </c>
      <c r="D991" s="13">
        <v>88.9</v>
      </c>
      <c r="E991" s="14">
        <v>111.5</v>
      </c>
      <c r="F991" s="15" t="s">
        <v>8</v>
      </c>
    </row>
    <row r="992" spans="1:6" ht="17.100000000000001" customHeight="1">
      <c r="A992" s="11" t="s">
        <v>998</v>
      </c>
      <c r="B992" s="12">
        <v>202303040</v>
      </c>
      <c r="C992" s="12" t="str">
        <f>"202303033030"</f>
        <v>202303033030</v>
      </c>
      <c r="D992" s="13">
        <v>83.4</v>
      </c>
      <c r="E992" s="14">
        <v>82</v>
      </c>
      <c r="F992" s="15" t="s">
        <v>8</v>
      </c>
    </row>
    <row r="993" spans="1:6" ht="17.100000000000001" customHeight="1">
      <c r="A993" s="11" t="s">
        <v>999</v>
      </c>
      <c r="B993" s="12">
        <v>202303040</v>
      </c>
      <c r="C993" s="12" t="str">
        <f>"202303034001"</f>
        <v>202303034001</v>
      </c>
      <c r="D993" s="13">
        <v>100</v>
      </c>
      <c r="E993" s="14">
        <v>77.5</v>
      </c>
      <c r="F993" s="15" t="s">
        <v>8</v>
      </c>
    </row>
    <row r="994" spans="1:6" ht="17.100000000000001" customHeight="1">
      <c r="A994" s="11" t="s">
        <v>1000</v>
      </c>
      <c r="B994" s="12">
        <v>202303040</v>
      </c>
      <c r="C994" s="12" t="str">
        <f>"202303034002"</f>
        <v>202303034002</v>
      </c>
      <c r="D994" s="13">
        <v>0</v>
      </c>
      <c r="E994" s="14">
        <v>0</v>
      </c>
      <c r="F994" s="15" t="s">
        <v>12</v>
      </c>
    </row>
    <row r="995" spans="1:6" ht="17.100000000000001" customHeight="1">
      <c r="A995" s="11" t="s">
        <v>1001</v>
      </c>
      <c r="B995" s="12">
        <v>202303040</v>
      </c>
      <c r="C995" s="12" t="str">
        <f>"202303034003"</f>
        <v>202303034003</v>
      </c>
      <c r="D995" s="13">
        <v>76</v>
      </c>
      <c r="E995" s="14">
        <v>105</v>
      </c>
      <c r="F995" s="15" t="s">
        <v>8</v>
      </c>
    </row>
    <row r="996" spans="1:6" ht="17.100000000000001" customHeight="1">
      <c r="A996" s="11" t="s">
        <v>1002</v>
      </c>
      <c r="B996" s="12">
        <v>202303040</v>
      </c>
      <c r="C996" s="12" t="str">
        <f>"202303034004"</f>
        <v>202303034004</v>
      </c>
      <c r="D996" s="13">
        <v>92.1</v>
      </c>
      <c r="E996" s="14">
        <v>102.5</v>
      </c>
      <c r="F996" s="15" t="s">
        <v>8</v>
      </c>
    </row>
    <row r="997" spans="1:6" ht="17.100000000000001" customHeight="1">
      <c r="A997" s="11" t="s">
        <v>1003</v>
      </c>
      <c r="B997" s="12">
        <v>202303040</v>
      </c>
      <c r="C997" s="12" t="str">
        <f>"202303034005"</f>
        <v>202303034005</v>
      </c>
      <c r="D997" s="13">
        <v>0</v>
      </c>
      <c r="E997" s="14">
        <v>0</v>
      </c>
      <c r="F997" s="15" t="s">
        <v>12</v>
      </c>
    </row>
    <row r="998" spans="1:6" ht="17.100000000000001" customHeight="1">
      <c r="A998" s="11" t="s">
        <v>1004</v>
      </c>
      <c r="B998" s="12">
        <v>202303040</v>
      </c>
      <c r="C998" s="12" t="str">
        <f>"202303034006"</f>
        <v>202303034006</v>
      </c>
      <c r="D998" s="13">
        <v>0</v>
      </c>
      <c r="E998" s="14">
        <v>0</v>
      </c>
      <c r="F998" s="15" t="s">
        <v>12</v>
      </c>
    </row>
    <row r="999" spans="1:6" ht="17.100000000000001" customHeight="1">
      <c r="A999" s="11" t="s">
        <v>1005</v>
      </c>
      <c r="B999" s="12">
        <v>202303040</v>
      </c>
      <c r="C999" s="12" t="str">
        <f>"202303034007"</f>
        <v>202303034007</v>
      </c>
      <c r="D999" s="13">
        <v>78.5</v>
      </c>
      <c r="E999" s="14">
        <v>98</v>
      </c>
      <c r="F999" s="15" t="s">
        <v>8</v>
      </c>
    </row>
    <row r="1000" spans="1:6" ht="17.100000000000001" customHeight="1">
      <c r="A1000" s="11" t="s">
        <v>1006</v>
      </c>
      <c r="B1000" s="12">
        <v>202303040</v>
      </c>
      <c r="C1000" s="12" t="str">
        <f>"202303034008"</f>
        <v>202303034008</v>
      </c>
      <c r="D1000" s="13">
        <v>0</v>
      </c>
      <c r="E1000" s="14">
        <v>0</v>
      </c>
      <c r="F1000" s="15" t="s">
        <v>12</v>
      </c>
    </row>
    <row r="1001" spans="1:6" ht="17.100000000000001" customHeight="1">
      <c r="A1001" s="11" t="s">
        <v>1007</v>
      </c>
      <c r="B1001" s="12">
        <v>202303040</v>
      </c>
      <c r="C1001" s="12" t="str">
        <f>"202303034009"</f>
        <v>202303034009</v>
      </c>
      <c r="D1001" s="13">
        <v>85.2</v>
      </c>
      <c r="E1001" s="14">
        <v>103.5</v>
      </c>
      <c r="F1001" s="15" t="s">
        <v>8</v>
      </c>
    </row>
    <row r="1002" spans="1:6" ht="17.100000000000001" customHeight="1">
      <c r="A1002" s="11" t="s">
        <v>1008</v>
      </c>
      <c r="B1002" s="12">
        <v>202303040</v>
      </c>
      <c r="C1002" s="12" t="str">
        <f>"202303034010"</f>
        <v>202303034010</v>
      </c>
      <c r="D1002" s="13">
        <v>0</v>
      </c>
      <c r="E1002" s="14">
        <v>0</v>
      </c>
      <c r="F1002" s="15" t="s">
        <v>12</v>
      </c>
    </row>
    <row r="1003" spans="1:6" ht="17.100000000000001" customHeight="1">
      <c r="A1003" s="11" t="s">
        <v>1009</v>
      </c>
      <c r="B1003" s="12">
        <v>202303040</v>
      </c>
      <c r="C1003" s="12" t="str">
        <f>"202303034011"</f>
        <v>202303034011</v>
      </c>
      <c r="D1003" s="13">
        <v>106.8</v>
      </c>
      <c r="E1003" s="14">
        <v>86.5</v>
      </c>
      <c r="F1003" s="15" t="s">
        <v>8</v>
      </c>
    </row>
    <row r="1004" spans="1:6" ht="17.100000000000001" customHeight="1">
      <c r="A1004" s="11" t="s">
        <v>1010</v>
      </c>
      <c r="B1004" s="12">
        <v>202303040</v>
      </c>
      <c r="C1004" s="12" t="str">
        <f>"202303034012"</f>
        <v>202303034012</v>
      </c>
      <c r="D1004" s="13">
        <v>81</v>
      </c>
      <c r="E1004" s="14">
        <v>98.5</v>
      </c>
      <c r="F1004" s="15" t="s">
        <v>8</v>
      </c>
    </row>
    <row r="1005" spans="1:6" ht="17.100000000000001" customHeight="1">
      <c r="A1005" s="11" t="s">
        <v>1011</v>
      </c>
      <c r="B1005" s="12">
        <v>202303040</v>
      </c>
      <c r="C1005" s="12" t="str">
        <f>"202303034013"</f>
        <v>202303034013</v>
      </c>
      <c r="D1005" s="13">
        <v>89.1</v>
      </c>
      <c r="E1005" s="14">
        <v>91.5</v>
      </c>
      <c r="F1005" s="15" t="s">
        <v>8</v>
      </c>
    </row>
    <row r="1006" spans="1:6" ht="17.100000000000001" customHeight="1">
      <c r="A1006" s="11" t="s">
        <v>1012</v>
      </c>
      <c r="B1006" s="12">
        <v>202303040</v>
      </c>
      <c r="C1006" s="12" t="str">
        <f>"202303034014"</f>
        <v>202303034014</v>
      </c>
      <c r="D1006" s="13">
        <v>93</v>
      </c>
      <c r="E1006" s="14">
        <v>101.5</v>
      </c>
      <c r="F1006" s="15" t="s">
        <v>8</v>
      </c>
    </row>
    <row r="1007" spans="1:6" ht="17.100000000000001" customHeight="1">
      <c r="A1007" s="11" t="s">
        <v>1013</v>
      </c>
      <c r="B1007" s="12">
        <v>202303040</v>
      </c>
      <c r="C1007" s="12" t="str">
        <f>"202303034015"</f>
        <v>202303034015</v>
      </c>
      <c r="D1007" s="13">
        <v>0</v>
      </c>
      <c r="E1007" s="14">
        <v>0</v>
      </c>
      <c r="F1007" s="15" t="s">
        <v>12</v>
      </c>
    </row>
    <row r="1008" spans="1:6" ht="17.100000000000001" customHeight="1">
      <c r="A1008" s="11" t="s">
        <v>1014</v>
      </c>
      <c r="B1008" s="12">
        <v>202303040</v>
      </c>
      <c r="C1008" s="12" t="str">
        <f>"202303034016"</f>
        <v>202303034016</v>
      </c>
      <c r="D1008" s="13">
        <v>88.8</v>
      </c>
      <c r="E1008" s="14">
        <v>102</v>
      </c>
      <c r="F1008" s="15" t="s">
        <v>8</v>
      </c>
    </row>
    <row r="1009" spans="1:6" ht="17.100000000000001" customHeight="1">
      <c r="A1009" s="11" t="s">
        <v>1015</v>
      </c>
      <c r="B1009" s="12">
        <v>202303040</v>
      </c>
      <c r="C1009" s="12" t="str">
        <f>"202303034017"</f>
        <v>202303034017</v>
      </c>
      <c r="D1009" s="13">
        <v>0</v>
      </c>
      <c r="E1009" s="14">
        <v>0</v>
      </c>
      <c r="F1009" s="15" t="s">
        <v>12</v>
      </c>
    </row>
    <row r="1010" spans="1:6" ht="17.100000000000001" customHeight="1">
      <c r="A1010" s="11" t="s">
        <v>1016</v>
      </c>
      <c r="B1010" s="12">
        <v>202303040</v>
      </c>
      <c r="C1010" s="12" t="str">
        <f>"202303034018"</f>
        <v>202303034018</v>
      </c>
      <c r="D1010" s="13">
        <v>0</v>
      </c>
      <c r="E1010" s="14">
        <v>0</v>
      </c>
      <c r="F1010" s="15" t="s">
        <v>12</v>
      </c>
    </row>
    <row r="1011" spans="1:6" ht="17.100000000000001" customHeight="1">
      <c r="A1011" s="11" t="s">
        <v>1017</v>
      </c>
      <c r="B1011" s="12">
        <v>202303040</v>
      </c>
      <c r="C1011" s="12" t="str">
        <f>"202303034019"</f>
        <v>202303034019</v>
      </c>
      <c r="D1011" s="13">
        <v>93.2</v>
      </c>
      <c r="E1011" s="14">
        <v>107</v>
      </c>
      <c r="F1011" s="15" t="s">
        <v>8</v>
      </c>
    </row>
    <row r="1012" spans="1:6" ht="17.100000000000001" customHeight="1">
      <c r="A1012" s="11" t="s">
        <v>1018</v>
      </c>
      <c r="B1012" s="12">
        <v>202303040</v>
      </c>
      <c r="C1012" s="12" t="str">
        <f>"202303034020"</f>
        <v>202303034020</v>
      </c>
      <c r="D1012" s="13">
        <v>0</v>
      </c>
      <c r="E1012" s="14">
        <v>0</v>
      </c>
      <c r="F1012" s="15" t="s">
        <v>12</v>
      </c>
    </row>
    <row r="1013" spans="1:6" ht="17.100000000000001" customHeight="1">
      <c r="A1013" s="11" t="s">
        <v>1019</v>
      </c>
      <c r="B1013" s="12">
        <v>202303040</v>
      </c>
      <c r="C1013" s="12" t="str">
        <f>"202303034021"</f>
        <v>202303034021</v>
      </c>
      <c r="D1013" s="13">
        <v>0</v>
      </c>
      <c r="E1013" s="14">
        <v>0</v>
      </c>
      <c r="F1013" s="15" t="s">
        <v>12</v>
      </c>
    </row>
    <row r="1014" spans="1:6" ht="17.100000000000001" customHeight="1">
      <c r="A1014" s="11" t="s">
        <v>1020</v>
      </c>
      <c r="B1014" s="12">
        <v>202303040</v>
      </c>
      <c r="C1014" s="12" t="str">
        <f>"202303034022"</f>
        <v>202303034022</v>
      </c>
      <c r="D1014" s="13">
        <v>91.2</v>
      </c>
      <c r="E1014" s="14">
        <v>107.5</v>
      </c>
      <c r="F1014" s="15" t="s">
        <v>8</v>
      </c>
    </row>
    <row r="1015" spans="1:6" ht="17.100000000000001" customHeight="1">
      <c r="A1015" s="11" t="s">
        <v>1021</v>
      </c>
      <c r="B1015" s="12">
        <v>202303041</v>
      </c>
      <c r="C1015" s="12" t="str">
        <f>"202303034023"</f>
        <v>202303034023</v>
      </c>
      <c r="D1015" s="13">
        <v>0</v>
      </c>
      <c r="E1015" s="14">
        <v>0</v>
      </c>
      <c r="F1015" s="15" t="s">
        <v>12</v>
      </c>
    </row>
    <row r="1016" spans="1:6" ht="17.100000000000001" customHeight="1">
      <c r="A1016" s="11" t="s">
        <v>1022</v>
      </c>
      <c r="B1016" s="12">
        <v>202303041</v>
      </c>
      <c r="C1016" s="12" t="str">
        <f>"202303034024"</f>
        <v>202303034024</v>
      </c>
      <c r="D1016" s="13">
        <v>82.6</v>
      </c>
      <c r="E1016" s="14">
        <v>103.5</v>
      </c>
      <c r="F1016" s="15" t="s">
        <v>8</v>
      </c>
    </row>
    <row r="1017" spans="1:6" ht="17.100000000000001" customHeight="1">
      <c r="A1017" s="11" t="s">
        <v>1023</v>
      </c>
      <c r="B1017" s="12">
        <v>202303041</v>
      </c>
      <c r="C1017" s="12" t="str">
        <f>"202303034025"</f>
        <v>202303034025</v>
      </c>
      <c r="D1017" s="13">
        <v>97.8</v>
      </c>
      <c r="E1017" s="14">
        <v>103.5</v>
      </c>
      <c r="F1017" s="15" t="s">
        <v>8</v>
      </c>
    </row>
    <row r="1018" spans="1:6" ht="17.100000000000001" customHeight="1">
      <c r="A1018" s="11" t="s">
        <v>1024</v>
      </c>
      <c r="B1018" s="12">
        <v>202303041</v>
      </c>
      <c r="C1018" s="12" t="str">
        <f>"202303034026"</f>
        <v>202303034026</v>
      </c>
      <c r="D1018" s="13">
        <v>83.1</v>
      </c>
      <c r="E1018" s="14">
        <v>101</v>
      </c>
      <c r="F1018" s="15" t="s">
        <v>8</v>
      </c>
    </row>
    <row r="1019" spans="1:6" ht="17.100000000000001" customHeight="1">
      <c r="A1019" s="11" t="s">
        <v>1025</v>
      </c>
      <c r="B1019" s="12">
        <v>202303041</v>
      </c>
      <c r="C1019" s="12" t="str">
        <f>"202303034027"</f>
        <v>202303034027</v>
      </c>
      <c r="D1019" s="13">
        <v>75.2</v>
      </c>
      <c r="E1019" s="14">
        <v>101</v>
      </c>
      <c r="F1019" s="15" t="s">
        <v>8</v>
      </c>
    </row>
    <row r="1020" spans="1:6" ht="17.100000000000001" customHeight="1">
      <c r="A1020" s="11" t="s">
        <v>1026</v>
      </c>
      <c r="B1020" s="12">
        <v>202303041</v>
      </c>
      <c r="C1020" s="12" t="str">
        <f>"202303034028"</f>
        <v>202303034028</v>
      </c>
      <c r="D1020" s="13">
        <v>56.4</v>
      </c>
      <c r="E1020" s="14">
        <v>90</v>
      </c>
      <c r="F1020" s="15" t="s">
        <v>8</v>
      </c>
    </row>
    <row r="1021" spans="1:6" ht="17.100000000000001" customHeight="1">
      <c r="A1021" s="11" t="s">
        <v>1027</v>
      </c>
      <c r="B1021" s="12">
        <v>202303041</v>
      </c>
      <c r="C1021" s="12" t="str">
        <f>"202303034029"</f>
        <v>202303034029</v>
      </c>
      <c r="D1021" s="13">
        <v>83.3</v>
      </c>
      <c r="E1021" s="14">
        <v>97.5</v>
      </c>
      <c r="F1021" s="15" t="s">
        <v>8</v>
      </c>
    </row>
    <row r="1022" spans="1:6" ht="17.100000000000001" customHeight="1">
      <c r="A1022" s="11" t="s">
        <v>1028</v>
      </c>
      <c r="B1022" s="12">
        <v>202303041</v>
      </c>
      <c r="C1022" s="12" t="str">
        <f>"202303034030"</f>
        <v>202303034030</v>
      </c>
      <c r="D1022" s="13">
        <v>0</v>
      </c>
      <c r="E1022" s="14">
        <v>0</v>
      </c>
      <c r="F1022" s="15" t="s">
        <v>12</v>
      </c>
    </row>
    <row r="1023" spans="1:6" ht="17.100000000000001" customHeight="1">
      <c r="A1023" s="11" t="s">
        <v>1029</v>
      </c>
      <c r="B1023" s="12">
        <v>202303041</v>
      </c>
      <c r="C1023" s="12" t="str">
        <f>"202303035001"</f>
        <v>202303035001</v>
      </c>
      <c r="D1023" s="13">
        <v>73.400000000000006</v>
      </c>
      <c r="E1023" s="14">
        <v>103.5</v>
      </c>
      <c r="F1023" s="15" t="s">
        <v>8</v>
      </c>
    </row>
    <row r="1024" spans="1:6" ht="17.100000000000001" customHeight="1">
      <c r="A1024" s="11" t="s">
        <v>1030</v>
      </c>
      <c r="B1024" s="12">
        <v>202303041</v>
      </c>
      <c r="C1024" s="12" t="str">
        <f>"202303035002"</f>
        <v>202303035002</v>
      </c>
      <c r="D1024" s="13">
        <v>80.900000000000006</v>
      </c>
      <c r="E1024" s="14">
        <v>89.5</v>
      </c>
      <c r="F1024" s="15" t="s">
        <v>8</v>
      </c>
    </row>
    <row r="1025" spans="1:6" ht="17.100000000000001" customHeight="1">
      <c r="A1025" s="11" t="s">
        <v>1031</v>
      </c>
      <c r="B1025" s="12">
        <v>202303041</v>
      </c>
      <c r="C1025" s="12" t="str">
        <f>"202303035003"</f>
        <v>202303035003</v>
      </c>
      <c r="D1025" s="13">
        <v>79.2</v>
      </c>
      <c r="E1025" s="14">
        <v>89.5</v>
      </c>
      <c r="F1025" s="15" t="s">
        <v>8</v>
      </c>
    </row>
    <row r="1026" spans="1:6" ht="17.100000000000001" customHeight="1">
      <c r="A1026" s="11" t="s">
        <v>1032</v>
      </c>
      <c r="B1026" s="12">
        <v>202303041</v>
      </c>
      <c r="C1026" s="12" t="str">
        <f>"202303035004"</f>
        <v>202303035004</v>
      </c>
      <c r="D1026" s="13">
        <v>85.8</v>
      </c>
      <c r="E1026" s="14">
        <v>91</v>
      </c>
      <c r="F1026" s="15" t="s">
        <v>8</v>
      </c>
    </row>
    <row r="1027" spans="1:6" ht="17.100000000000001" customHeight="1">
      <c r="A1027" s="11" t="s">
        <v>1033</v>
      </c>
      <c r="B1027" s="12">
        <v>202303041</v>
      </c>
      <c r="C1027" s="12" t="str">
        <f>"202303035005"</f>
        <v>202303035005</v>
      </c>
      <c r="D1027" s="13">
        <v>84.4</v>
      </c>
      <c r="E1027" s="14">
        <v>108.5</v>
      </c>
      <c r="F1027" s="15" t="s">
        <v>8</v>
      </c>
    </row>
    <row r="1028" spans="1:6" ht="17.100000000000001" customHeight="1">
      <c r="A1028" s="11" t="s">
        <v>1034</v>
      </c>
      <c r="B1028" s="12">
        <v>202303041</v>
      </c>
      <c r="C1028" s="12" t="str">
        <f>"202303035006"</f>
        <v>202303035006</v>
      </c>
      <c r="D1028" s="13">
        <v>76.3</v>
      </c>
      <c r="E1028" s="14">
        <v>89.5</v>
      </c>
      <c r="F1028" s="15" t="s">
        <v>8</v>
      </c>
    </row>
    <row r="1029" spans="1:6" ht="17.100000000000001" customHeight="1">
      <c r="A1029" s="11" t="s">
        <v>1035</v>
      </c>
      <c r="B1029" s="12">
        <v>202303041</v>
      </c>
      <c r="C1029" s="12" t="str">
        <f>"202303035007"</f>
        <v>202303035007</v>
      </c>
      <c r="D1029" s="13">
        <v>82.1</v>
      </c>
      <c r="E1029" s="14">
        <v>104.5</v>
      </c>
      <c r="F1029" s="15" t="s">
        <v>8</v>
      </c>
    </row>
    <row r="1030" spans="1:6" ht="17.100000000000001" customHeight="1">
      <c r="A1030" s="11" t="s">
        <v>1036</v>
      </c>
      <c r="B1030" s="12">
        <v>202303041</v>
      </c>
      <c r="C1030" s="12" t="str">
        <f>"202303035008"</f>
        <v>202303035008</v>
      </c>
      <c r="D1030" s="13">
        <v>0</v>
      </c>
      <c r="E1030" s="14">
        <v>0</v>
      </c>
      <c r="F1030" s="15" t="s">
        <v>12</v>
      </c>
    </row>
    <row r="1031" spans="1:6" ht="17.100000000000001" customHeight="1">
      <c r="A1031" s="11" t="s">
        <v>1037</v>
      </c>
      <c r="B1031" s="12">
        <v>202303041</v>
      </c>
      <c r="C1031" s="12" t="str">
        <f>"202303035009"</f>
        <v>202303035009</v>
      </c>
      <c r="D1031" s="13">
        <v>90.4</v>
      </c>
      <c r="E1031" s="14">
        <v>94.5</v>
      </c>
      <c r="F1031" s="15" t="s">
        <v>8</v>
      </c>
    </row>
    <row r="1032" spans="1:6" ht="17.100000000000001" customHeight="1">
      <c r="A1032" s="11" t="s">
        <v>1038</v>
      </c>
      <c r="B1032" s="12">
        <v>202303041</v>
      </c>
      <c r="C1032" s="12" t="str">
        <f>"202303035010"</f>
        <v>202303035010</v>
      </c>
      <c r="D1032" s="13">
        <v>92.6</v>
      </c>
      <c r="E1032" s="14">
        <v>98</v>
      </c>
      <c r="F1032" s="15" t="s">
        <v>8</v>
      </c>
    </row>
    <row r="1033" spans="1:6" ht="17.100000000000001" customHeight="1">
      <c r="A1033" s="11" t="s">
        <v>1039</v>
      </c>
      <c r="B1033" s="12">
        <v>202303042</v>
      </c>
      <c r="C1033" s="12" t="str">
        <f>"202303035011"</f>
        <v>202303035011</v>
      </c>
      <c r="D1033" s="13">
        <v>96.9</v>
      </c>
      <c r="E1033" s="14">
        <v>102.5</v>
      </c>
      <c r="F1033" s="15" t="s">
        <v>8</v>
      </c>
    </row>
    <row r="1034" spans="1:6" ht="17.100000000000001" customHeight="1">
      <c r="A1034" s="11" t="s">
        <v>1040</v>
      </c>
      <c r="B1034" s="12">
        <v>202303042</v>
      </c>
      <c r="C1034" s="12" t="str">
        <f>"202303035012"</f>
        <v>202303035012</v>
      </c>
      <c r="D1034" s="13">
        <v>94.7</v>
      </c>
      <c r="E1034" s="14">
        <v>104.5</v>
      </c>
      <c r="F1034" s="15" t="s">
        <v>8</v>
      </c>
    </row>
    <row r="1035" spans="1:6" ht="17.100000000000001" customHeight="1">
      <c r="A1035" s="11" t="s">
        <v>1041</v>
      </c>
      <c r="B1035" s="12">
        <v>202303042</v>
      </c>
      <c r="C1035" s="12" t="str">
        <f>"202303035013"</f>
        <v>202303035013</v>
      </c>
      <c r="D1035" s="13">
        <v>82.3</v>
      </c>
      <c r="E1035" s="14">
        <v>102</v>
      </c>
      <c r="F1035" s="15" t="s">
        <v>8</v>
      </c>
    </row>
    <row r="1036" spans="1:6" s="1" customFormat="1" ht="17.100000000000001" customHeight="1">
      <c r="A1036" s="16" t="s">
        <v>1042</v>
      </c>
      <c r="B1036" s="17">
        <v>202303042</v>
      </c>
      <c r="C1036" s="17" t="str">
        <f>"202303035014"</f>
        <v>202303035014</v>
      </c>
      <c r="D1036" s="18">
        <v>0</v>
      </c>
      <c r="E1036" s="19">
        <v>0</v>
      </c>
      <c r="F1036" s="20" t="s">
        <v>12</v>
      </c>
    </row>
    <row r="1037" spans="1:6" ht="17.100000000000001" customHeight="1">
      <c r="A1037" s="11" t="s">
        <v>1043</v>
      </c>
      <c r="B1037" s="12">
        <v>202303042</v>
      </c>
      <c r="C1037" s="12" t="str">
        <f>"202303035015"</f>
        <v>202303035015</v>
      </c>
      <c r="D1037" s="13">
        <v>72.3</v>
      </c>
      <c r="E1037" s="14">
        <v>96</v>
      </c>
      <c r="F1037" s="15" t="s">
        <v>8</v>
      </c>
    </row>
    <row r="1038" spans="1:6" ht="17.100000000000001" customHeight="1">
      <c r="A1038" s="11" t="s">
        <v>1044</v>
      </c>
      <c r="B1038" s="12">
        <v>202303042</v>
      </c>
      <c r="C1038" s="12" t="str">
        <f>"202303035016"</f>
        <v>202303035016</v>
      </c>
      <c r="D1038" s="13">
        <v>92.3</v>
      </c>
      <c r="E1038" s="14">
        <v>101.5</v>
      </c>
      <c r="F1038" s="15" t="s">
        <v>8</v>
      </c>
    </row>
    <row r="1039" spans="1:6" ht="17.100000000000001" customHeight="1">
      <c r="A1039" s="11" t="s">
        <v>1045</v>
      </c>
      <c r="B1039" s="12">
        <v>202303042</v>
      </c>
      <c r="C1039" s="12" t="str">
        <f>"202303035017"</f>
        <v>202303035017</v>
      </c>
      <c r="D1039" s="13">
        <v>82</v>
      </c>
      <c r="E1039" s="14">
        <v>75.5</v>
      </c>
      <c r="F1039" s="15" t="s">
        <v>8</v>
      </c>
    </row>
    <row r="1040" spans="1:6" ht="17.100000000000001" customHeight="1">
      <c r="A1040" s="11" t="s">
        <v>1046</v>
      </c>
      <c r="B1040" s="12">
        <v>202303042</v>
      </c>
      <c r="C1040" s="12" t="str">
        <f>"202303035018"</f>
        <v>202303035018</v>
      </c>
      <c r="D1040" s="13">
        <v>100.8</v>
      </c>
      <c r="E1040" s="14">
        <v>103</v>
      </c>
      <c r="F1040" s="15" t="s">
        <v>8</v>
      </c>
    </row>
    <row r="1041" spans="1:6" ht="17.100000000000001" customHeight="1">
      <c r="A1041" s="11" t="s">
        <v>1047</v>
      </c>
      <c r="B1041" s="12">
        <v>202303042</v>
      </c>
      <c r="C1041" s="12" t="str">
        <f>"202303035019"</f>
        <v>202303035019</v>
      </c>
      <c r="D1041" s="13">
        <v>71.7</v>
      </c>
      <c r="E1041" s="14">
        <v>98.5</v>
      </c>
      <c r="F1041" s="15" t="s">
        <v>8</v>
      </c>
    </row>
    <row r="1042" spans="1:6" ht="17.100000000000001" customHeight="1">
      <c r="A1042" s="11" t="s">
        <v>1048</v>
      </c>
      <c r="B1042" s="12">
        <v>202303043</v>
      </c>
      <c r="C1042" s="12" t="str">
        <f>"202303035020"</f>
        <v>202303035020</v>
      </c>
      <c r="D1042" s="13">
        <v>101.6</v>
      </c>
      <c r="E1042" s="14">
        <v>102.5</v>
      </c>
      <c r="F1042" s="15" t="s">
        <v>8</v>
      </c>
    </row>
    <row r="1043" spans="1:6" ht="17.100000000000001" customHeight="1">
      <c r="A1043" s="11" t="s">
        <v>1049</v>
      </c>
      <c r="B1043" s="12">
        <v>202303043</v>
      </c>
      <c r="C1043" s="12" t="str">
        <f>"202303035021"</f>
        <v>202303035021</v>
      </c>
      <c r="D1043" s="13">
        <v>0</v>
      </c>
      <c r="E1043" s="14">
        <v>0</v>
      </c>
      <c r="F1043" s="15" t="s">
        <v>12</v>
      </c>
    </row>
    <row r="1044" spans="1:6" ht="17.100000000000001" customHeight="1">
      <c r="A1044" s="11" t="s">
        <v>1050</v>
      </c>
      <c r="B1044" s="12">
        <v>202303043</v>
      </c>
      <c r="C1044" s="12" t="str">
        <f>"202303035022"</f>
        <v>202303035022</v>
      </c>
      <c r="D1044" s="13">
        <v>84.6</v>
      </c>
      <c r="E1044" s="14">
        <v>100</v>
      </c>
      <c r="F1044" s="15" t="s">
        <v>8</v>
      </c>
    </row>
    <row r="1045" spans="1:6" ht="17.100000000000001" customHeight="1">
      <c r="A1045" s="11" t="s">
        <v>1051</v>
      </c>
      <c r="B1045" s="12">
        <v>202303043</v>
      </c>
      <c r="C1045" s="12" t="str">
        <f>"202303035023"</f>
        <v>202303035023</v>
      </c>
      <c r="D1045" s="13">
        <v>95.2</v>
      </c>
      <c r="E1045" s="14">
        <v>104.5</v>
      </c>
      <c r="F1045" s="15" t="s">
        <v>8</v>
      </c>
    </row>
    <row r="1046" spans="1:6" ht="17.100000000000001" customHeight="1">
      <c r="A1046" s="11" t="s">
        <v>1052</v>
      </c>
      <c r="B1046" s="12">
        <v>202303043</v>
      </c>
      <c r="C1046" s="12" t="str">
        <f>"202303035024"</f>
        <v>202303035024</v>
      </c>
      <c r="D1046" s="13">
        <v>0</v>
      </c>
      <c r="E1046" s="14">
        <v>0</v>
      </c>
      <c r="F1046" s="15" t="s">
        <v>12</v>
      </c>
    </row>
    <row r="1047" spans="1:6" ht="17.100000000000001" customHeight="1">
      <c r="A1047" s="11" t="s">
        <v>1053</v>
      </c>
      <c r="B1047" s="12">
        <v>202303043</v>
      </c>
      <c r="C1047" s="12" t="str">
        <f>"202303035025"</f>
        <v>202303035025</v>
      </c>
      <c r="D1047" s="13">
        <v>78.099999999999994</v>
      </c>
      <c r="E1047" s="14">
        <v>104</v>
      </c>
      <c r="F1047" s="15" t="s">
        <v>8</v>
      </c>
    </row>
    <row r="1048" spans="1:6" ht="17.100000000000001" customHeight="1">
      <c r="A1048" s="11" t="s">
        <v>1054</v>
      </c>
      <c r="B1048" s="12">
        <v>202303043</v>
      </c>
      <c r="C1048" s="12" t="str">
        <f>"202303035026"</f>
        <v>202303035026</v>
      </c>
      <c r="D1048" s="13">
        <v>0</v>
      </c>
      <c r="E1048" s="14">
        <v>0</v>
      </c>
      <c r="F1048" s="15" t="s">
        <v>12</v>
      </c>
    </row>
    <row r="1049" spans="1:6" ht="17.100000000000001" customHeight="1">
      <c r="A1049" s="11" t="s">
        <v>1055</v>
      </c>
      <c r="B1049" s="12">
        <v>202303044</v>
      </c>
      <c r="C1049" s="12" t="str">
        <f>"202303035027"</f>
        <v>202303035027</v>
      </c>
      <c r="D1049" s="13">
        <v>0</v>
      </c>
      <c r="E1049" s="14">
        <v>0</v>
      </c>
      <c r="F1049" s="15" t="s">
        <v>12</v>
      </c>
    </row>
    <row r="1050" spans="1:6" ht="17.100000000000001" customHeight="1">
      <c r="A1050" s="11" t="s">
        <v>1056</v>
      </c>
      <c r="B1050" s="12">
        <v>202303044</v>
      </c>
      <c r="C1050" s="12" t="str">
        <f>"202303035028"</f>
        <v>202303035028</v>
      </c>
      <c r="D1050" s="13">
        <v>104.1</v>
      </c>
      <c r="E1050" s="14">
        <v>111</v>
      </c>
      <c r="F1050" s="15" t="s">
        <v>8</v>
      </c>
    </row>
    <row r="1051" spans="1:6" ht="17.100000000000001" customHeight="1">
      <c r="A1051" s="11" t="s">
        <v>1057</v>
      </c>
      <c r="B1051" s="12">
        <v>202303044</v>
      </c>
      <c r="C1051" s="12" t="str">
        <f>"202303035029"</f>
        <v>202303035029</v>
      </c>
      <c r="D1051" s="13">
        <v>89.9</v>
      </c>
      <c r="E1051" s="14">
        <v>104</v>
      </c>
      <c r="F1051" s="15" t="s">
        <v>8</v>
      </c>
    </row>
    <row r="1052" spans="1:6" ht="17.100000000000001" customHeight="1">
      <c r="A1052" s="11" t="s">
        <v>1058</v>
      </c>
      <c r="B1052" s="12">
        <v>202303044</v>
      </c>
      <c r="C1052" s="12" t="str">
        <f>"202303035030"</f>
        <v>202303035030</v>
      </c>
      <c r="D1052" s="13">
        <v>69.8</v>
      </c>
      <c r="E1052" s="14">
        <v>85.5</v>
      </c>
      <c r="F1052" s="15" t="s">
        <v>8</v>
      </c>
    </row>
    <row r="1053" spans="1:6" ht="17.100000000000001" customHeight="1">
      <c r="A1053" s="11" t="s">
        <v>1059</v>
      </c>
      <c r="B1053" s="12">
        <v>202303044</v>
      </c>
      <c r="C1053" s="12" t="str">
        <f>"202303036001"</f>
        <v>202303036001</v>
      </c>
      <c r="D1053" s="13">
        <v>89.8</v>
      </c>
      <c r="E1053" s="14">
        <v>106</v>
      </c>
      <c r="F1053" s="15" t="s">
        <v>8</v>
      </c>
    </row>
    <row r="1054" spans="1:6" ht="17.100000000000001" customHeight="1">
      <c r="A1054" s="11" t="s">
        <v>1060</v>
      </c>
      <c r="B1054" s="12">
        <v>202303044</v>
      </c>
      <c r="C1054" s="12" t="str">
        <f>"202303036002"</f>
        <v>202303036002</v>
      </c>
      <c r="D1054" s="13">
        <v>96.6</v>
      </c>
      <c r="E1054" s="14">
        <v>103.5</v>
      </c>
      <c r="F1054" s="15" t="s">
        <v>8</v>
      </c>
    </row>
    <row r="1055" spans="1:6" ht="17.100000000000001" customHeight="1">
      <c r="A1055" s="11" t="s">
        <v>1061</v>
      </c>
      <c r="B1055" s="12">
        <v>202303044</v>
      </c>
      <c r="C1055" s="12" t="str">
        <f>"202303036003"</f>
        <v>202303036003</v>
      </c>
      <c r="D1055" s="13">
        <v>0</v>
      </c>
      <c r="E1055" s="14">
        <v>0</v>
      </c>
      <c r="F1055" s="15" t="s">
        <v>12</v>
      </c>
    </row>
    <row r="1056" spans="1:6" ht="17.100000000000001" customHeight="1">
      <c r="A1056" s="11" t="s">
        <v>1062</v>
      </c>
      <c r="B1056" s="12">
        <v>202303044</v>
      </c>
      <c r="C1056" s="12" t="str">
        <f>"202303036004"</f>
        <v>202303036004</v>
      </c>
      <c r="D1056" s="13">
        <v>95.7</v>
      </c>
      <c r="E1056" s="14">
        <v>94.5</v>
      </c>
      <c r="F1056" s="15" t="s">
        <v>8</v>
      </c>
    </row>
    <row r="1057" spans="1:6" ht="17.100000000000001" customHeight="1">
      <c r="A1057" s="11" t="s">
        <v>1063</v>
      </c>
      <c r="B1057" s="12">
        <v>202303044</v>
      </c>
      <c r="C1057" s="12" t="str">
        <f>"202303036005"</f>
        <v>202303036005</v>
      </c>
      <c r="D1057" s="13">
        <v>99.7</v>
      </c>
      <c r="E1057" s="14">
        <v>94.5</v>
      </c>
      <c r="F1057" s="15" t="s">
        <v>8</v>
      </c>
    </row>
    <row r="1058" spans="1:6" ht="17.100000000000001" customHeight="1">
      <c r="A1058" s="11" t="s">
        <v>1064</v>
      </c>
      <c r="B1058" s="12">
        <v>202303044</v>
      </c>
      <c r="C1058" s="12" t="str">
        <f>"202303036006"</f>
        <v>202303036006</v>
      </c>
      <c r="D1058" s="13">
        <v>104.7</v>
      </c>
      <c r="E1058" s="14">
        <v>101</v>
      </c>
      <c r="F1058" s="15" t="s">
        <v>8</v>
      </c>
    </row>
    <row r="1059" spans="1:6" ht="17.100000000000001" customHeight="1">
      <c r="A1059" s="11" t="s">
        <v>1065</v>
      </c>
      <c r="B1059" s="12">
        <v>202303044</v>
      </c>
      <c r="C1059" s="12" t="str">
        <f>"202303036007"</f>
        <v>202303036007</v>
      </c>
      <c r="D1059" s="13">
        <v>67.400000000000006</v>
      </c>
      <c r="E1059" s="14">
        <v>88</v>
      </c>
      <c r="F1059" s="15" t="s">
        <v>8</v>
      </c>
    </row>
    <row r="1060" spans="1:6" ht="17.100000000000001" customHeight="1">
      <c r="A1060" s="11" t="s">
        <v>1066</v>
      </c>
      <c r="B1060" s="12">
        <v>202303044</v>
      </c>
      <c r="C1060" s="12" t="str">
        <f>"202303036008"</f>
        <v>202303036008</v>
      </c>
      <c r="D1060" s="13">
        <v>89.6</v>
      </c>
      <c r="E1060" s="14">
        <v>101.5</v>
      </c>
      <c r="F1060" s="15" t="s">
        <v>8</v>
      </c>
    </row>
    <row r="1061" spans="1:6" ht="17.100000000000001" customHeight="1">
      <c r="A1061" s="11" t="s">
        <v>1067</v>
      </c>
      <c r="B1061" s="12">
        <v>202303044</v>
      </c>
      <c r="C1061" s="12" t="str">
        <f>"202303036009"</f>
        <v>202303036009</v>
      </c>
      <c r="D1061" s="13">
        <v>88</v>
      </c>
      <c r="E1061" s="14">
        <v>100</v>
      </c>
      <c r="F1061" s="15" t="s">
        <v>8</v>
      </c>
    </row>
    <row r="1062" spans="1:6" ht="17.100000000000001" customHeight="1">
      <c r="A1062" s="11" t="s">
        <v>1068</v>
      </c>
      <c r="B1062" s="12">
        <v>202303044</v>
      </c>
      <c r="C1062" s="12" t="str">
        <f>"202303036010"</f>
        <v>202303036010</v>
      </c>
      <c r="D1062" s="13">
        <v>90.8</v>
      </c>
      <c r="E1062" s="14">
        <v>104</v>
      </c>
      <c r="F1062" s="15" t="s">
        <v>8</v>
      </c>
    </row>
    <row r="1063" spans="1:6" ht="17.100000000000001" customHeight="1">
      <c r="A1063" s="11" t="s">
        <v>1069</v>
      </c>
      <c r="B1063" s="12">
        <v>202303044</v>
      </c>
      <c r="C1063" s="12" t="str">
        <f>"202303036011"</f>
        <v>202303036011</v>
      </c>
      <c r="D1063" s="13">
        <v>94.7</v>
      </c>
      <c r="E1063" s="14">
        <v>102.5</v>
      </c>
      <c r="F1063" s="15" t="s">
        <v>8</v>
      </c>
    </row>
    <row r="1064" spans="1:6" ht="17.100000000000001" customHeight="1">
      <c r="A1064" s="11" t="s">
        <v>1070</v>
      </c>
      <c r="B1064" s="12">
        <v>202303044</v>
      </c>
      <c r="C1064" s="12" t="str">
        <f>"202303036012"</f>
        <v>202303036012</v>
      </c>
      <c r="D1064" s="13">
        <v>0</v>
      </c>
      <c r="E1064" s="14">
        <v>0</v>
      </c>
      <c r="F1064" s="15" t="s">
        <v>12</v>
      </c>
    </row>
    <row r="1065" spans="1:6" ht="17.100000000000001" customHeight="1">
      <c r="A1065" s="11" t="s">
        <v>1071</v>
      </c>
      <c r="B1065" s="12">
        <v>202303044</v>
      </c>
      <c r="C1065" s="12" t="str">
        <f>"202303036013"</f>
        <v>202303036013</v>
      </c>
      <c r="D1065" s="13">
        <v>0</v>
      </c>
      <c r="E1065" s="14">
        <v>0</v>
      </c>
      <c r="F1065" s="15" t="s">
        <v>12</v>
      </c>
    </row>
    <row r="1066" spans="1:6" ht="17.100000000000001" customHeight="1">
      <c r="A1066" s="11" t="s">
        <v>1072</v>
      </c>
      <c r="B1066" s="12">
        <v>202303044</v>
      </c>
      <c r="C1066" s="12" t="str">
        <f>"202303036014"</f>
        <v>202303036014</v>
      </c>
      <c r="D1066" s="13">
        <v>100.5</v>
      </c>
      <c r="E1066" s="14">
        <v>88.5</v>
      </c>
      <c r="F1066" s="15" t="s">
        <v>8</v>
      </c>
    </row>
    <row r="1067" spans="1:6" ht="17.100000000000001" customHeight="1">
      <c r="A1067" s="11" t="s">
        <v>1073</v>
      </c>
      <c r="B1067" s="12">
        <v>202303045</v>
      </c>
      <c r="C1067" s="12" t="str">
        <f>"202303036015"</f>
        <v>202303036015</v>
      </c>
      <c r="D1067" s="13">
        <v>89.9</v>
      </c>
      <c r="E1067" s="14">
        <v>94</v>
      </c>
      <c r="F1067" s="15" t="s">
        <v>8</v>
      </c>
    </row>
    <row r="1068" spans="1:6" ht="17.100000000000001" customHeight="1">
      <c r="A1068" s="11" t="s">
        <v>1074</v>
      </c>
      <c r="B1068" s="12">
        <v>202303045</v>
      </c>
      <c r="C1068" s="12" t="str">
        <f>"202303036016"</f>
        <v>202303036016</v>
      </c>
      <c r="D1068" s="13">
        <v>75.2</v>
      </c>
      <c r="E1068" s="14">
        <v>91.5</v>
      </c>
      <c r="F1068" s="15" t="s">
        <v>8</v>
      </c>
    </row>
    <row r="1069" spans="1:6" ht="17.100000000000001" customHeight="1">
      <c r="A1069" s="11" t="s">
        <v>1075</v>
      </c>
      <c r="B1069" s="12">
        <v>202303045</v>
      </c>
      <c r="C1069" s="12" t="str">
        <f>"202303036017"</f>
        <v>202303036017</v>
      </c>
      <c r="D1069" s="13">
        <v>76.5</v>
      </c>
      <c r="E1069" s="14">
        <v>83</v>
      </c>
      <c r="F1069" s="15" t="s">
        <v>8</v>
      </c>
    </row>
    <row r="1070" spans="1:6" ht="17.100000000000001" customHeight="1">
      <c r="A1070" s="11" t="s">
        <v>1076</v>
      </c>
      <c r="B1070" s="12">
        <v>202303045</v>
      </c>
      <c r="C1070" s="12" t="str">
        <f>"202303036018"</f>
        <v>202303036018</v>
      </c>
      <c r="D1070" s="13">
        <v>88.2</v>
      </c>
      <c r="E1070" s="14">
        <v>93.5</v>
      </c>
      <c r="F1070" s="15" t="s">
        <v>8</v>
      </c>
    </row>
    <row r="1071" spans="1:6" ht="17.100000000000001" customHeight="1">
      <c r="A1071" s="11" t="s">
        <v>1077</v>
      </c>
      <c r="B1071" s="12">
        <v>202303045</v>
      </c>
      <c r="C1071" s="12" t="str">
        <f>"202303036019"</f>
        <v>202303036019</v>
      </c>
      <c r="D1071" s="13">
        <v>111.6</v>
      </c>
      <c r="E1071" s="14">
        <v>81.5</v>
      </c>
      <c r="F1071" s="15" t="s">
        <v>8</v>
      </c>
    </row>
    <row r="1072" spans="1:6" ht="17.100000000000001" customHeight="1">
      <c r="A1072" s="11" t="s">
        <v>1078</v>
      </c>
      <c r="B1072" s="12">
        <v>202303045</v>
      </c>
      <c r="C1072" s="12" t="str">
        <f>"202303036020"</f>
        <v>202303036020</v>
      </c>
      <c r="D1072" s="13">
        <v>92.3</v>
      </c>
      <c r="E1072" s="14">
        <v>93.5</v>
      </c>
      <c r="F1072" s="15" t="s">
        <v>8</v>
      </c>
    </row>
    <row r="1073" spans="1:6" ht="17.100000000000001" customHeight="1">
      <c r="A1073" s="11" t="s">
        <v>1079</v>
      </c>
      <c r="B1073" s="12">
        <v>202303045</v>
      </c>
      <c r="C1073" s="12" t="str">
        <f>"202303036021"</f>
        <v>202303036021</v>
      </c>
      <c r="D1073" s="13">
        <v>90.9</v>
      </c>
      <c r="E1073" s="14">
        <v>98</v>
      </c>
      <c r="F1073" s="15" t="s">
        <v>8</v>
      </c>
    </row>
    <row r="1074" spans="1:6" ht="17.100000000000001" customHeight="1">
      <c r="A1074" s="11" t="s">
        <v>1080</v>
      </c>
      <c r="B1074" s="12">
        <v>202303045</v>
      </c>
      <c r="C1074" s="12" t="str">
        <f>"202303036022"</f>
        <v>202303036022</v>
      </c>
      <c r="D1074" s="13">
        <v>87.7</v>
      </c>
      <c r="E1074" s="14">
        <v>106</v>
      </c>
      <c r="F1074" s="15" t="s">
        <v>8</v>
      </c>
    </row>
    <row r="1075" spans="1:6" ht="17.100000000000001" customHeight="1">
      <c r="A1075" s="11" t="s">
        <v>1081</v>
      </c>
      <c r="B1075" s="12">
        <v>202303045</v>
      </c>
      <c r="C1075" s="12" t="str">
        <f>"202303036023"</f>
        <v>202303036023</v>
      </c>
      <c r="D1075" s="13">
        <v>0</v>
      </c>
      <c r="E1075" s="14">
        <v>0</v>
      </c>
      <c r="F1075" s="15" t="s">
        <v>12</v>
      </c>
    </row>
    <row r="1076" spans="1:6" ht="17.100000000000001" customHeight="1">
      <c r="A1076" s="11" t="s">
        <v>1082</v>
      </c>
      <c r="B1076" s="12">
        <v>202303045</v>
      </c>
      <c r="C1076" s="12" t="str">
        <f>"202303036024"</f>
        <v>202303036024</v>
      </c>
      <c r="D1076" s="13">
        <v>104.4</v>
      </c>
      <c r="E1076" s="14">
        <v>100.5</v>
      </c>
      <c r="F1076" s="15" t="s">
        <v>8</v>
      </c>
    </row>
    <row r="1077" spans="1:6" ht="17.100000000000001" customHeight="1">
      <c r="A1077" s="11" t="s">
        <v>1083</v>
      </c>
      <c r="B1077" s="12">
        <v>202303045</v>
      </c>
      <c r="C1077" s="12" t="str">
        <f>"202303036025"</f>
        <v>202303036025</v>
      </c>
      <c r="D1077" s="13">
        <v>0</v>
      </c>
      <c r="E1077" s="14">
        <v>0</v>
      </c>
      <c r="F1077" s="15" t="s">
        <v>12</v>
      </c>
    </row>
    <row r="1078" spans="1:6" ht="17.100000000000001" customHeight="1">
      <c r="A1078" s="11" t="s">
        <v>1084</v>
      </c>
      <c r="B1078" s="12">
        <v>202303045</v>
      </c>
      <c r="C1078" s="12" t="str">
        <f>"202303036026"</f>
        <v>202303036026</v>
      </c>
      <c r="D1078" s="13">
        <v>72.900000000000006</v>
      </c>
      <c r="E1078" s="14">
        <v>71.5</v>
      </c>
      <c r="F1078" s="15" t="s">
        <v>8</v>
      </c>
    </row>
    <row r="1079" spans="1:6" ht="17.100000000000001" customHeight="1">
      <c r="A1079" s="11" t="s">
        <v>1085</v>
      </c>
      <c r="B1079" s="12">
        <v>202303045</v>
      </c>
      <c r="C1079" s="12" t="str">
        <f>"202303036027"</f>
        <v>202303036027</v>
      </c>
      <c r="D1079" s="13">
        <v>0</v>
      </c>
      <c r="E1079" s="14">
        <v>0</v>
      </c>
      <c r="F1079" s="15" t="s">
        <v>12</v>
      </c>
    </row>
    <row r="1080" spans="1:6" ht="17.100000000000001" customHeight="1">
      <c r="A1080" s="11" t="s">
        <v>1086</v>
      </c>
      <c r="B1080" s="12">
        <v>202303045</v>
      </c>
      <c r="C1080" s="12" t="str">
        <f>"202303036028"</f>
        <v>202303036028</v>
      </c>
      <c r="D1080" s="13">
        <v>0</v>
      </c>
      <c r="E1080" s="14">
        <v>0</v>
      </c>
      <c r="F1080" s="15" t="s">
        <v>12</v>
      </c>
    </row>
    <row r="1081" spans="1:6" ht="17.100000000000001" customHeight="1">
      <c r="A1081" s="11" t="s">
        <v>1087</v>
      </c>
      <c r="B1081" s="12">
        <v>202303045</v>
      </c>
      <c r="C1081" s="12" t="str">
        <f>"202303036029"</f>
        <v>202303036029</v>
      </c>
      <c r="D1081" s="13">
        <v>0</v>
      </c>
      <c r="E1081" s="14">
        <v>0</v>
      </c>
      <c r="F1081" s="15" t="s">
        <v>12</v>
      </c>
    </row>
    <row r="1082" spans="1:6" ht="17.100000000000001" customHeight="1">
      <c r="A1082" s="11" t="s">
        <v>1088</v>
      </c>
      <c r="B1082" s="12">
        <v>202303045</v>
      </c>
      <c r="C1082" s="12" t="str">
        <f>"202303036030"</f>
        <v>202303036030</v>
      </c>
      <c r="D1082" s="13">
        <v>97.6</v>
      </c>
      <c r="E1082" s="14">
        <v>99.5</v>
      </c>
      <c r="F1082" s="15" t="s">
        <v>8</v>
      </c>
    </row>
    <row r="1083" spans="1:6" ht="17.100000000000001" customHeight="1">
      <c r="A1083" s="11" t="s">
        <v>1089</v>
      </c>
      <c r="B1083" s="12">
        <v>202303045</v>
      </c>
      <c r="C1083" s="12" t="str">
        <f>"202303037001"</f>
        <v>202303037001</v>
      </c>
      <c r="D1083" s="13">
        <v>85.2</v>
      </c>
      <c r="E1083" s="14">
        <v>100.5</v>
      </c>
      <c r="F1083" s="15" t="s">
        <v>8</v>
      </c>
    </row>
    <row r="1084" spans="1:6" ht="17.100000000000001" customHeight="1">
      <c r="A1084" s="11" t="s">
        <v>1090</v>
      </c>
      <c r="B1084" s="12">
        <v>202303045</v>
      </c>
      <c r="C1084" s="12" t="str">
        <f>"202303037002"</f>
        <v>202303037002</v>
      </c>
      <c r="D1084" s="13">
        <v>83.2</v>
      </c>
      <c r="E1084" s="14">
        <v>96.5</v>
      </c>
      <c r="F1084" s="15" t="s">
        <v>8</v>
      </c>
    </row>
    <row r="1085" spans="1:6" ht="17.100000000000001" customHeight="1">
      <c r="A1085" s="11" t="s">
        <v>1091</v>
      </c>
      <c r="B1085" s="12">
        <v>202303045</v>
      </c>
      <c r="C1085" s="12" t="str">
        <f>"202303037003"</f>
        <v>202303037003</v>
      </c>
      <c r="D1085" s="13">
        <v>96.7</v>
      </c>
      <c r="E1085" s="14">
        <v>97.5</v>
      </c>
      <c r="F1085" s="15" t="s">
        <v>8</v>
      </c>
    </row>
    <row r="1086" spans="1:6" ht="17.100000000000001" customHeight="1">
      <c r="A1086" s="11" t="s">
        <v>1092</v>
      </c>
      <c r="B1086" s="12">
        <v>202303045</v>
      </c>
      <c r="C1086" s="12" t="str">
        <f>"202303037004"</f>
        <v>202303037004</v>
      </c>
      <c r="D1086" s="13">
        <v>97.2</v>
      </c>
      <c r="E1086" s="14">
        <v>99.5</v>
      </c>
      <c r="F1086" s="15" t="s">
        <v>8</v>
      </c>
    </row>
    <row r="1087" spans="1:6" ht="17.100000000000001" customHeight="1">
      <c r="A1087" s="11" t="s">
        <v>1093</v>
      </c>
      <c r="B1087" s="12">
        <v>202303046</v>
      </c>
      <c r="C1087" s="12" t="str">
        <f>"202303037005"</f>
        <v>202303037005</v>
      </c>
      <c r="D1087" s="13">
        <v>89</v>
      </c>
      <c r="E1087" s="14">
        <v>100.5</v>
      </c>
      <c r="F1087" s="15" t="s">
        <v>8</v>
      </c>
    </row>
    <row r="1088" spans="1:6" ht="17.100000000000001" customHeight="1">
      <c r="A1088" s="11" t="s">
        <v>1094</v>
      </c>
      <c r="B1088" s="12">
        <v>202303046</v>
      </c>
      <c r="C1088" s="12" t="str">
        <f>"202303037006"</f>
        <v>202303037006</v>
      </c>
      <c r="D1088" s="13">
        <v>71.2</v>
      </c>
      <c r="E1088" s="14">
        <v>109.5</v>
      </c>
      <c r="F1088" s="15" t="s">
        <v>8</v>
      </c>
    </row>
    <row r="1089" spans="1:6" ht="17.100000000000001" customHeight="1">
      <c r="A1089" s="11" t="s">
        <v>1095</v>
      </c>
      <c r="B1089" s="12">
        <v>202303046</v>
      </c>
      <c r="C1089" s="12" t="str">
        <f>"202303037007"</f>
        <v>202303037007</v>
      </c>
      <c r="D1089" s="13">
        <v>80.099999999999994</v>
      </c>
      <c r="E1089" s="14">
        <v>98.5</v>
      </c>
      <c r="F1089" s="15" t="s">
        <v>8</v>
      </c>
    </row>
    <row r="1090" spans="1:6" ht="17.100000000000001" customHeight="1">
      <c r="A1090" s="11" t="s">
        <v>1096</v>
      </c>
      <c r="B1090" s="12">
        <v>202303046</v>
      </c>
      <c r="C1090" s="12" t="str">
        <f>"202303037008"</f>
        <v>202303037008</v>
      </c>
      <c r="D1090" s="13">
        <v>0</v>
      </c>
      <c r="E1090" s="14">
        <v>0</v>
      </c>
      <c r="F1090" s="15" t="s">
        <v>12</v>
      </c>
    </row>
    <row r="1091" spans="1:6" ht="17.100000000000001" customHeight="1">
      <c r="A1091" s="11" t="s">
        <v>1097</v>
      </c>
      <c r="B1091" s="12">
        <v>202303046</v>
      </c>
      <c r="C1091" s="12" t="str">
        <f>"202303037009"</f>
        <v>202303037009</v>
      </c>
      <c r="D1091" s="13">
        <v>0</v>
      </c>
      <c r="E1091" s="14">
        <v>0</v>
      </c>
      <c r="F1091" s="15" t="s">
        <v>12</v>
      </c>
    </row>
    <row r="1092" spans="1:6" ht="17.100000000000001" customHeight="1">
      <c r="A1092" s="11" t="s">
        <v>1098</v>
      </c>
      <c r="B1092" s="12">
        <v>202303046</v>
      </c>
      <c r="C1092" s="12" t="str">
        <f>"202303037010"</f>
        <v>202303037010</v>
      </c>
      <c r="D1092" s="13">
        <v>95.7</v>
      </c>
      <c r="E1092" s="14">
        <v>98.5</v>
      </c>
      <c r="F1092" s="15" t="s">
        <v>8</v>
      </c>
    </row>
    <row r="1093" spans="1:6" ht="17.100000000000001" customHeight="1">
      <c r="A1093" s="11" t="s">
        <v>1099</v>
      </c>
      <c r="B1093" s="12">
        <v>202303046</v>
      </c>
      <c r="C1093" s="12" t="str">
        <f>"202303037011"</f>
        <v>202303037011</v>
      </c>
      <c r="D1093" s="13">
        <v>84.1</v>
      </c>
      <c r="E1093" s="14">
        <v>98</v>
      </c>
      <c r="F1093" s="15" t="s">
        <v>8</v>
      </c>
    </row>
    <row r="1094" spans="1:6" ht="17.100000000000001" customHeight="1">
      <c r="A1094" s="11" t="s">
        <v>1100</v>
      </c>
      <c r="B1094" s="12">
        <v>202303046</v>
      </c>
      <c r="C1094" s="12" t="str">
        <f>"202303037012"</f>
        <v>202303037012</v>
      </c>
      <c r="D1094" s="13">
        <v>0</v>
      </c>
      <c r="E1094" s="14">
        <v>0</v>
      </c>
      <c r="F1094" s="15" t="s">
        <v>12</v>
      </c>
    </row>
    <row r="1095" spans="1:6" ht="17.100000000000001" customHeight="1">
      <c r="A1095" s="11" t="s">
        <v>1101</v>
      </c>
      <c r="B1095" s="12">
        <v>202303046</v>
      </c>
      <c r="C1095" s="12" t="str">
        <f>"202303037013"</f>
        <v>202303037013</v>
      </c>
      <c r="D1095" s="13">
        <v>93.8</v>
      </c>
      <c r="E1095" s="14">
        <v>97.5</v>
      </c>
      <c r="F1095" s="15" t="s">
        <v>8</v>
      </c>
    </row>
    <row r="1096" spans="1:6" ht="17.100000000000001" customHeight="1">
      <c r="A1096" s="11" t="s">
        <v>1102</v>
      </c>
      <c r="B1096" s="12">
        <v>202303046</v>
      </c>
      <c r="C1096" s="12" t="str">
        <f>"202303037014"</f>
        <v>202303037014</v>
      </c>
      <c r="D1096" s="13">
        <v>70.2</v>
      </c>
      <c r="E1096" s="14">
        <v>107</v>
      </c>
      <c r="F1096" s="15" t="s">
        <v>8</v>
      </c>
    </row>
    <row r="1097" spans="1:6" ht="17.100000000000001" customHeight="1">
      <c r="A1097" s="11" t="s">
        <v>1103</v>
      </c>
      <c r="B1097" s="12">
        <v>202303046</v>
      </c>
      <c r="C1097" s="12" t="str">
        <f>"202303037015"</f>
        <v>202303037015</v>
      </c>
      <c r="D1097" s="13">
        <v>96.9</v>
      </c>
      <c r="E1097" s="14">
        <v>94.5</v>
      </c>
      <c r="F1097" s="15" t="s">
        <v>8</v>
      </c>
    </row>
    <row r="1098" spans="1:6" ht="17.100000000000001" customHeight="1">
      <c r="A1098" s="11" t="s">
        <v>1104</v>
      </c>
      <c r="B1098" s="12">
        <v>202303046</v>
      </c>
      <c r="C1098" s="12" t="str">
        <f>"202303037016"</f>
        <v>202303037016</v>
      </c>
      <c r="D1098" s="13">
        <v>83</v>
      </c>
      <c r="E1098" s="14">
        <v>110</v>
      </c>
      <c r="F1098" s="15" t="s">
        <v>8</v>
      </c>
    </row>
    <row r="1099" spans="1:6" ht="17.100000000000001" customHeight="1">
      <c r="A1099" s="11" t="s">
        <v>1105</v>
      </c>
      <c r="B1099" s="12">
        <v>202303046</v>
      </c>
      <c r="C1099" s="12" t="str">
        <f>"202303037017"</f>
        <v>202303037017</v>
      </c>
      <c r="D1099" s="13">
        <v>87.6</v>
      </c>
      <c r="E1099" s="14">
        <v>100.5</v>
      </c>
      <c r="F1099" s="15" t="s">
        <v>8</v>
      </c>
    </row>
    <row r="1100" spans="1:6" ht="17.100000000000001" customHeight="1">
      <c r="A1100" s="11" t="s">
        <v>1106</v>
      </c>
      <c r="B1100" s="12">
        <v>202303046</v>
      </c>
      <c r="C1100" s="12" t="str">
        <f>"202303037018"</f>
        <v>202303037018</v>
      </c>
      <c r="D1100" s="13">
        <v>101.3</v>
      </c>
      <c r="E1100" s="14">
        <v>100.5</v>
      </c>
      <c r="F1100" s="15" t="s">
        <v>8</v>
      </c>
    </row>
    <row r="1101" spans="1:6" ht="17.100000000000001" customHeight="1">
      <c r="A1101" s="11" t="s">
        <v>1107</v>
      </c>
      <c r="B1101" s="12">
        <v>202303046</v>
      </c>
      <c r="C1101" s="12" t="str">
        <f>"202303037019"</f>
        <v>202303037019</v>
      </c>
      <c r="D1101" s="13">
        <v>0</v>
      </c>
      <c r="E1101" s="14">
        <v>0</v>
      </c>
      <c r="F1101" s="15" t="s">
        <v>12</v>
      </c>
    </row>
    <row r="1102" spans="1:6" ht="17.100000000000001" customHeight="1">
      <c r="A1102" s="11" t="s">
        <v>1108</v>
      </c>
      <c r="B1102" s="12">
        <v>202303046</v>
      </c>
      <c r="C1102" s="12" t="str">
        <f>"202303037020"</f>
        <v>202303037020</v>
      </c>
      <c r="D1102" s="13">
        <v>0</v>
      </c>
      <c r="E1102" s="14">
        <v>0</v>
      </c>
      <c r="F1102" s="15" t="s">
        <v>12</v>
      </c>
    </row>
    <row r="1103" spans="1:6" ht="17.100000000000001" customHeight="1">
      <c r="A1103" s="11" t="s">
        <v>1109</v>
      </c>
      <c r="B1103" s="12">
        <v>202303046</v>
      </c>
      <c r="C1103" s="12" t="str">
        <f>"202303037021"</f>
        <v>202303037021</v>
      </c>
      <c r="D1103" s="13">
        <v>0</v>
      </c>
      <c r="E1103" s="14">
        <v>0</v>
      </c>
      <c r="F1103" s="15" t="s">
        <v>12</v>
      </c>
    </row>
    <row r="1104" spans="1:6" ht="17.100000000000001" customHeight="1">
      <c r="A1104" s="11" t="s">
        <v>1110</v>
      </c>
      <c r="B1104" s="12">
        <v>202303046</v>
      </c>
      <c r="C1104" s="12" t="str">
        <f>"202303037022"</f>
        <v>202303037022</v>
      </c>
      <c r="D1104" s="13">
        <v>86.8</v>
      </c>
      <c r="E1104" s="14">
        <v>88</v>
      </c>
      <c r="F1104" s="15" t="s">
        <v>8</v>
      </c>
    </row>
    <row r="1105" spans="1:6" ht="17.100000000000001" customHeight="1">
      <c r="A1105" s="11" t="s">
        <v>1111</v>
      </c>
      <c r="B1105" s="12">
        <v>202303046</v>
      </c>
      <c r="C1105" s="12" t="str">
        <f>"202303037023"</f>
        <v>202303037023</v>
      </c>
      <c r="D1105" s="13">
        <v>0</v>
      </c>
      <c r="E1105" s="14">
        <v>0</v>
      </c>
      <c r="F1105" s="15" t="s">
        <v>12</v>
      </c>
    </row>
    <row r="1106" spans="1:6" ht="17.100000000000001" customHeight="1">
      <c r="A1106" s="11" t="s">
        <v>1112</v>
      </c>
      <c r="B1106" s="12">
        <v>202303046</v>
      </c>
      <c r="C1106" s="12" t="str">
        <f>"202303037024"</f>
        <v>202303037024</v>
      </c>
      <c r="D1106" s="13">
        <v>81.400000000000006</v>
      </c>
      <c r="E1106" s="14">
        <v>98.5</v>
      </c>
      <c r="F1106" s="15" t="s">
        <v>8</v>
      </c>
    </row>
    <row r="1107" spans="1:6" ht="17.100000000000001" customHeight="1">
      <c r="A1107" s="11" t="s">
        <v>1113</v>
      </c>
      <c r="B1107" s="12">
        <v>202303046</v>
      </c>
      <c r="C1107" s="12" t="str">
        <f>"202303037025"</f>
        <v>202303037025</v>
      </c>
      <c r="D1107" s="13">
        <v>85.4</v>
      </c>
      <c r="E1107" s="14">
        <v>81</v>
      </c>
      <c r="F1107" s="15" t="s">
        <v>8</v>
      </c>
    </row>
    <row r="1108" spans="1:6" ht="17.100000000000001" customHeight="1">
      <c r="A1108" s="11" t="s">
        <v>1114</v>
      </c>
      <c r="B1108" s="12">
        <v>202303046</v>
      </c>
      <c r="C1108" s="12" t="str">
        <f>"202303037026"</f>
        <v>202303037026</v>
      </c>
      <c r="D1108" s="13">
        <v>81.2</v>
      </c>
      <c r="E1108" s="14">
        <v>99</v>
      </c>
      <c r="F1108" s="15" t="s">
        <v>8</v>
      </c>
    </row>
    <row r="1109" spans="1:6" ht="17.100000000000001" customHeight="1">
      <c r="A1109" s="11" t="s">
        <v>1115</v>
      </c>
      <c r="B1109" s="12">
        <v>202303046</v>
      </c>
      <c r="C1109" s="12" t="str">
        <f>"202303037027"</f>
        <v>202303037027</v>
      </c>
      <c r="D1109" s="13">
        <v>87.4</v>
      </c>
      <c r="E1109" s="14">
        <v>91</v>
      </c>
      <c r="F1109" s="15" t="s">
        <v>8</v>
      </c>
    </row>
    <row r="1110" spans="1:6" ht="17.100000000000001" customHeight="1">
      <c r="A1110" s="11" t="s">
        <v>1116</v>
      </c>
      <c r="B1110" s="12">
        <v>202303046</v>
      </c>
      <c r="C1110" s="12" t="str">
        <f>"202303037028"</f>
        <v>202303037028</v>
      </c>
      <c r="D1110" s="13">
        <v>94.5</v>
      </c>
      <c r="E1110" s="14">
        <v>83</v>
      </c>
      <c r="F1110" s="15" t="s">
        <v>8</v>
      </c>
    </row>
    <row r="1111" spans="1:6" ht="17.100000000000001" customHeight="1">
      <c r="A1111" s="11" t="s">
        <v>1117</v>
      </c>
      <c r="B1111" s="12">
        <v>202303046</v>
      </c>
      <c r="C1111" s="12" t="str">
        <f>"202303037029"</f>
        <v>202303037029</v>
      </c>
      <c r="D1111" s="13">
        <v>87.5</v>
      </c>
      <c r="E1111" s="14">
        <v>105</v>
      </c>
      <c r="F1111" s="15" t="s">
        <v>8</v>
      </c>
    </row>
    <row r="1112" spans="1:6" ht="17.100000000000001" customHeight="1">
      <c r="A1112" s="11" t="s">
        <v>1118</v>
      </c>
      <c r="B1112" s="12">
        <v>202303046</v>
      </c>
      <c r="C1112" s="12" t="str">
        <f>"202303037030"</f>
        <v>202303037030</v>
      </c>
      <c r="D1112" s="13">
        <v>0</v>
      </c>
      <c r="E1112" s="14">
        <v>0</v>
      </c>
      <c r="F1112" s="15" t="s">
        <v>12</v>
      </c>
    </row>
    <row r="1113" spans="1:6" ht="17.100000000000001" customHeight="1">
      <c r="A1113" s="11" t="s">
        <v>1119</v>
      </c>
      <c r="B1113" s="12">
        <v>202303046</v>
      </c>
      <c r="C1113" s="12" t="str">
        <f>"202303038001"</f>
        <v>202303038001</v>
      </c>
      <c r="D1113" s="13">
        <v>80.099999999999994</v>
      </c>
      <c r="E1113" s="14">
        <v>95.5</v>
      </c>
      <c r="F1113" s="15" t="s">
        <v>8</v>
      </c>
    </row>
    <row r="1114" spans="1:6" ht="17.100000000000001" customHeight="1">
      <c r="A1114" s="11" t="s">
        <v>1120</v>
      </c>
      <c r="B1114" s="12">
        <v>202303046</v>
      </c>
      <c r="C1114" s="12" t="str">
        <f>"202303038002"</f>
        <v>202303038002</v>
      </c>
      <c r="D1114" s="13">
        <v>95.8</v>
      </c>
      <c r="E1114" s="14">
        <v>93.5</v>
      </c>
      <c r="F1114" s="15" t="s">
        <v>8</v>
      </c>
    </row>
    <row r="1115" spans="1:6" ht="17.100000000000001" customHeight="1">
      <c r="A1115" s="11" t="s">
        <v>1121</v>
      </c>
      <c r="B1115" s="12">
        <v>202303046</v>
      </c>
      <c r="C1115" s="12" t="str">
        <f>"202303038003"</f>
        <v>202303038003</v>
      </c>
      <c r="D1115" s="13">
        <v>97.8</v>
      </c>
      <c r="E1115" s="14">
        <v>101.5</v>
      </c>
      <c r="F1115" s="15" t="s">
        <v>8</v>
      </c>
    </row>
    <row r="1116" spans="1:6" ht="17.100000000000001" customHeight="1">
      <c r="A1116" s="11" t="s">
        <v>1122</v>
      </c>
      <c r="B1116" s="12">
        <v>202303046</v>
      </c>
      <c r="C1116" s="12" t="str">
        <f>"202303038004"</f>
        <v>202303038004</v>
      </c>
      <c r="D1116" s="13">
        <v>0</v>
      </c>
      <c r="E1116" s="14">
        <v>0</v>
      </c>
      <c r="F1116" s="15" t="s">
        <v>12</v>
      </c>
    </row>
    <row r="1117" spans="1:6" ht="17.100000000000001" customHeight="1">
      <c r="A1117" s="11" t="s">
        <v>1123</v>
      </c>
      <c r="B1117" s="12">
        <v>202303047</v>
      </c>
      <c r="C1117" s="12" t="str">
        <f>"202303038005"</f>
        <v>202303038005</v>
      </c>
      <c r="D1117" s="13">
        <v>90.8</v>
      </c>
      <c r="E1117" s="14">
        <v>83.5</v>
      </c>
      <c r="F1117" s="15" t="s">
        <v>8</v>
      </c>
    </row>
    <row r="1118" spans="1:6" ht="17.100000000000001" customHeight="1">
      <c r="A1118" s="11" t="s">
        <v>1124</v>
      </c>
      <c r="B1118" s="12">
        <v>202303047</v>
      </c>
      <c r="C1118" s="12" t="str">
        <f>"202303038006"</f>
        <v>202303038006</v>
      </c>
      <c r="D1118" s="13">
        <v>89.9</v>
      </c>
      <c r="E1118" s="14">
        <v>95.5</v>
      </c>
      <c r="F1118" s="15" t="s">
        <v>8</v>
      </c>
    </row>
    <row r="1119" spans="1:6" ht="17.100000000000001" customHeight="1">
      <c r="A1119" s="11" t="s">
        <v>1125</v>
      </c>
      <c r="B1119" s="12">
        <v>202303047</v>
      </c>
      <c r="C1119" s="12" t="str">
        <f>"202303038007"</f>
        <v>202303038007</v>
      </c>
      <c r="D1119" s="13">
        <v>0</v>
      </c>
      <c r="E1119" s="14">
        <v>0</v>
      </c>
      <c r="F1119" s="15" t="s">
        <v>12</v>
      </c>
    </row>
    <row r="1120" spans="1:6" ht="17.100000000000001" customHeight="1">
      <c r="A1120" s="11" t="s">
        <v>1126</v>
      </c>
      <c r="B1120" s="12">
        <v>202303047</v>
      </c>
      <c r="C1120" s="12" t="str">
        <f>"202303038008"</f>
        <v>202303038008</v>
      </c>
      <c r="D1120" s="13">
        <v>97.2</v>
      </c>
      <c r="E1120" s="14">
        <v>95.5</v>
      </c>
      <c r="F1120" s="15" t="s">
        <v>8</v>
      </c>
    </row>
    <row r="1121" spans="1:6" ht="17.100000000000001" customHeight="1">
      <c r="A1121" s="11" t="s">
        <v>1127</v>
      </c>
      <c r="B1121" s="12">
        <v>202303047</v>
      </c>
      <c r="C1121" s="12" t="str">
        <f>"202303038009"</f>
        <v>202303038009</v>
      </c>
      <c r="D1121" s="13">
        <v>96.3</v>
      </c>
      <c r="E1121" s="14">
        <v>109.5</v>
      </c>
      <c r="F1121" s="15" t="s">
        <v>8</v>
      </c>
    </row>
    <row r="1122" spans="1:6" ht="17.100000000000001" customHeight="1">
      <c r="A1122" s="11" t="s">
        <v>1128</v>
      </c>
      <c r="B1122" s="12">
        <v>202303047</v>
      </c>
      <c r="C1122" s="12" t="str">
        <f>"202303038010"</f>
        <v>202303038010</v>
      </c>
      <c r="D1122" s="13">
        <v>0</v>
      </c>
      <c r="E1122" s="14">
        <v>0</v>
      </c>
      <c r="F1122" s="15" t="s">
        <v>12</v>
      </c>
    </row>
    <row r="1123" spans="1:6" ht="17.100000000000001" customHeight="1">
      <c r="A1123" s="11" t="s">
        <v>1129</v>
      </c>
      <c r="B1123" s="12">
        <v>202303047</v>
      </c>
      <c r="C1123" s="12" t="str">
        <f>"202303038011"</f>
        <v>202303038011</v>
      </c>
      <c r="D1123" s="13">
        <v>89.7</v>
      </c>
      <c r="E1123" s="14">
        <v>100.5</v>
      </c>
      <c r="F1123" s="15" t="s">
        <v>8</v>
      </c>
    </row>
    <row r="1124" spans="1:6" ht="17.100000000000001" customHeight="1">
      <c r="A1124" s="11" t="s">
        <v>1130</v>
      </c>
      <c r="B1124" s="12">
        <v>202303047</v>
      </c>
      <c r="C1124" s="12" t="str">
        <f>"202303038012"</f>
        <v>202303038012</v>
      </c>
      <c r="D1124" s="13">
        <v>89.9</v>
      </c>
      <c r="E1124" s="14">
        <v>109.5</v>
      </c>
      <c r="F1124" s="15" t="s">
        <v>8</v>
      </c>
    </row>
    <row r="1125" spans="1:6" ht="17.100000000000001" customHeight="1">
      <c r="A1125" s="11" t="s">
        <v>1131</v>
      </c>
      <c r="B1125" s="12">
        <v>202303047</v>
      </c>
      <c r="C1125" s="12" t="str">
        <f>"202303038013"</f>
        <v>202303038013</v>
      </c>
      <c r="D1125" s="13">
        <v>75</v>
      </c>
      <c r="E1125" s="14">
        <v>109.5</v>
      </c>
      <c r="F1125" s="15" t="s">
        <v>8</v>
      </c>
    </row>
    <row r="1126" spans="1:6" ht="17.100000000000001" customHeight="1">
      <c r="A1126" s="11" t="s">
        <v>1132</v>
      </c>
      <c r="B1126" s="12">
        <v>202303047</v>
      </c>
      <c r="C1126" s="12" t="str">
        <f>"202303038014"</f>
        <v>202303038014</v>
      </c>
      <c r="D1126" s="13">
        <v>0</v>
      </c>
      <c r="E1126" s="14">
        <v>0</v>
      </c>
      <c r="F1126" s="15" t="s">
        <v>12</v>
      </c>
    </row>
    <row r="1127" spans="1:6" ht="17.100000000000001" customHeight="1">
      <c r="A1127" s="11" t="s">
        <v>1133</v>
      </c>
      <c r="B1127" s="12">
        <v>202303047</v>
      </c>
      <c r="C1127" s="12" t="str">
        <f>"202303038015"</f>
        <v>202303038015</v>
      </c>
      <c r="D1127" s="13">
        <v>93.6</v>
      </c>
      <c r="E1127" s="14">
        <v>99.5</v>
      </c>
      <c r="F1127" s="15" t="s">
        <v>8</v>
      </c>
    </row>
    <row r="1128" spans="1:6" ht="17.100000000000001" customHeight="1">
      <c r="A1128" s="11" t="s">
        <v>1134</v>
      </c>
      <c r="B1128" s="12">
        <v>202303047</v>
      </c>
      <c r="C1128" s="12" t="str">
        <f>"202303038016"</f>
        <v>202303038016</v>
      </c>
      <c r="D1128" s="13">
        <v>106.4</v>
      </c>
      <c r="E1128" s="14">
        <v>102.5</v>
      </c>
      <c r="F1128" s="15" t="s">
        <v>8</v>
      </c>
    </row>
    <row r="1129" spans="1:6" ht="17.100000000000001" customHeight="1">
      <c r="A1129" s="11" t="s">
        <v>1135</v>
      </c>
      <c r="B1129" s="12">
        <v>202303047</v>
      </c>
      <c r="C1129" s="12" t="str">
        <f>"202303038017"</f>
        <v>202303038017</v>
      </c>
      <c r="D1129" s="13">
        <v>89.5</v>
      </c>
      <c r="E1129" s="14">
        <v>102.5</v>
      </c>
      <c r="F1129" s="15" t="s">
        <v>8</v>
      </c>
    </row>
    <row r="1130" spans="1:6" ht="17.100000000000001" customHeight="1">
      <c r="A1130" s="11" t="s">
        <v>1136</v>
      </c>
      <c r="B1130" s="12">
        <v>202303047</v>
      </c>
      <c r="C1130" s="12" t="str">
        <f>"202303038018"</f>
        <v>202303038018</v>
      </c>
      <c r="D1130" s="13">
        <v>68.099999999999994</v>
      </c>
      <c r="E1130" s="14">
        <v>97.5</v>
      </c>
      <c r="F1130" s="15" t="s">
        <v>8</v>
      </c>
    </row>
    <row r="1131" spans="1:6" ht="17.100000000000001" customHeight="1">
      <c r="A1131" s="11" t="s">
        <v>1137</v>
      </c>
      <c r="B1131" s="12">
        <v>202303047</v>
      </c>
      <c r="C1131" s="12" t="str">
        <f>"202303038019"</f>
        <v>202303038019</v>
      </c>
      <c r="D1131" s="13">
        <v>90.5</v>
      </c>
      <c r="E1131" s="14">
        <v>103.5</v>
      </c>
      <c r="F1131" s="15" t="s">
        <v>8</v>
      </c>
    </row>
    <row r="1132" spans="1:6" ht="17.100000000000001" customHeight="1">
      <c r="A1132" s="11" t="s">
        <v>1138</v>
      </c>
      <c r="B1132" s="12">
        <v>202303047</v>
      </c>
      <c r="C1132" s="12" t="str">
        <f>"202303038020"</f>
        <v>202303038020</v>
      </c>
      <c r="D1132" s="13">
        <v>0</v>
      </c>
      <c r="E1132" s="14">
        <v>0</v>
      </c>
      <c r="F1132" s="15" t="s">
        <v>12</v>
      </c>
    </row>
    <row r="1133" spans="1:6" ht="17.100000000000001" customHeight="1">
      <c r="A1133" s="11" t="s">
        <v>1139</v>
      </c>
      <c r="B1133" s="12">
        <v>202303047</v>
      </c>
      <c r="C1133" s="12" t="str">
        <f>"202303038021"</f>
        <v>202303038021</v>
      </c>
      <c r="D1133" s="13">
        <v>82.9</v>
      </c>
      <c r="E1133" s="14">
        <v>87.5</v>
      </c>
      <c r="F1133" s="15" t="s">
        <v>8</v>
      </c>
    </row>
    <row r="1134" spans="1:6" ht="17.100000000000001" customHeight="1">
      <c r="A1134" s="11" t="s">
        <v>1140</v>
      </c>
      <c r="B1134" s="12">
        <v>202303047</v>
      </c>
      <c r="C1134" s="12" t="str">
        <f>"202303038022"</f>
        <v>202303038022</v>
      </c>
      <c r="D1134" s="13">
        <v>76.599999999999994</v>
      </c>
      <c r="E1134" s="14">
        <v>102</v>
      </c>
      <c r="F1134" s="15" t="s">
        <v>8</v>
      </c>
    </row>
    <row r="1135" spans="1:6" ht="17.100000000000001" customHeight="1">
      <c r="A1135" s="11" t="s">
        <v>1141</v>
      </c>
      <c r="B1135" s="12">
        <v>202303047</v>
      </c>
      <c r="C1135" s="12" t="str">
        <f>"202303038023"</f>
        <v>202303038023</v>
      </c>
      <c r="D1135" s="13">
        <v>72.599999999999994</v>
      </c>
      <c r="E1135" s="14">
        <v>76</v>
      </c>
      <c r="F1135" s="15" t="s">
        <v>8</v>
      </c>
    </row>
    <row r="1136" spans="1:6" ht="17.100000000000001" customHeight="1">
      <c r="A1136" s="11" t="s">
        <v>1142</v>
      </c>
      <c r="B1136" s="12">
        <v>202303047</v>
      </c>
      <c r="C1136" s="12" t="str">
        <f>"202303038024"</f>
        <v>202303038024</v>
      </c>
      <c r="D1136" s="13">
        <v>69.2</v>
      </c>
      <c r="E1136" s="14">
        <v>105.5</v>
      </c>
      <c r="F1136" s="15" t="s">
        <v>8</v>
      </c>
    </row>
    <row r="1137" spans="1:6" ht="17.100000000000001" customHeight="1">
      <c r="A1137" s="11" t="s">
        <v>1143</v>
      </c>
      <c r="B1137" s="12">
        <v>202303047</v>
      </c>
      <c r="C1137" s="12" t="str">
        <f>"202303038025"</f>
        <v>202303038025</v>
      </c>
      <c r="D1137" s="13">
        <v>0</v>
      </c>
      <c r="E1137" s="14">
        <v>0</v>
      </c>
      <c r="F1137" s="15" t="s">
        <v>12</v>
      </c>
    </row>
    <row r="1138" spans="1:6" ht="17.100000000000001" customHeight="1">
      <c r="A1138" s="11" t="s">
        <v>1144</v>
      </c>
      <c r="B1138" s="12">
        <v>202303048</v>
      </c>
      <c r="C1138" s="12" t="str">
        <f>"202303038026"</f>
        <v>202303038026</v>
      </c>
      <c r="D1138" s="13">
        <v>67.7</v>
      </c>
      <c r="E1138" s="14">
        <v>84.5</v>
      </c>
      <c r="F1138" s="15" t="s">
        <v>8</v>
      </c>
    </row>
    <row r="1139" spans="1:6" ht="17.100000000000001" customHeight="1">
      <c r="A1139" s="11" t="s">
        <v>1145</v>
      </c>
      <c r="B1139" s="12">
        <v>202303048</v>
      </c>
      <c r="C1139" s="12" t="str">
        <f>"202303038027"</f>
        <v>202303038027</v>
      </c>
      <c r="D1139" s="13">
        <v>69.3</v>
      </c>
      <c r="E1139" s="14">
        <v>103</v>
      </c>
      <c r="F1139" s="15" t="s">
        <v>8</v>
      </c>
    </row>
    <row r="1140" spans="1:6" ht="17.100000000000001" customHeight="1">
      <c r="A1140" s="11" t="s">
        <v>1146</v>
      </c>
      <c r="B1140" s="12">
        <v>202303048</v>
      </c>
      <c r="C1140" s="12" t="str">
        <f>"202303038028"</f>
        <v>202303038028</v>
      </c>
      <c r="D1140" s="13">
        <v>85.5</v>
      </c>
      <c r="E1140" s="14">
        <v>94</v>
      </c>
      <c r="F1140" s="15" t="s">
        <v>8</v>
      </c>
    </row>
    <row r="1141" spans="1:6" ht="17.100000000000001" customHeight="1">
      <c r="A1141" s="11" t="s">
        <v>1147</v>
      </c>
      <c r="B1141" s="12">
        <v>202303048</v>
      </c>
      <c r="C1141" s="12" t="str">
        <f>"202303038029"</f>
        <v>202303038029</v>
      </c>
      <c r="D1141" s="13">
        <v>60.5</v>
      </c>
      <c r="E1141" s="14">
        <v>102.5</v>
      </c>
      <c r="F1141" s="15" t="s">
        <v>8</v>
      </c>
    </row>
    <row r="1142" spans="1:6" ht="17.100000000000001" customHeight="1">
      <c r="A1142" s="11" t="s">
        <v>1148</v>
      </c>
      <c r="B1142" s="12">
        <v>202303048</v>
      </c>
      <c r="C1142" s="12" t="str">
        <f>"202303038030"</f>
        <v>202303038030</v>
      </c>
      <c r="D1142" s="13">
        <v>88.4</v>
      </c>
      <c r="E1142" s="14">
        <v>100.5</v>
      </c>
      <c r="F1142" s="15" t="s">
        <v>8</v>
      </c>
    </row>
    <row r="1143" spans="1:6" ht="17.100000000000001" customHeight="1">
      <c r="A1143" s="11" t="s">
        <v>1149</v>
      </c>
      <c r="B1143" s="12">
        <v>202303048</v>
      </c>
      <c r="C1143" s="12" t="str">
        <f>"202303039001"</f>
        <v>202303039001</v>
      </c>
      <c r="D1143" s="13">
        <v>69.099999999999994</v>
      </c>
      <c r="E1143" s="14">
        <v>77.5</v>
      </c>
      <c r="F1143" s="15" t="s">
        <v>8</v>
      </c>
    </row>
    <row r="1144" spans="1:6" ht="17.100000000000001" customHeight="1">
      <c r="A1144" s="11" t="s">
        <v>1150</v>
      </c>
      <c r="B1144" s="12">
        <v>202303048</v>
      </c>
      <c r="C1144" s="12" t="str">
        <f>"202303039002"</f>
        <v>202303039002</v>
      </c>
      <c r="D1144" s="13">
        <v>0</v>
      </c>
      <c r="E1144" s="14">
        <v>0</v>
      </c>
      <c r="F1144" s="15" t="s">
        <v>12</v>
      </c>
    </row>
    <row r="1145" spans="1:6" ht="17.100000000000001" customHeight="1">
      <c r="A1145" s="11" t="s">
        <v>1151</v>
      </c>
      <c r="B1145" s="12">
        <v>202303048</v>
      </c>
      <c r="C1145" s="12" t="str">
        <f>"202303039003"</f>
        <v>202303039003</v>
      </c>
      <c r="D1145" s="13">
        <v>0</v>
      </c>
      <c r="E1145" s="14">
        <v>0</v>
      </c>
      <c r="F1145" s="15" t="s">
        <v>12</v>
      </c>
    </row>
    <row r="1146" spans="1:6" ht="17.100000000000001" customHeight="1">
      <c r="A1146" s="11" t="s">
        <v>1152</v>
      </c>
      <c r="B1146" s="12">
        <v>202303048</v>
      </c>
      <c r="C1146" s="12" t="str">
        <f>"202303039004"</f>
        <v>202303039004</v>
      </c>
      <c r="D1146" s="13">
        <v>88.2</v>
      </c>
      <c r="E1146" s="14">
        <v>91.5</v>
      </c>
      <c r="F1146" s="15" t="s">
        <v>8</v>
      </c>
    </row>
    <row r="1147" spans="1:6" ht="17.100000000000001" customHeight="1">
      <c r="A1147" s="11" t="s">
        <v>1153</v>
      </c>
      <c r="B1147" s="12">
        <v>202303048</v>
      </c>
      <c r="C1147" s="12" t="str">
        <f>"202303039005"</f>
        <v>202303039005</v>
      </c>
      <c r="D1147" s="13">
        <v>54.7</v>
      </c>
      <c r="E1147" s="14">
        <v>103</v>
      </c>
      <c r="F1147" s="15" t="s">
        <v>8</v>
      </c>
    </row>
    <row r="1148" spans="1:6" ht="17.100000000000001" customHeight="1">
      <c r="A1148" s="11" t="s">
        <v>1154</v>
      </c>
      <c r="B1148" s="12">
        <v>202303048</v>
      </c>
      <c r="C1148" s="12" t="str">
        <f>"202303039006"</f>
        <v>202303039006</v>
      </c>
      <c r="D1148" s="13">
        <v>0</v>
      </c>
      <c r="E1148" s="14">
        <v>0</v>
      </c>
      <c r="F1148" s="15" t="s">
        <v>12</v>
      </c>
    </row>
    <row r="1149" spans="1:6" ht="17.100000000000001" customHeight="1">
      <c r="A1149" s="11" t="s">
        <v>1155</v>
      </c>
      <c r="B1149" s="12">
        <v>202303048</v>
      </c>
      <c r="C1149" s="12" t="str">
        <f>"202303039007"</f>
        <v>202303039007</v>
      </c>
      <c r="D1149" s="13">
        <v>98.5</v>
      </c>
      <c r="E1149" s="14">
        <v>103</v>
      </c>
      <c r="F1149" s="15" t="s">
        <v>8</v>
      </c>
    </row>
    <row r="1150" spans="1:6" ht="17.100000000000001" customHeight="1">
      <c r="A1150" s="11" t="s">
        <v>1156</v>
      </c>
      <c r="B1150" s="12">
        <v>202303048</v>
      </c>
      <c r="C1150" s="12" t="str">
        <f>"202303039008"</f>
        <v>202303039008</v>
      </c>
      <c r="D1150" s="13">
        <v>61.5</v>
      </c>
      <c r="E1150" s="14">
        <v>82.5</v>
      </c>
      <c r="F1150" s="15" t="s">
        <v>8</v>
      </c>
    </row>
    <row r="1151" spans="1:6" ht="17.100000000000001" customHeight="1">
      <c r="A1151" s="11" t="s">
        <v>1157</v>
      </c>
      <c r="B1151" s="12">
        <v>202303048</v>
      </c>
      <c r="C1151" s="12" t="str">
        <f>"202303039009"</f>
        <v>202303039009</v>
      </c>
      <c r="D1151" s="13">
        <v>58.5</v>
      </c>
      <c r="E1151" s="14">
        <v>86.5</v>
      </c>
      <c r="F1151" s="15" t="s">
        <v>8</v>
      </c>
    </row>
    <row r="1152" spans="1:6" ht="17.100000000000001" customHeight="1">
      <c r="A1152" s="11" t="s">
        <v>1158</v>
      </c>
      <c r="B1152" s="12">
        <v>202303048</v>
      </c>
      <c r="C1152" s="12" t="str">
        <f>"202303039010"</f>
        <v>202303039010</v>
      </c>
      <c r="D1152" s="13">
        <v>0</v>
      </c>
      <c r="E1152" s="14">
        <v>0</v>
      </c>
      <c r="F1152" s="15" t="s">
        <v>12</v>
      </c>
    </row>
    <row r="1153" spans="1:6" ht="17.100000000000001" customHeight="1">
      <c r="A1153" s="11" t="s">
        <v>1159</v>
      </c>
      <c r="B1153" s="12">
        <v>202303048</v>
      </c>
      <c r="C1153" s="12" t="str">
        <f>"202303039011"</f>
        <v>202303039011</v>
      </c>
      <c r="D1153" s="13">
        <v>0</v>
      </c>
      <c r="E1153" s="14">
        <v>0</v>
      </c>
      <c r="F1153" s="15" t="s">
        <v>12</v>
      </c>
    </row>
    <row r="1154" spans="1:6" ht="17.100000000000001" customHeight="1">
      <c r="A1154" s="11" t="s">
        <v>1160</v>
      </c>
      <c r="B1154" s="12">
        <v>202303048</v>
      </c>
      <c r="C1154" s="12" t="str">
        <f>"202303039012"</f>
        <v>202303039012</v>
      </c>
      <c r="D1154" s="13">
        <v>78.5</v>
      </c>
      <c r="E1154" s="14">
        <v>94.5</v>
      </c>
      <c r="F1154" s="15" t="s">
        <v>8</v>
      </c>
    </row>
    <row r="1155" spans="1:6" ht="17.100000000000001" customHeight="1">
      <c r="A1155" s="11" t="s">
        <v>1161</v>
      </c>
      <c r="B1155" s="12">
        <v>202303048</v>
      </c>
      <c r="C1155" s="12" t="str">
        <f>"202303039013"</f>
        <v>202303039013</v>
      </c>
      <c r="D1155" s="13">
        <v>0</v>
      </c>
      <c r="E1155" s="14">
        <v>0</v>
      </c>
      <c r="F1155" s="15" t="s">
        <v>12</v>
      </c>
    </row>
    <row r="1156" spans="1:6" ht="17.100000000000001" customHeight="1">
      <c r="A1156" s="11" t="s">
        <v>1162</v>
      </c>
      <c r="B1156" s="12">
        <v>202303048</v>
      </c>
      <c r="C1156" s="12" t="str">
        <f>"202303039014"</f>
        <v>202303039014</v>
      </c>
      <c r="D1156" s="13">
        <v>68.8</v>
      </c>
      <c r="E1156" s="14">
        <v>81.5</v>
      </c>
      <c r="F1156" s="15" t="s">
        <v>8</v>
      </c>
    </row>
    <row r="1157" spans="1:6" ht="17.100000000000001" customHeight="1">
      <c r="A1157" s="11" t="s">
        <v>1163</v>
      </c>
      <c r="B1157" s="12">
        <v>202303048</v>
      </c>
      <c r="C1157" s="12" t="str">
        <f>"202303039015"</f>
        <v>202303039015</v>
      </c>
      <c r="D1157" s="13">
        <v>98.9</v>
      </c>
      <c r="E1157" s="14">
        <v>102</v>
      </c>
      <c r="F1157" s="15" t="s">
        <v>8</v>
      </c>
    </row>
    <row r="1158" spans="1:6" ht="17.100000000000001" customHeight="1">
      <c r="A1158" s="11" t="s">
        <v>1164</v>
      </c>
      <c r="B1158" s="12">
        <v>202303048</v>
      </c>
      <c r="C1158" s="12" t="str">
        <f>"202303039016"</f>
        <v>202303039016</v>
      </c>
      <c r="D1158" s="13">
        <v>84.8</v>
      </c>
      <c r="E1158" s="14">
        <v>111.5</v>
      </c>
      <c r="F1158" s="15" t="s">
        <v>8</v>
      </c>
    </row>
    <row r="1159" spans="1:6" ht="17.100000000000001" customHeight="1">
      <c r="A1159" s="11" t="s">
        <v>1165</v>
      </c>
      <c r="B1159" s="12">
        <v>202303048</v>
      </c>
      <c r="C1159" s="12" t="str">
        <f>"202303039017"</f>
        <v>202303039017</v>
      </c>
      <c r="D1159" s="13">
        <v>79.900000000000006</v>
      </c>
      <c r="E1159" s="14">
        <v>97</v>
      </c>
      <c r="F1159" s="15" t="s">
        <v>8</v>
      </c>
    </row>
    <row r="1160" spans="1:6" ht="17.100000000000001" customHeight="1">
      <c r="A1160" s="11" t="s">
        <v>1166</v>
      </c>
      <c r="B1160" s="12">
        <v>202303048</v>
      </c>
      <c r="C1160" s="12" t="str">
        <f>"202303039018"</f>
        <v>202303039018</v>
      </c>
      <c r="D1160" s="13">
        <v>0</v>
      </c>
      <c r="E1160" s="14">
        <v>0</v>
      </c>
      <c r="F1160" s="15" t="s">
        <v>12</v>
      </c>
    </row>
    <row r="1161" spans="1:6" ht="17.100000000000001" customHeight="1">
      <c r="A1161" s="11" t="s">
        <v>1167</v>
      </c>
      <c r="B1161" s="12">
        <v>202303048</v>
      </c>
      <c r="C1161" s="12" t="str">
        <f>"202303039019"</f>
        <v>202303039019</v>
      </c>
      <c r="D1161" s="13">
        <v>0</v>
      </c>
      <c r="E1161" s="14">
        <v>0</v>
      </c>
      <c r="F1161" s="15" t="s">
        <v>12</v>
      </c>
    </row>
    <row r="1162" spans="1:6" ht="17.100000000000001" customHeight="1">
      <c r="A1162" s="11" t="s">
        <v>1168</v>
      </c>
      <c r="B1162" s="12">
        <v>202303048</v>
      </c>
      <c r="C1162" s="12" t="str">
        <f>"202303039020"</f>
        <v>202303039020</v>
      </c>
      <c r="D1162" s="13">
        <v>52.8</v>
      </c>
      <c r="E1162" s="14">
        <v>54</v>
      </c>
      <c r="F1162" s="15" t="s">
        <v>8</v>
      </c>
    </row>
    <row r="1163" spans="1:6" ht="17.100000000000001" customHeight="1">
      <c r="A1163" s="11" t="s">
        <v>1169</v>
      </c>
      <c r="B1163" s="12">
        <v>202303048</v>
      </c>
      <c r="C1163" s="12" t="str">
        <f>"202303039021"</f>
        <v>202303039021</v>
      </c>
      <c r="D1163" s="13">
        <v>86.1</v>
      </c>
      <c r="E1163" s="14">
        <v>99.5</v>
      </c>
      <c r="F1163" s="15" t="s">
        <v>8</v>
      </c>
    </row>
    <row r="1164" spans="1:6" ht="17.100000000000001" customHeight="1">
      <c r="A1164" s="11" t="s">
        <v>1170</v>
      </c>
      <c r="B1164" s="12">
        <v>202303048</v>
      </c>
      <c r="C1164" s="12" t="str">
        <f>"202303039022"</f>
        <v>202303039022</v>
      </c>
      <c r="D1164" s="13">
        <v>86.2</v>
      </c>
      <c r="E1164" s="14">
        <v>107.5</v>
      </c>
      <c r="F1164" s="15" t="s">
        <v>8</v>
      </c>
    </row>
    <row r="1165" spans="1:6" ht="17.100000000000001" customHeight="1">
      <c r="A1165" s="11" t="s">
        <v>1171</v>
      </c>
      <c r="B1165" s="12">
        <v>202303048</v>
      </c>
      <c r="C1165" s="12" t="str">
        <f>"202303039023"</f>
        <v>202303039023</v>
      </c>
      <c r="D1165" s="13">
        <v>87.7</v>
      </c>
      <c r="E1165" s="14">
        <v>104.5</v>
      </c>
      <c r="F1165" s="15" t="s">
        <v>8</v>
      </c>
    </row>
    <row r="1166" spans="1:6" ht="17.100000000000001" customHeight="1">
      <c r="A1166" s="11" t="s">
        <v>1172</v>
      </c>
      <c r="B1166" s="12">
        <v>202303048</v>
      </c>
      <c r="C1166" s="12" t="str">
        <f>"202303039024"</f>
        <v>202303039024</v>
      </c>
      <c r="D1166" s="13">
        <v>77.099999999999994</v>
      </c>
      <c r="E1166" s="14">
        <v>104.5</v>
      </c>
      <c r="F1166" s="15" t="s">
        <v>8</v>
      </c>
    </row>
    <row r="1167" spans="1:6" ht="17.100000000000001" customHeight="1">
      <c r="A1167" s="11" t="s">
        <v>1173</v>
      </c>
      <c r="B1167" s="12">
        <v>202303048</v>
      </c>
      <c r="C1167" s="12" t="str">
        <f>"202303039025"</f>
        <v>202303039025</v>
      </c>
      <c r="D1167" s="13">
        <v>78.5</v>
      </c>
      <c r="E1167" s="14">
        <v>96.5</v>
      </c>
      <c r="F1167" s="15" t="s">
        <v>8</v>
      </c>
    </row>
    <row r="1168" spans="1:6" ht="17.100000000000001" customHeight="1">
      <c r="A1168" s="11" t="s">
        <v>1174</v>
      </c>
      <c r="B1168" s="12">
        <v>202303048</v>
      </c>
      <c r="C1168" s="12" t="str">
        <f>"202303039026"</f>
        <v>202303039026</v>
      </c>
      <c r="D1168" s="13">
        <v>80.7</v>
      </c>
      <c r="E1168" s="14">
        <v>99</v>
      </c>
      <c r="F1168" s="15" t="s">
        <v>8</v>
      </c>
    </row>
    <row r="1169" spans="1:6" ht="17.100000000000001" customHeight="1">
      <c r="A1169" s="11" t="s">
        <v>1175</v>
      </c>
      <c r="B1169" s="12">
        <v>202303048</v>
      </c>
      <c r="C1169" s="12" t="str">
        <f>"202303039027"</f>
        <v>202303039027</v>
      </c>
      <c r="D1169" s="13">
        <v>77.3</v>
      </c>
      <c r="E1169" s="14">
        <v>86</v>
      </c>
      <c r="F1169" s="15" t="s">
        <v>8</v>
      </c>
    </row>
    <row r="1170" spans="1:6" ht="17.100000000000001" customHeight="1">
      <c r="A1170" s="11" t="s">
        <v>1176</v>
      </c>
      <c r="B1170" s="12">
        <v>202303048</v>
      </c>
      <c r="C1170" s="12" t="str">
        <f>"202303039028"</f>
        <v>202303039028</v>
      </c>
      <c r="D1170" s="13">
        <v>0</v>
      </c>
      <c r="E1170" s="14">
        <v>0</v>
      </c>
      <c r="F1170" s="15" t="s">
        <v>12</v>
      </c>
    </row>
    <row r="1171" spans="1:6" ht="17.100000000000001" customHeight="1">
      <c r="A1171" s="11" t="s">
        <v>1177</v>
      </c>
      <c r="B1171" s="12">
        <v>202303048</v>
      </c>
      <c r="C1171" s="12" t="str">
        <f>"202303039029"</f>
        <v>202303039029</v>
      </c>
      <c r="D1171" s="13">
        <v>89</v>
      </c>
      <c r="E1171" s="14">
        <v>90.5</v>
      </c>
      <c r="F1171" s="15" t="s">
        <v>8</v>
      </c>
    </row>
    <row r="1172" spans="1:6" ht="17.100000000000001" customHeight="1">
      <c r="A1172" s="11" t="s">
        <v>1178</v>
      </c>
      <c r="B1172" s="12">
        <v>202303048</v>
      </c>
      <c r="C1172" s="12" t="str">
        <f>"202303039030"</f>
        <v>202303039030</v>
      </c>
      <c r="D1172" s="13">
        <v>90.4</v>
      </c>
      <c r="E1172" s="14">
        <v>102</v>
      </c>
      <c r="F1172" s="15" t="s">
        <v>8</v>
      </c>
    </row>
    <row r="1173" spans="1:6" ht="17.100000000000001" customHeight="1">
      <c r="A1173" s="11" t="s">
        <v>1179</v>
      </c>
      <c r="B1173" s="12">
        <v>202303048</v>
      </c>
      <c r="C1173" s="12" t="str">
        <f>"202303040001"</f>
        <v>202303040001</v>
      </c>
      <c r="D1173" s="13">
        <v>58.9</v>
      </c>
      <c r="E1173" s="14">
        <v>88</v>
      </c>
      <c r="F1173" s="15" t="s">
        <v>8</v>
      </c>
    </row>
    <row r="1174" spans="1:6" ht="17.100000000000001" customHeight="1">
      <c r="A1174" s="11" t="s">
        <v>1180</v>
      </c>
      <c r="B1174" s="12">
        <v>202303048</v>
      </c>
      <c r="C1174" s="12" t="str">
        <f>"202303040002"</f>
        <v>202303040002</v>
      </c>
      <c r="D1174" s="13">
        <v>98.6</v>
      </c>
      <c r="E1174" s="14">
        <v>108</v>
      </c>
      <c r="F1174" s="15" t="s">
        <v>8</v>
      </c>
    </row>
    <row r="1175" spans="1:6" ht="17.100000000000001" customHeight="1">
      <c r="A1175" s="11" t="s">
        <v>1181</v>
      </c>
      <c r="B1175" s="12">
        <v>202303048</v>
      </c>
      <c r="C1175" s="12" t="str">
        <f>"202303040003"</f>
        <v>202303040003</v>
      </c>
      <c r="D1175" s="13">
        <v>94.5</v>
      </c>
      <c r="E1175" s="14">
        <v>105.5</v>
      </c>
      <c r="F1175" s="15" t="s">
        <v>8</v>
      </c>
    </row>
    <row r="1176" spans="1:6" ht="17.100000000000001" customHeight="1">
      <c r="A1176" s="11" t="s">
        <v>1182</v>
      </c>
      <c r="B1176" s="12">
        <v>202303048</v>
      </c>
      <c r="C1176" s="12" t="str">
        <f>"202303040004"</f>
        <v>202303040004</v>
      </c>
      <c r="D1176" s="13">
        <v>0</v>
      </c>
      <c r="E1176" s="14">
        <v>0</v>
      </c>
      <c r="F1176" s="15" t="s">
        <v>12</v>
      </c>
    </row>
    <row r="1177" spans="1:6" ht="17.100000000000001" customHeight="1">
      <c r="A1177" s="11" t="s">
        <v>1183</v>
      </c>
      <c r="B1177" s="12">
        <v>202303048</v>
      </c>
      <c r="C1177" s="12" t="str">
        <f>"202303040005"</f>
        <v>202303040005</v>
      </c>
      <c r="D1177" s="13">
        <v>69</v>
      </c>
      <c r="E1177" s="14">
        <v>103.5</v>
      </c>
      <c r="F1177" s="15" t="s">
        <v>8</v>
      </c>
    </row>
    <row r="1178" spans="1:6" ht="17.100000000000001" customHeight="1">
      <c r="A1178" s="11" t="s">
        <v>1184</v>
      </c>
      <c r="B1178" s="12">
        <v>202303048</v>
      </c>
      <c r="C1178" s="12" t="str">
        <f>"202303040006"</f>
        <v>202303040006</v>
      </c>
      <c r="D1178" s="13">
        <v>92.9</v>
      </c>
      <c r="E1178" s="14">
        <v>91.5</v>
      </c>
      <c r="F1178" s="15" t="s">
        <v>8</v>
      </c>
    </row>
    <row r="1179" spans="1:6" ht="17.100000000000001" customHeight="1">
      <c r="A1179" s="11" t="s">
        <v>1185</v>
      </c>
      <c r="B1179" s="12">
        <v>202303048</v>
      </c>
      <c r="C1179" s="12" t="str">
        <f>"202303040007"</f>
        <v>202303040007</v>
      </c>
      <c r="D1179" s="13">
        <v>75.8</v>
      </c>
      <c r="E1179" s="14">
        <v>106.5</v>
      </c>
      <c r="F1179" s="15" t="s">
        <v>8</v>
      </c>
    </row>
    <row r="1180" spans="1:6" ht="17.100000000000001" customHeight="1">
      <c r="A1180" s="11" t="s">
        <v>1186</v>
      </c>
      <c r="B1180" s="12">
        <v>202303048</v>
      </c>
      <c r="C1180" s="12" t="str">
        <f>"202303040008"</f>
        <v>202303040008</v>
      </c>
      <c r="D1180" s="13">
        <v>87</v>
      </c>
      <c r="E1180" s="14">
        <v>104</v>
      </c>
      <c r="F1180" s="15" t="s">
        <v>8</v>
      </c>
    </row>
    <row r="1181" spans="1:6" ht="17.100000000000001" customHeight="1">
      <c r="A1181" s="11" t="s">
        <v>1187</v>
      </c>
      <c r="B1181" s="12">
        <v>202303048</v>
      </c>
      <c r="C1181" s="12" t="str">
        <f>"202303040009"</f>
        <v>202303040009</v>
      </c>
      <c r="D1181" s="13">
        <v>81</v>
      </c>
      <c r="E1181" s="14">
        <v>94.5</v>
      </c>
      <c r="F1181" s="15" t="s">
        <v>8</v>
      </c>
    </row>
    <row r="1182" spans="1:6" ht="17.100000000000001" customHeight="1">
      <c r="A1182" s="11" t="s">
        <v>1188</v>
      </c>
      <c r="B1182" s="12">
        <v>202303048</v>
      </c>
      <c r="C1182" s="12" t="str">
        <f>"202303040010"</f>
        <v>202303040010</v>
      </c>
      <c r="D1182" s="13">
        <v>73</v>
      </c>
      <c r="E1182" s="14">
        <v>93.5</v>
      </c>
      <c r="F1182" s="15" t="s">
        <v>8</v>
      </c>
    </row>
    <row r="1183" spans="1:6" ht="17.100000000000001" customHeight="1">
      <c r="A1183" s="11" t="s">
        <v>1189</v>
      </c>
      <c r="B1183" s="12">
        <v>202303048</v>
      </c>
      <c r="C1183" s="12" t="str">
        <f>"202303040011"</f>
        <v>202303040011</v>
      </c>
      <c r="D1183" s="13">
        <v>64</v>
      </c>
      <c r="E1183" s="14">
        <v>76.5</v>
      </c>
      <c r="F1183" s="15" t="s">
        <v>8</v>
      </c>
    </row>
    <row r="1184" spans="1:6" ht="17.100000000000001" customHeight="1">
      <c r="A1184" s="11" t="s">
        <v>1190</v>
      </c>
      <c r="B1184" s="12">
        <v>202303048</v>
      </c>
      <c r="C1184" s="12" t="str">
        <f>"202303040012"</f>
        <v>202303040012</v>
      </c>
      <c r="D1184" s="13">
        <v>56.6</v>
      </c>
      <c r="E1184" s="14">
        <v>92.5</v>
      </c>
      <c r="F1184" s="15" t="s">
        <v>8</v>
      </c>
    </row>
    <row r="1185" spans="1:6" ht="17.100000000000001" customHeight="1">
      <c r="A1185" s="11" t="s">
        <v>1191</v>
      </c>
      <c r="B1185" s="12">
        <v>202303048</v>
      </c>
      <c r="C1185" s="12" t="str">
        <f>"202303040013"</f>
        <v>202303040013</v>
      </c>
      <c r="D1185" s="13">
        <v>61</v>
      </c>
      <c r="E1185" s="14">
        <v>99.5</v>
      </c>
      <c r="F1185" s="15" t="s">
        <v>8</v>
      </c>
    </row>
    <row r="1186" spans="1:6" ht="17.100000000000001" customHeight="1">
      <c r="A1186" s="11" t="s">
        <v>1192</v>
      </c>
      <c r="B1186" s="12">
        <v>202303048</v>
      </c>
      <c r="C1186" s="12" t="str">
        <f>"202303040014"</f>
        <v>202303040014</v>
      </c>
      <c r="D1186" s="13">
        <v>65.400000000000006</v>
      </c>
      <c r="E1186" s="14">
        <v>96.5</v>
      </c>
      <c r="F1186" s="15" t="s">
        <v>8</v>
      </c>
    </row>
    <row r="1187" spans="1:6" ht="17.100000000000001" customHeight="1">
      <c r="A1187" s="11" t="s">
        <v>1193</v>
      </c>
      <c r="B1187" s="12">
        <v>202303048</v>
      </c>
      <c r="C1187" s="12" t="str">
        <f>"202303040015"</f>
        <v>202303040015</v>
      </c>
      <c r="D1187" s="13">
        <v>56.7</v>
      </c>
      <c r="E1187" s="14">
        <v>89.5</v>
      </c>
      <c r="F1187" s="15" t="s">
        <v>8</v>
      </c>
    </row>
    <row r="1188" spans="1:6" ht="17.100000000000001" customHeight="1">
      <c r="A1188" s="11" t="s">
        <v>1194</v>
      </c>
      <c r="B1188" s="12">
        <v>202303048</v>
      </c>
      <c r="C1188" s="12" t="str">
        <f>"202303040016"</f>
        <v>202303040016</v>
      </c>
      <c r="D1188" s="13">
        <v>77.5</v>
      </c>
      <c r="E1188" s="14">
        <v>105.5</v>
      </c>
      <c r="F1188" s="15" t="s">
        <v>8</v>
      </c>
    </row>
    <row r="1189" spans="1:6" ht="17.100000000000001" customHeight="1">
      <c r="A1189" s="11" t="s">
        <v>1195</v>
      </c>
      <c r="B1189" s="12">
        <v>202303048</v>
      </c>
      <c r="C1189" s="12" t="str">
        <f>"202303040017"</f>
        <v>202303040017</v>
      </c>
      <c r="D1189" s="13">
        <v>78.900000000000006</v>
      </c>
      <c r="E1189" s="14">
        <v>110.5</v>
      </c>
      <c r="F1189" s="15" t="s">
        <v>8</v>
      </c>
    </row>
    <row r="1190" spans="1:6" ht="17.100000000000001" customHeight="1">
      <c r="A1190" s="11" t="s">
        <v>1196</v>
      </c>
      <c r="B1190" s="12">
        <v>202303048</v>
      </c>
      <c r="C1190" s="12" t="str">
        <f>"202303040018"</f>
        <v>202303040018</v>
      </c>
      <c r="D1190" s="13">
        <v>85.1</v>
      </c>
      <c r="E1190" s="14">
        <v>106</v>
      </c>
      <c r="F1190" s="15" t="s">
        <v>8</v>
      </c>
    </row>
    <row r="1191" spans="1:6" ht="17.100000000000001" customHeight="1">
      <c r="A1191" s="11" t="s">
        <v>1197</v>
      </c>
      <c r="B1191" s="12">
        <v>202303048</v>
      </c>
      <c r="C1191" s="12" t="str">
        <f>"202303040019"</f>
        <v>202303040019</v>
      </c>
      <c r="D1191" s="13">
        <v>51.3</v>
      </c>
      <c r="E1191" s="14">
        <v>73.5</v>
      </c>
      <c r="F1191" s="15" t="s">
        <v>8</v>
      </c>
    </row>
    <row r="1192" spans="1:6" ht="17.100000000000001" customHeight="1">
      <c r="A1192" s="11" t="s">
        <v>1198</v>
      </c>
      <c r="B1192" s="12">
        <v>202303049</v>
      </c>
      <c r="C1192" s="12" t="str">
        <f>"202303040020"</f>
        <v>202303040020</v>
      </c>
      <c r="D1192" s="13">
        <v>64.8</v>
      </c>
      <c r="E1192" s="14">
        <v>101.5</v>
      </c>
      <c r="F1192" s="15" t="s">
        <v>8</v>
      </c>
    </row>
    <row r="1193" spans="1:6" ht="17.100000000000001" customHeight="1">
      <c r="A1193" s="11" t="s">
        <v>1199</v>
      </c>
      <c r="B1193" s="12">
        <v>202303049</v>
      </c>
      <c r="C1193" s="12" t="str">
        <f>"202303040021"</f>
        <v>202303040021</v>
      </c>
      <c r="D1193" s="13">
        <v>0</v>
      </c>
      <c r="E1193" s="14">
        <v>0</v>
      </c>
      <c r="F1193" s="15" t="s">
        <v>12</v>
      </c>
    </row>
    <row r="1194" spans="1:6" ht="17.100000000000001" customHeight="1">
      <c r="A1194" s="11" t="s">
        <v>1200</v>
      </c>
      <c r="B1194" s="12">
        <v>202303049</v>
      </c>
      <c r="C1194" s="12" t="str">
        <f>"202303040022"</f>
        <v>202303040022</v>
      </c>
      <c r="D1194" s="13">
        <v>0</v>
      </c>
      <c r="E1194" s="14">
        <v>0</v>
      </c>
      <c r="F1194" s="15" t="s">
        <v>12</v>
      </c>
    </row>
    <row r="1195" spans="1:6" ht="17.100000000000001" customHeight="1">
      <c r="A1195" s="11" t="s">
        <v>1201</v>
      </c>
      <c r="B1195" s="12">
        <v>202303049</v>
      </c>
      <c r="C1195" s="12" t="str">
        <f>"202303040023"</f>
        <v>202303040023</v>
      </c>
      <c r="D1195" s="13">
        <v>69.5</v>
      </c>
      <c r="E1195" s="14">
        <v>101</v>
      </c>
      <c r="F1195" s="15" t="s">
        <v>8</v>
      </c>
    </row>
    <row r="1196" spans="1:6" ht="17.100000000000001" customHeight="1">
      <c r="A1196" s="11" t="s">
        <v>1202</v>
      </c>
      <c r="B1196" s="12">
        <v>202303049</v>
      </c>
      <c r="C1196" s="12" t="str">
        <f>"202303040024"</f>
        <v>202303040024</v>
      </c>
      <c r="D1196" s="13">
        <v>80.099999999999994</v>
      </c>
      <c r="E1196" s="14">
        <v>91.5</v>
      </c>
      <c r="F1196" s="15" t="s">
        <v>8</v>
      </c>
    </row>
    <row r="1197" spans="1:6" ht="17.100000000000001" customHeight="1">
      <c r="A1197" s="11" t="s">
        <v>1203</v>
      </c>
      <c r="B1197" s="12">
        <v>202303049</v>
      </c>
      <c r="C1197" s="12" t="str">
        <f>"202303040025"</f>
        <v>202303040025</v>
      </c>
      <c r="D1197" s="13">
        <v>64.599999999999994</v>
      </c>
      <c r="E1197" s="14">
        <v>85.5</v>
      </c>
      <c r="F1197" s="15" t="s">
        <v>8</v>
      </c>
    </row>
    <row r="1198" spans="1:6" ht="17.100000000000001" customHeight="1">
      <c r="A1198" s="11" t="s">
        <v>1204</v>
      </c>
      <c r="B1198" s="12">
        <v>202303049</v>
      </c>
      <c r="C1198" s="12" t="str">
        <f>"202303040026"</f>
        <v>202303040026</v>
      </c>
      <c r="D1198" s="13">
        <v>0</v>
      </c>
      <c r="E1198" s="14">
        <v>0</v>
      </c>
      <c r="F1198" s="15" t="s">
        <v>12</v>
      </c>
    </row>
    <row r="1199" spans="1:6" ht="17.100000000000001" customHeight="1">
      <c r="A1199" s="11" t="s">
        <v>1205</v>
      </c>
      <c r="B1199" s="12">
        <v>202303049</v>
      </c>
      <c r="C1199" s="12" t="str">
        <f>"202303040027"</f>
        <v>202303040027</v>
      </c>
      <c r="D1199" s="13">
        <v>106.3</v>
      </c>
      <c r="E1199" s="14">
        <v>87.5</v>
      </c>
      <c r="F1199" s="15" t="s">
        <v>8</v>
      </c>
    </row>
    <row r="1200" spans="1:6" ht="17.100000000000001" customHeight="1">
      <c r="A1200" s="11" t="s">
        <v>1206</v>
      </c>
      <c r="B1200" s="12">
        <v>202303049</v>
      </c>
      <c r="C1200" s="12" t="str">
        <f>"202303040028"</f>
        <v>202303040028</v>
      </c>
      <c r="D1200" s="13">
        <v>110</v>
      </c>
      <c r="E1200" s="14">
        <v>98.5</v>
      </c>
      <c r="F1200" s="15" t="s">
        <v>8</v>
      </c>
    </row>
    <row r="1201" spans="1:6" ht="17.100000000000001" customHeight="1">
      <c r="A1201" s="11" t="s">
        <v>1207</v>
      </c>
      <c r="B1201" s="12">
        <v>202303049</v>
      </c>
      <c r="C1201" s="12" t="str">
        <f>"202303040029"</f>
        <v>202303040029</v>
      </c>
      <c r="D1201" s="13">
        <v>75.099999999999994</v>
      </c>
      <c r="E1201" s="14">
        <v>77.5</v>
      </c>
      <c r="F1201" s="15" t="s">
        <v>8</v>
      </c>
    </row>
    <row r="1202" spans="1:6" ht="17.100000000000001" customHeight="1">
      <c r="A1202" s="11" t="s">
        <v>1208</v>
      </c>
      <c r="B1202" s="12">
        <v>202303049</v>
      </c>
      <c r="C1202" s="12" t="str">
        <f>"202303040030"</f>
        <v>202303040030</v>
      </c>
      <c r="D1202" s="13">
        <v>74.599999999999994</v>
      </c>
      <c r="E1202" s="14">
        <v>91.5</v>
      </c>
      <c r="F1202" s="15" t="s">
        <v>8</v>
      </c>
    </row>
    <row r="1203" spans="1:6" ht="17.100000000000001" customHeight="1">
      <c r="A1203" s="11" t="s">
        <v>1209</v>
      </c>
      <c r="B1203" s="12">
        <v>202303049</v>
      </c>
      <c r="C1203" s="12" t="str">
        <f>"202303041001"</f>
        <v>202303041001</v>
      </c>
      <c r="D1203" s="13">
        <v>60.5</v>
      </c>
      <c r="E1203" s="14">
        <v>49</v>
      </c>
      <c r="F1203" s="15" t="s">
        <v>8</v>
      </c>
    </row>
    <row r="1204" spans="1:6" ht="17.100000000000001" customHeight="1">
      <c r="A1204" s="11" t="s">
        <v>1210</v>
      </c>
      <c r="B1204" s="12">
        <v>202303049</v>
      </c>
      <c r="C1204" s="12" t="str">
        <f>"202303041002"</f>
        <v>202303041002</v>
      </c>
      <c r="D1204" s="13">
        <v>78.599999999999994</v>
      </c>
      <c r="E1204" s="14">
        <v>94</v>
      </c>
      <c r="F1204" s="15" t="s">
        <v>8</v>
      </c>
    </row>
    <row r="1205" spans="1:6" ht="17.100000000000001" customHeight="1">
      <c r="A1205" s="11" t="s">
        <v>1211</v>
      </c>
      <c r="B1205" s="12">
        <v>202303049</v>
      </c>
      <c r="C1205" s="12" t="str">
        <f>"202303041003"</f>
        <v>202303041003</v>
      </c>
      <c r="D1205" s="13">
        <v>54.5</v>
      </c>
      <c r="E1205" s="14">
        <v>80.5</v>
      </c>
      <c r="F1205" s="15" t="s">
        <v>8</v>
      </c>
    </row>
    <row r="1206" spans="1:6" ht="17.100000000000001" customHeight="1">
      <c r="A1206" s="11" t="s">
        <v>1212</v>
      </c>
      <c r="B1206" s="12">
        <v>202303049</v>
      </c>
      <c r="C1206" s="12" t="str">
        <f>"202303041004"</f>
        <v>202303041004</v>
      </c>
      <c r="D1206" s="13">
        <v>55.8</v>
      </c>
      <c r="E1206" s="14">
        <v>96</v>
      </c>
      <c r="F1206" s="15" t="s">
        <v>8</v>
      </c>
    </row>
    <row r="1207" spans="1:6" ht="17.100000000000001" customHeight="1">
      <c r="A1207" s="11" t="s">
        <v>1213</v>
      </c>
      <c r="B1207" s="12">
        <v>202303049</v>
      </c>
      <c r="C1207" s="12" t="str">
        <f>"202303041005"</f>
        <v>202303041005</v>
      </c>
      <c r="D1207" s="13">
        <v>89.5</v>
      </c>
      <c r="E1207" s="14">
        <v>101.5</v>
      </c>
      <c r="F1207" s="15" t="s">
        <v>8</v>
      </c>
    </row>
    <row r="1208" spans="1:6" ht="17.100000000000001" customHeight="1">
      <c r="A1208" s="11" t="s">
        <v>1214</v>
      </c>
      <c r="B1208" s="12">
        <v>202303049</v>
      </c>
      <c r="C1208" s="12" t="str">
        <f>"202303041006"</f>
        <v>202303041006</v>
      </c>
      <c r="D1208" s="13">
        <v>69.7</v>
      </c>
      <c r="E1208" s="14">
        <v>104.5</v>
      </c>
      <c r="F1208" s="15" t="s">
        <v>8</v>
      </c>
    </row>
    <row r="1209" spans="1:6" ht="17.100000000000001" customHeight="1">
      <c r="A1209" s="11" t="s">
        <v>1215</v>
      </c>
      <c r="B1209" s="12">
        <v>202303049</v>
      </c>
      <c r="C1209" s="12" t="str">
        <f>"202303041007"</f>
        <v>202303041007</v>
      </c>
      <c r="D1209" s="13">
        <v>89</v>
      </c>
      <c r="E1209" s="14">
        <v>78.5</v>
      </c>
      <c r="F1209" s="15" t="s">
        <v>8</v>
      </c>
    </row>
    <row r="1210" spans="1:6" ht="17.100000000000001" customHeight="1">
      <c r="A1210" s="11" t="s">
        <v>1216</v>
      </c>
      <c r="B1210" s="12">
        <v>202303049</v>
      </c>
      <c r="C1210" s="12" t="str">
        <f>"202303041008"</f>
        <v>202303041008</v>
      </c>
      <c r="D1210" s="13">
        <v>0</v>
      </c>
      <c r="E1210" s="14">
        <v>0</v>
      </c>
      <c r="F1210" s="15" t="s">
        <v>12</v>
      </c>
    </row>
    <row r="1211" spans="1:6" ht="17.100000000000001" customHeight="1">
      <c r="A1211" s="11" t="s">
        <v>1217</v>
      </c>
      <c r="B1211" s="12">
        <v>202303049</v>
      </c>
      <c r="C1211" s="12" t="str">
        <f>"202303041009"</f>
        <v>202303041009</v>
      </c>
      <c r="D1211" s="13">
        <v>0</v>
      </c>
      <c r="E1211" s="14">
        <v>0</v>
      </c>
      <c r="F1211" s="15" t="s">
        <v>12</v>
      </c>
    </row>
    <row r="1212" spans="1:6" ht="17.100000000000001" customHeight="1">
      <c r="A1212" s="11" t="s">
        <v>1218</v>
      </c>
      <c r="B1212" s="12">
        <v>202303050</v>
      </c>
      <c r="C1212" s="12" t="str">
        <f>"202303041010"</f>
        <v>202303041010</v>
      </c>
      <c r="D1212" s="13">
        <v>0</v>
      </c>
      <c r="E1212" s="14">
        <v>0</v>
      </c>
      <c r="F1212" s="15" t="s">
        <v>12</v>
      </c>
    </row>
    <row r="1213" spans="1:6" ht="17.100000000000001" customHeight="1">
      <c r="A1213" s="11" t="s">
        <v>1219</v>
      </c>
      <c r="B1213" s="12">
        <v>202303050</v>
      </c>
      <c r="C1213" s="12" t="str">
        <f>"202303041011"</f>
        <v>202303041011</v>
      </c>
      <c r="D1213" s="13">
        <v>0</v>
      </c>
      <c r="E1213" s="14">
        <v>0</v>
      </c>
      <c r="F1213" s="15" t="s">
        <v>12</v>
      </c>
    </row>
    <row r="1214" spans="1:6" ht="17.100000000000001" customHeight="1">
      <c r="A1214" s="11" t="s">
        <v>1220</v>
      </c>
      <c r="B1214" s="12">
        <v>202303050</v>
      </c>
      <c r="C1214" s="12" t="str">
        <f>"202303041012"</f>
        <v>202303041012</v>
      </c>
      <c r="D1214" s="13">
        <v>81.099999999999994</v>
      </c>
      <c r="E1214" s="14">
        <v>104</v>
      </c>
      <c r="F1214" s="15" t="s">
        <v>8</v>
      </c>
    </row>
    <row r="1215" spans="1:6" ht="17.100000000000001" customHeight="1">
      <c r="A1215" s="11" t="s">
        <v>1221</v>
      </c>
      <c r="B1215" s="12">
        <v>202303050</v>
      </c>
      <c r="C1215" s="12" t="str">
        <f>"202303041013"</f>
        <v>202303041013</v>
      </c>
      <c r="D1215" s="13">
        <v>68.2</v>
      </c>
      <c r="E1215" s="14">
        <v>102</v>
      </c>
      <c r="F1215" s="15" t="s">
        <v>8</v>
      </c>
    </row>
    <row r="1216" spans="1:6" ht="17.100000000000001" customHeight="1">
      <c r="A1216" s="11" t="s">
        <v>1222</v>
      </c>
      <c r="B1216" s="12">
        <v>202303050</v>
      </c>
      <c r="C1216" s="12" t="str">
        <f>"202303041014"</f>
        <v>202303041014</v>
      </c>
      <c r="D1216" s="13">
        <v>77.900000000000006</v>
      </c>
      <c r="E1216" s="14">
        <v>98</v>
      </c>
      <c r="F1216" s="15" t="s">
        <v>8</v>
      </c>
    </row>
    <row r="1217" spans="1:6" ht="17.100000000000001" customHeight="1">
      <c r="A1217" s="11" t="s">
        <v>1223</v>
      </c>
      <c r="B1217" s="12">
        <v>202303050</v>
      </c>
      <c r="C1217" s="12" t="str">
        <f>"202303041015"</f>
        <v>202303041015</v>
      </c>
      <c r="D1217" s="13">
        <v>42.1</v>
      </c>
      <c r="E1217" s="14">
        <v>88.5</v>
      </c>
      <c r="F1217" s="15" t="s">
        <v>8</v>
      </c>
    </row>
    <row r="1218" spans="1:6" ht="17.100000000000001" customHeight="1">
      <c r="A1218" s="11" t="s">
        <v>1224</v>
      </c>
      <c r="B1218" s="12">
        <v>202303050</v>
      </c>
      <c r="C1218" s="12" t="str">
        <f>"202303041016"</f>
        <v>202303041016</v>
      </c>
      <c r="D1218" s="13">
        <v>91</v>
      </c>
      <c r="E1218" s="14">
        <v>83.5</v>
      </c>
      <c r="F1218" s="15" t="s">
        <v>8</v>
      </c>
    </row>
    <row r="1219" spans="1:6" ht="17.100000000000001" customHeight="1">
      <c r="A1219" s="11" t="s">
        <v>1225</v>
      </c>
      <c r="B1219" s="12">
        <v>202303050</v>
      </c>
      <c r="C1219" s="12" t="str">
        <f>"202303041017"</f>
        <v>202303041017</v>
      </c>
      <c r="D1219" s="13">
        <v>96.8</v>
      </c>
      <c r="E1219" s="14">
        <v>102</v>
      </c>
      <c r="F1219" s="15" t="s">
        <v>8</v>
      </c>
    </row>
    <row r="1220" spans="1:6" ht="17.100000000000001" customHeight="1">
      <c r="A1220" s="11" t="s">
        <v>1226</v>
      </c>
      <c r="B1220" s="12">
        <v>202303050</v>
      </c>
      <c r="C1220" s="12" t="str">
        <f>"202303041018"</f>
        <v>202303041018</v>
      </c>
      <c r="D1220" s="13">
        <v>83.4</v>
      </c>
      <c r="E1220" s="14">
        <v>97</v>
      </c>
      <c r="F1220" s="15" t="s">
        <v>8</v>
      </c>
    </row>
    <row r="1221" spans="1:6" ht="17.100000000000001" customHeight="1">
      <c r="A1221" s="11" t="s">
        <v>1227</v>
      </c>
      <c r="B1221" s="12">
        <v>202303050</v>
      </c>
      <c r="C1221" s="12" t="str">
        <f>"202303041019"</f>
        <v>202303041019</v>
      </c>
      <c r="D1221" s="13">
        <v>0</v>
      </c>
      <c r="E1221" s="14">
        <v>0</v>
      </c>
      <c r="F1221" s="15" t="s">
        <v>12</v>
      </c>
    </row>
    <row r="1222" spans="1:6" ht="17.100000000000001" customHeight="1">
      <c r="A1222" s="11" t="s">
        <v>1228</v>
      </c>
      <c r="B1222" s="12">
        <v>202303050</v>
      </c>
      <c r="C1222" s="12" t="str">
        <f>"202303041020"</f>
        <v>202303041020</v>
      </c>
      <c r="D1222" s="13">
        <v>51.7</v>
      </c>
      <c r="E1222" s="14">
        <v>96</v>
      </c>
      <c r="F1222" s="15" t="s">
        <v>8</v>
      </c>
    </row>
    <row r="1223" spans="1:6" ht="17.100000000000001" customHeight="1">
      <c r="A1223" s="11" t="s">
        <v>1229</v>
      </c>
      <c r="B1223" s="12">
        <v>202303050</v>
      </c>
      <c r="C1223" s="12" t="str">
        <f>"202303041021"</f>
        <v>202303041021</v>
      </c>
      <c r="D1223" s="13">
        <v>0</v>
      </c>
      <c r="E1223" s="14">
        <v>0</v>
      </c>
      <c r="F1223" s="15" t="s">
        <v>12</v>
      </c>
    </row>
    <row r="1224" spans="1:6" ht="17.100000000000001" customHeight="1">
      <c r="A1224" s="11" t="s">
        <v>1230</v>
      </c>
      <c r="B1224" s="12">
        <v>202303050</v>
      </c>
      <c r="C1224" s="12" t="str">
        <f>"202303041022"</f>
        <v>202303041022</v>
      </c>
      <c r="D1224" s="13">
        <v>63.7</v>
      </c>
      <c r="E1224" s="14">
        <v>109</v>
      </c>
      <c r="F1224" s="15" t="s">
        <v>8</v>
      </c>
    </row>
    <row r="1225" spans="1:6" ht="17.100000000000001" customHeight="1">
      <c r="A1225" s="11" t="s">
        <v>1231</v>
      </c>
      <c r="B1225" s="12">
        <v>202303050</v>
      </c>
      <c r="C1225" s="12" t="str">
        <f>"202303041023"</f>
        <v>202303041023</v>
      </c>
      <c r="D1225" s="13">
        <v>87.3</v>
      </c>
      <c r="E1225" s="14">
        <v>88</v>
      </c>
      <c r="F1225" s="15" t="s">
        <v>8</v>
      </c>
    </row>
    <row r="1226" spans="1:6" ht="17.100000000000001" customHeight="1">
      <c r="A1226" s="11" t="s">
        <v>1232</v>
      </c>
      <c r="B1226" s="12">
        <v>202303050</v>
      </c>
      <c r="C1226" s="12" t="str">
        <f>"202303041024"</f>
        <v>202303041024</v>
      </c>
      <c r="D1226" s="13">
        <v>0</v>
      </c>
      <c r="E1226" s="14">
        <v>0</v>
      </c>
      <c r="F1226" s="15" t="s">
        <v>12</v>
      </c>
    </row>
    <row r="1227" spans="1:6" ht="17.100000000000001" customHeight="1">
      <c r="A1227" s="11" t="s">
        <v>1233</v>
      </c>
      <c r="B1227" s="12">
        <v>202303050</v>
      </c>
      <c r="C1227" s="12" t="str">
        <f>"202303041025"</f>
        <v>202303041025</v>
      </c>
      <c r="D1227" s="13">
        <v>79.400000000000006</v>
      </c>
      <c r="E1227" s="14">
        <v>80.5</v>
      </c>
      <c r="F1227" s="15" t="s">
        <v>8</v>
      </c>
    </row>
    <row r="1228" spans="1:6" ht="17.100000000000001" customHeight="1">
      <c r="A1228" s="11" t="s">
        <v>1234</v>
      </c>
      <c r="B1228" s="12">
        <v>202303050</v>
      </c>
      <c r="C1228" s="12" t="str">
        <f>"202303041026"</f>
        <v>202303041026</v>
      </c>
      <c r="D1228" s="13">
        <v>0</v>
      </c>
      <c r="E1228" s="14">
        <v>0</v>
      </c>
      <c r="F1228" s="15" t="s">
        <v>12</v>
      </c>
    </row>
    <row r="1229" spans="1:6" ht="17.100000000000001" customHeight="1">
      <c r="A1229" s="11" t="s">
        <v>1235</v>
      </c>
      <c r="B1229" s="12">
        <v>202303050</v>
      </c>
      <c r="C1229" s="12" t="str">
        <f>"202303041027"</f>
        <v>202303041027</v>
      </c>
      <c r="D1229" s="13">
        <v>62.2</v>
      </c>
      <c r="E1229" s="14">
        <v>89.5</v>
      </c>
      <c r="F1229" s="15" t="s">
        <v>8</v>
      </c>
    </row>
    <row r="1230" spans="1:6" ht="17.100000000000001" customHeight="1">
      <c r="A1230" s="11" t="s">
        <v>1236</v>
      </c>
      <c r="B1230" s="12">
        <v>202303050</v>
      </c>
      <c r="C1230" s="12" t="str">
        <f>"202303041028"</f>
        <v>202303041028</v>
      </c>
      <c r="D1230" s="13">
        <v>91.2</v>
      </c>
      <c r="E1230" s="14">
        <v>82</v>
      </c>
      <c r="F1230" s="15" t="s">
        <v>8</v>
      </c>
    </row>
    <row r="1231" spans="1:6" ht="17.100000000000001" customHeight="1">
      <c r="A1231" s="11" t="s">
        <v>1237</v>
      </c>
      <c r="B1231" s="12">
        <v>202303050</v>
      </c>
      <c r="C1231" s="12" t="str">
        <f>"202303041029"</f>
        <v>202303041029</v>
      </c>
      <c r="D1231" s="13">
        <v>64.900000000000006</v>
      </c>
      <c r="E1231" s="14">
        <v>96.5</v>
      </c>
      <c r="F1231" s="15" t="s">
        <v>8</v>
      </c>
    </row>
    <row r="1232" spans="1:6" ht="17.100000000000001" customHeight="1">
      <c r="A1232" s="11" t="s">
        <v>1238</v>
      </c>
      <c r="B1232" s="12">
        <v>202303051</v>
      </c>
      <c r="C1232" s="12" t="str">
        <f>"202303041030"</f>
        <v>202303041030</v>
      </c>
      <c r="D1232" s="13">
        <v>0</v>
      </c>
      <c r="E1232" s="14">
        <v>0</v>
      </c>
      <c r="F1232" s="15" t="s">
        <v>12</v>
      </c>
    </row>
    <row r="1233" spans="1:6" ht="17.100000000000001" customHeight="1">
      <c r="A1233" s="11" t="s">
        <v>1239</v>
      </c>
      <c r="B1233" s="12">
        <v>202303051</v>
      </c>
      <c r="C1233" s="12" t="str">
        <f>"202303042001"</f>
        <v>202303042001</v>
      </c>
      <c r="D1233" s="13">
        <v>58.6</v>
      </c>
      <c r="E1233" s="14">
        <v>62.5</v>
      </c>
      <c r="F1233" s="15" t="s">
        <v>8</v>
      </c>
    </row>
    <row r="1234" spans="1:6" ht="17.100000000000001" customHeight="1">
      <c r="A1234" s="11" t="s">
        <v>1240</v>
      </c>
      <c r="B1234" s="12">
        <v>202303051</v>
      </c>
      <c r="C1234" s="12" t="str">
        <f>"202303042002"</f>
        <v>202303042002</v>
      </c>
      <c r="D1234" s="13">
        <v>88.2</v>
      </c>
      <c r="E1234" s="14">
        <v>93</v>
      </c>
      <c r="F1234" s="15" t="s">
        <v>8</v>
      </c>
    </row>
    <row r="1235" spans="1:6" ht="17.100000000000001" customHeight="1">
      <c r="A1235" s="11" t="s">
        <v>1241</v>
      </c>
      <c r="B1235" s="12">
        <v>202303051</v>
      </c>
      <c r="C1235" s="12" t="str">
        <f>"202303042003"</f>
        <v>202303042003</v>
      </c>
      <c r="D1235" s="13">
        <v>104.7</v>
      </c>
      <c r="E1235" s="14">
        <v>102.5</v>
      </c>
      <c r="F1235" s="15" t="s">
        <v>8</v>
      </c>
    </row>
    <row r="1236" spans="1:6" ht="17.100000000000001" customHeight="1">
      <c r="A1236" s="11" t="s">
        <v>1242</v>
      </c>
      <c r="B1236" s="12">
        <v>202303051</v>
      </c>
      <c r="C1236" s="12" t="str">
        <f>"202303042004"</f>
        <v>202303042004</v>
      </c>
      <c r="D1236" s="13">
        <v>62.9</v>
      </c>
      <c r="E1236" s="14">
        <v>105</v>
      </c>
      <c r="F1236" s="15" t="s">
        <v>8</v>
      </c>
    </row>
    <row r="1237" spans="1:6" ht="17.100000000000001" customHeight="1">
      <c r="A1237" s="11" t="s">
        <v>1243</v>
      </c>
      <c r="B1237" s="12">
        <v>202303051</v>
      </c>
      <c r="C1237" s="12" t="str">
        <f>"202303042005"</f>
        <v>202303042005</v>
      </c>
      <c r="D1237" s="13">
        <v>0</v>
      </c>
      <c r="E1237" s="14">
        <v>0</v>
      </c>
      <c r="F1237" s="15" t="s">
        <v>12</v>
      </c>
    </row>
    <row r="1238" spans="1:6" ht="17.100000000000001" customHeight="1">
      <c r="A1238" s="11" t="s">
        <v>1244</v>
      </c>
      <c r="B1238" s="12">
        <v>202303051</v>
      </c>
      <c r="C1238" s="12" t="str">
        <f>"202303042006"</f>
        <v>202303042006</v>
      </c>
      <c r="D1238" s="13">
        <v>0</v>
      </c>
      <c r="E1238" s="14">
        <v>0</v>
      </c>
      <c r="F1238" s="15" t="s">
        <v>12</v>
      </c>
    </row>
    <row r="1239" spans="1:6" ht="17.100000000000001" customHeight="1">
      <c r="A1239" s="11" t="s">
        <v>1245</v>
      </c>
      <c r="B1239" s="12">
        <v>202303051</v>
      </c>
      <c r="C1239" s="12" t="str">
        <f>"202303042007"</f>
        <v>202303042007</v>
      </c>
      <c r="D1239" s="13">
        <v>72.5</v>
      </c>
      <c r="E1239" s="14">
        <v>104.5</v>
      </c>
      <c r="F1239" s="15" t="s">
        <v>8</v>
      </c>
    </row>
    <row r="1240" spans="1:6" ht="17.100000000000001" customHeight="1">
      <c r="A1240" s="11" t="s">
        <v>1246</v>
      </c>
      <c r="B1240" s="12">
        <v>202303051</v>
      </c>
      <c r="C1240" s="12" t="str">
        <f>"202303042008"</f>
        <v>202303042008</v>
      </c>
      <c r="D1240" s="13">
        <v>79.599999999999994</v>
      </c>
      <c r="E1240" s="14">
        <v>101</v>
      </c>
      <c r="F1240" s="15" t="s">
        <v>8</v>
      </c>
    </row>
    <row r="1241" spans="1:6" ht="17.100000000000001" customHeight="1">
      <c r="A1241" s="11" t="s">
        <v>1247</v>
      </c>
      <c r="B1241" s="12">
        <v>202303051</v>
      </c>
      <c r="C1241" s="12" t="str">
        <f>"202303042009"</f>
        <v>202303042009</v>
      </c>
      <c r="D1241" s="13">
        <v>81.3</v>
      </c>
      <c r="E1241" s="14">
        <v>99</v>
      </c>
      <c r="F1241" s="15" t="s">
        <v>8</v>
      </c>
    </row>
    <row r="1242" spans="1:6" ht="17.100000000000001" customHeight="1">
      <c r="A1242" s="11" t="s">
        <v>1248</v>
      </c>
      <c r="B1242" s="12">
        <v>202303051</v>
      </c>
      <c r="C1242" s="12" t="str">
        <f>"202303042010"</f>
        <v>202303042010</v>
      </c>
      <c r="D1242" s="13">
        <v>0</v>
      </c>
      <c r="E1242" s="14">
        <v>0</v>
      </c>
      <c r="F1242" s="15" t="s">
        <v>12</v>
      </c>
    </row>
    <row r="1243" spans="1:6" ht="17.100000000000001" customHeight="1">
      <c r="A1243" s="11" t="s">
        <v>1249</v>
      </c>
      <c r="B1243" s="12">
        <v>202303051</v>
      </c>
      <c r="C1243" s="12" t="str">
        <f>"202303042011"</f>
        <v>202303042011</v>
      </c>
      <c r="D1243" s="13">
        <v>0</v>
      </c>
      <c r="E1243" s="14">
        <v>0</v>
      </c>
      <c r="F1243" s="15" t="s">
        <v>12</v>
      </c>
    </row>
    <row r="1244" spans="1:6" ht="17.100000000000001" customHeight="1">
      <c r="A1244" s="11" t="s">
        <v>1250</v>
      </c>
      <c r="B1244" s="12">
        <v>202303051</v>
      </c>
      <c r="C1244" s="12" t="str">
        <f>"202303042012"</f>
        <v>202303042012</v>
      </c>
      <c r="D1244" s="13">
        <v>100.1</v>
      </c>
      <c r="E1244" s="14">
        <v>100.5</v>
      </c>
      <c r="F1244" s="15" t="s">
        <v>8</v>
      </c>
    </row>
    <row r="1245" spans="1:6" ht="17.100000000000001" customHeight="1">
      <c r="A1245" s="11" t="s">
        <v>1251</v>
      </c>
      <c r="B1245" s="12">
        <v>202303051</v>
      </c>
      <c r="C1245" s="12" t="str">
        <f>"202303042013"</f>
        <v>202303042013</v>
      </c>
      <c r="D1245" s="13">
        <v>93.9</v>
      </c>
      <c r="E1245" s="14">
        <v>74</v>
      </c>
      <c r="F1245" s="15" t="s">
        <v>8</v>
      </c>
    </row>
    <row r="1246" spans="1:6" ht="17.100000000000001" customHeight="1">
      <c r="A1246" s="11" t="s">
        <v>1252</v>
      </c>
      <c r="B1246" s="12">
        <v>202303051</v>
      </c>
      <c r="C1246" s="12" t="str">
        <f>"202303042014"</f>
        <v>202303042014</v>
      </c>
      <c r="D1246" s="13">
        <v>0</v>
      </c>
      <c r="E1246" s="14">
        <v>0</v>
      </c>
      <c r="F1246" s="15" t="s">
        <v>12</v>
      </c>
    </row>
    <row r="1247" spans="1:6" ht="17.100000000000001" customHeight="1">
      <c r="A1247" s="11" t="s">
        <v>1253</v>
      </c>
      <c r="B1247" s="12">
        <v>202303051</v>
      </c>
      <c r="C1247" s="12" t="str">
        <f>"202303042015"</f>
        <v>202303042015</v>
      </c>
      <c r="D1247" s="13">
        <v>102.7</v>
      </c>
      <c r="E1247" s="14">
        <v>93.5</v>
      </c>
      <c r="F1247" s="15" t="s">
        <v>8</v>
      </c>
    </row>
    <row r="1248" spans="1:6" ht="17.100000000000001" customHeight="1">
      <c r="A1248" s="11" t="s">
        <v>1254</v>
      </c>
      <c r="B1248" s="12">
        <v>202303051</v>
      </c>
      <c r="C1248" s="12" t="str">
        <f>"202303042016"</f>
        <v>202303042016</v>
      </c>
      <c r="D1248" s="13">
        <v>91.4</v>
      </c>
      <c r="E1248" s="14">
        <v>106.5</v>
      </c>
      <c r="F1248" s="15" t="s">
        <v>8</v>
      </c>
    </row>
    <row r="1249" spans="1:6" ht="17.100000000000001" customHeight="1">
      <c r="A1249" s="11" t="s">
        <v>1255</v>
      </c>
      <c r="B1249" s="12">
        <v>202303051</v>
      </c>
      <c r="C1249" s="12" t="str">
        <f>"202303042017"</f>
        <v>202303042017</v>
      </c>
      <c r="D1249" s="13">
        <v>93.9</v>
      </c>
      <c r="E1249" s="14">
        <v>102.5</v>
      </c>
      <c r="F1249" s="15" t="s">
        <v>8</v>
      </c>
    </row>
    <row r="1250" spans="1:6" ht="17.100000000000001" customHeight="1">
      <c r="A1250" s="11" t="s">
        <v>1256</v>
      </c>
      <c r="B1250" s="12">
        <v>202303051</v>
      </c>
      <c r="C1250" s="12" t="str">
        <f>"202303042018"</f>
        <v>202303042018</v>
      </c>
      <c r="D1250" s="13">
        <v>92.9</v>
      </c>
      <c r="E1250" s="14">
        <v>87</v>
      </c>
      <c r="F1250" s="15" t="s">
        <v>8</v>
      </c>
    </row>
    <row r="1251" spans="1:6" ht="17.100000000000001" customHeight="1">
      <c r="A1251" s="11" t="s">
        <v>1257</v>
      </c>
      <c r="B1251" s="12">
        <v>202303051</v>
      </c>
      <c r="C1251" s="12" t="str">
        <f>"202303042019"</f>
        <v>202303042019</v>
      </c>
      <c r="D1251" s="13">
        <v>0</v>
      </c>
      <c r="E1251" s="14">
        <v>0</v>
      </c>
      <c r="F1251" s="15" t="s">
        <v>12</v>
      </c>
    </row>
    <row r="1252" spans="1:6" ht="17.100000000000001" customHeight="1">
      <c r="A1252" s="11" t="s">
        <v>1258</v>
      </c>
      <c r="B1252" s="12">
        <v>202303051</v>
      </c>
      <c r="C1252" s="12" t="str">
        <f>"202303042020"</f>
        <v>202303042020</v>
      </c>
      <c r="D1252" s="13">
        <v>82.3</v>
      </c>
      <c r="E1252" s="14">
        <v>84.5</v>
      </c>
      <c r="F1252" s="15" t="s">
        <v>8</v>
      </c>
    </row>
    <row r="1253" spans="1:6" ht="17.100000000000001" customHeight="1">
      <c r="A1253" s="11" t="s">
        <v>1259</v>
      </c>
      <c r="B1253" s="12">
        <v>202303051</v>
      </c>
      <c r="C1253" s="12" t="str">
        <f>"202303042021"</f>
        <v>202303042021</v>
      </c>
      <c r="D1253" s="13">
        <v>86.6</v>
      </c>
      <c r="E1253" s="14">
        <v>107</v>
      </c>
      <c r="F1253" s="15" t="s">
        <v>8</v>
      </c>
    </row>
    <row r="1254" spans="1:6" ht="17.100000000000001" customHeight="1">
      <c r="A1254" s="11" t="s">
        <v>1260</v>
      </c>
      <c r="B1254" s="12">
        <v>202303051</v>
      </c>
      <c r="C1254" s="12" t="str">
        <f>"202303042022"</f>
        <v>202303042022</v>
      </c>
      <c r="D1254" s="13">
        <v>76.900000000000006</v>
      </c>
      <c r="E1254" s="14">
        <v>101</v>
      </c>
      <c r="F1254" s="15" t="s">
        <v>8</v>
      </c>
    </row>
    <row r="1255" spans="1:6" ht="17.100000000000001" customHeight="1">
      <c r="A1255" s="11" t="s">
        <v>1261</v>
      </c>
      <c r="B1255" s="12">
        <v>202303051</v>
      </c>
      <c r="C1255" s="12" t="str">
        <f>"202303042023"</f>
        <v>202303042023</v>
      </c>
      <c r="D1255" s="13">
        <v>0</v>
      </c>
      <c r="E1255" s="14">
        <v>0</v>
      </c>
      <c r="F1255" s="15" t="s">
        <v>12</v>
      </c>
    </row>
    <row r="1256" spans="1:6" ht="17.100000000000001" customHeight="1">
      <c r="A1256" s="11" t="s">
        <v>1262</v>
      </c>
      <c r="B1256" s="12">
        <v>202303051</v>
      </c>
      <c r="C1256" s="12" t="str">
        <f>"202303042024"</f>
        <v>202303042024</v>
      </c>
      <c r="D1256" s="13">
        <v>80.900000000000006</v>
      </c>
      <c r="E1256" s="14">
        <v>78</v>
      </c>
      <c r="F1256" s="15" t="s">
        <v>8</v>
      </c>
    </row>
    <row r="1257" spans="1:6" ht="17.100000000000001" customHeight="1">
      <c r="A1257" s="11" t="s">
        <v>1263</v>
      </c>
      <c r="B1257" s="12">
        <v>202303051</v>
      </c>
      <c r="C1257" s="12" t="str">
        <f>"202303042025"</f>
        <v>202303042025</v>
      </c>
      <c r="D1257" s="13">
        <v>0</v>
      </c>
      <c r="E1257" s="14">
        <v>0</v>
      </c>
      <c r="F1257" s="15" t="s">
        <v>12</v>
      </c>
    </row>
    <row r="1258" spans="1:6" ht="17.100000000000001" customHeight="1">
      <c r="A1258" s="11" t="s">
        <v>1264</v>
      </c>
      <c r="B1258" s="12">
        <v>202303051</v>
      </c>
      <c r="C1258" s="12" t="str">
        <f>"202303042026"</f>
        <v>202303042026</v>
      </c>
      <c r="D1258" s="13">
        <v>0</v>
      </c>
      <c r="E1258" s="14">
        <v>0</v>
      </c>
      <c r="F1258" s="15" t="s">
        <v>12</v>
      </c>
    </row>
    <row r="1259" spans="1:6" ht="17.100000000000001" customHeight="1">
      <c r="A1259" s="11" t="s">
        <v>1265</v>
      </c>
      <c r="B1259" s="12">
        <v>202303051</v>
      </c>
      <c r="C1259" s="12" t="str">
        <f>"202303042027"</f>
        <v>202303042027</v>
      </c>
      <c r="D1259" s="13">
        <v>0</v>
      </c>
      <c r="E1259" s="14">
        <v>0</v>
      </c>
      <c r="F1259" s="15" t="s">
        <v>12</v>
      </c>
    </row>
    <row r="1260" spans="1:6" ht="17.100000000000001" customHeight="1">
      <c r="A1260" s="11" t="s">
        <v>1266</v>
      </c>
      <c r="B1260" s="12">
        <v>202303051</v>
      </c>
      <c r="C1260" s="12" t="str">
        <f>"202303042028"</f>
        <v>202303042028</v>
      </c>
      <c r="D1260" s="13">
        <v>99.9</v>
      </c>
      <c r="E1260" s="14">
        <v>100.5</v>
      </c>
      <c r="F1260" s="15" t="s">
        <v>8</v>
      </c>
    </row>
    <row r="1261" spans="1:6" ht="17.100000000000001" customHeight="1">
      <c r="A1261" s="11" t="s">
        <v>1267</v>
      </c>
      <c r="B1261" s="12">
        <v>202303051</v>
      </c>
      <c r="C1261" s="12" t="str">
        <f>"202303042029"</f>
        <v>202303042029</v>
      </c>
      <c r="D1261" s="13">
        <v>80.8</v>
      </c>
      <c r="E1261" s="14">
        <v>101.5</v>
      </c>
      <c r="F1261" s="15" t="s">
        <v>8</v>
      </c>
    </row>
    <row r="1262" spans="1:6" ht="17.100000000000001" customHeight="1">
      <c r="A1262" s="11" t="s">
        <v>1268</v>
      </c>
      <c r="B1262" s="12">
        <v>202303051</v>
      </c>
      <c r="C1262" s="12" t="str">
        <f>"202303042030"</f>
        <v>202303042030</v>
      </c>
      <c r="D1262" s="13">
        <v>78</v>
      </c>
      <c r="E1262" s="14">
        <v>107.5</v>
      </c>
      <c r="F1262" s="15" t="s">
        <v>8</v>
      </c>
    </row>
    <row r="1263" spans="1:6" ht="17.100000000000001" customHeight="1">
      <c r="A1263" s="11" t="s">
        <v>1269</v>
      </c>
      <c r="B1263" s="12">
        <v>202303051</v>
      </c>
      <c r="C1263" s="12" t="str">
        <f>"202303043001"</f>
        <v>202303043001</v>
      </c>
      <c r="D1263" s="13">
        <v>0</v>
      </c>
      <c r="E1263" s="14">
        <v>0</v>
      </c>
      <c r="F1263" s="15" t="s">
        <v>12</v>
      </c>
    </row>
    <row r="1264" spans="1:6" ht="17.100000000000001" customHeight="1">
      <c r="A1264" s="11" t="s">
        <v>1270</v>
      </c>
      <c r="B1264" s="12">
        <v>202303051</v>
      </c>
      <c r="C1264" s="12" t="str">
        <f>"202303043002"</f>
        <v>202303043002</v>
      </c>
      <c r="D1264" s="13">
        <v>88.9</v>
      </c>
      <c r="E1264" s="14">
        <v>85.5</v>
      </c>
      <c r="F1264" s="15" t="s">
        <v>8</v>
      </c>
    </row>
    <row r="1265" spans="1:6" ht="17.100000000000001" customHeight="1">
      <c r="A1265" s="11" t="s">
        <v>1271</v>
      </c>
      <c r="B1265" s="12">
        <v>202303051</v>
      </c>
      <c r="C1265" s="12" t="str">
        <f>"202303043003"</f>
        <v>202303043003</v>
      </c>
      <c r="D1265" s="13">
        <v>117.2</v>
      </c>
      <c r="E1265" s="14">
        <v>94</v>
      </c>
      <c r="F1265" s="15" t="s">
        <v>8</v>
      </c>
    </row>
    <row r="1266" spans="1:6" ht="17.100000000000001" customHeight="1">
      <c r="A1266" s="11" t="s">
        <v>1272</v>
      </c>
      <c r="B1266" s="12">
        <v>202303051</v>
      </c>
      <c r="C1266" s="12" t="str">
        <f>"202303043004"</f>
        <v>202303043004</v>
      </c>
      <c r="D1266" s="13">
        <v>0</v>
      </c>
      <c r="E1266" s="14">
        <v>0</v>
      </c>
      <c r="F1266" s="15" t="s">
        <v>12</v>
      </c>
    </row>
    <row r="1267" spans="1:6" ht="17.100000000000001" customHeight="1">
      <c r="A1267" s="11" t="s">
        <v>1273</v>
      </c>
      <c r="B1267" s="12">
        <v>202303051</v>
      </c>
      <c r="C1267" s="12" t="str">
        <f>"202303043005"</f>
        <v>202303043005</v>
      </c>
      <c r="D1267" s="13">
        <v>81.099999999999994</v>
      </c>
      <c r="E1267" s="14">
        <v>92</v>
      </c>
      <c r="F1267" s="15" t="s">
        <v>8</v>
      </c>
    </row>
    <row r="1268" spans="1:6" ht="17.100000000000001" customHeight="1">
      <c r="A1268" s="11" t="s">
        <v>1274</v>
      </c>
      <c r="B1268" s="12">
        <v>202303051</v>
      </c>
      <c r="C1268" s="12" t="str">
        <f>"202303043006"</f>
        <v>202303043006</v>
      </c>
      <c r="D1268" s="13">
        <v>84.5</v>
      </c>
      <c r="E1268" s="14">
        <v>94.5</v>
      </c>
      <c r="F1268" s="15" t="s">
        <v>8</v>
      </c>
    </row>
    <row r="1269" spans="1:6" ht="17.100000000000001" customHeight="1">
      <c r="A1269" s="11" t="s">
        <v>1275</v>
      </c>
      <c r="B1269" s="12">
        <v>202303051</v>
      </c>
      <c r="C1269" s="12" t="str">
        <f>"202303043007"</f>
        <v>202303043007</v>
      </c>
      <c r="D1269" s="13">
        <v>69.099999999999994</v>
      </c>
      <c r="E1269" s="14">
        <v>93.5</v>
      </c>
      <c r="F1269" s="15" t="s">
        <v>8</v>
      </c>
    </row>
    <row r="1270" spans="1:6" ht="17.100000000000001" customHeight="1">
      <c r="A1270" s="11" t="s">
        <v>1276</v>
      </c>
      <c r="B1270" s="12">
        <v>202303051</v>
      </c>
      <c r="C1270" s="12" t="str">
        <f>"202303043008"</f>
        <v>202303043008</v>
      </c>
      <c r="D1270" s="13">
        <v>74.5</v>
      </c>
      <c r="E1270" s="14">
        <v>96</v>
      </c>
      <c r="F1270" s="15" t="s">
        <v>8</v>
      </c>
    </row>
    <row r="1271" spans="1:6" ht="17.100000000000001" customHeight="1">
      <c r="A1271" s="11" t="s">
        <v>1277</v>
      </c>
      <c r="B1271" s="12">
        <v>202303051</v>
      </c>
      <c r="C1271" s="12" t="str">
        <f>"202303043009"</f>
        <v>202303043009</v>
      </c>
      <c r="D1271" s="13">
        <v>87.3</v>
      </c>
      <c r="E1271" s="14">
        <v>104</v>
      </c>
      <c r="F1271" s="15" t="s">
        <v>8</v>
      </c>
    </row>
    <row r="1272" spans="1:6" ht="17.100000000000001" customHeight="1">
      <c r="A1272" s="11" t="s">
        <v>1278</v>
      </c>
      <c r="B1272" s="12">
        <v>202303051</v>
      </c>
      <c r="C1272" s="12" t="str">
        <f>"202303043010"</f>
        <v>202303043010</v>
      </c>
      <c r="D1272" s="13">
        <v>91.9</v>
      </c>
      <c r="E1272" s="14">
        <v>98</v>
      </c>
      <c r="F1272" s="15" t="s">
        <v>8</v>
      </c>
    </row>
    <row r="1273" spans="1:6" ht="17.100000000000001" customHeight="1">
      <c r="A1273" s="11" t="s">
        <v>1279</v>
      </c>
      <c r="B1273" s="12">
        <v>202303051</v>
      </c>
      <c r="C1273" s="12" t="str">
        <f>"202303043011"</f>
        <v>202303043011</v>
      </c>
      <c r="D1273" s="13">
        <v>0</v>
      </c>
      <c r="E1273" s="14">
        <v>0</v>
      </c>
      <c r="F1273" s="15" t="s">
        <v>12</v>
      </c>
    </row>
    <row r="1274" spans="1:6" ht="17.100000000000001" customHeight="1">
      <c r="A1274" s="11" t="s">
        <v>1280</v>
      </c>
      <c r="B1274" s="12">
        <v>202303051</v>
      </c>
      <c r="C1274" s="12" t="str">
        <f>"202303043012"</f>
        <v>202303043012</v>
      </c>
      <c r="D1274" s="13">
        <v>62.5</v>
      </c>
      <c r="E1274" s="14">
        <v>92.5</v>
      </c>
      <c r="F1274" s="15" t="s">
        <v>8</v>
      </c>
    </row>
    <row r="1275" spans="1:6" ht="17.100000000000001" customHeight="1">
      <c r="A1275" s="11" t="s">
        <v>1281</v>
      </c>
      <c r="B1275" s="12">
        <v>202303051</v>
      </c>
      <c r="C1275" s="12" t="str">
        <f>"202303043013"</f>
        <v>202303043013</v>
      </c>
      <c r="D1275" s="13">
        <v>0</v>
      </c>
      <c r="E1275" s="14">
        <v>0</v>
      </c>
      <c r="F1275" s="15" t="s">
        <v>12</v>
      </c>
    </row>
    <row r="1276" spans="1:6" ht="17.100000000000001" customHeight="1">
      <c r="A1276" s="11" t="s">
        <v>1282</v>
      </c>
      <c r="B1276" s="12">
        <v>202303051</v>
      </c>
      <c r="C1276" s="12" t="str">
        <f>"202303043014"</f>
        <v>202303043014</v>
      </c>
      <c r="D1276" s="13">
        <v>85.7</v>
      </c>
      <c r="E1276" s="14">
        <v>99.5</v>
      </c>
      <c r="F1276" s="15" t="s">
        <v>8</v>
      </c>
    </row>
    <row r="1277" spans="1:6" ht="17.100000000000001" customHeight="1">
      <c r="A1277" s="11" t="s">
        <v>1283</v>
      </c>
      <c r="B1277" s="12">
        <v>202303051</v>
      </c>
      <c r="C1277" s="12" t="str">
        <f>"202303043015"</f>
        <v>202303043015</v>
      </c>
      <c r="D1277" s="13">
        <v>0</v>
      </c>
      <c r="E1277" s="14">
        <v>0</v>
      </c>
      <c r="F1277" s="15" t="s">
        <v>12</v>
      </c>
    </row>
    <row r="1278" spans="1:6" ht="17.100000000000001" customHeight="1">
      <c r="A1278" s="11" t="s">
        <v>1284</v>
      </c>
      <c r="B1278" s="12">
        <v>202303051</v>
      </c>
      <c r="C1278" s="12" t="str">
        <f>"202303043016"</f>
        <v>202303043016</v>
      </c>
      <c r="D1278" s="13">
        <v>0</v>
      </c>
      <c r="E1278" s="14">
        <v>0</v>
      </c>
      <c r="F1278" s="15" t="s">
        <v>12</v>
      </c>
    </row>
    <row r="1279" spans="1:6" ht="17.100000000000001" customHeight="1">
      <c r="A1279" s="11" t="s">
        <v>1285</v>
      </c>
      <c r="B1279" s="12">
        <v>202303051</v>
      </c>
      <c r="C1279" s="12" t="str">
        <f>"202303043017"</f>
        <v>202303043017</v>
      </c>
      <c r="D1279" s="13">
        <v>78</v>
      </c>
      <c r="E1279" s="14">
        <v>113</v>
      </c>
      <c r="F1279" s="15" t="s">
        <v>8</v>
      </c>
    </row>
    <row r="1280" spans="1:6" ht="17.100000000000001" customHeight="1">
      <c r="A1280" s="11" t="s">
        <v>1286</v>
      </c>
      <c r="B1280" s="12">
        <v>202303051</v>
      </c>
      <c r="C1280" s="12" t="str">
        <f>"202303043018"</f>
        <v>202303043018</v>
      </c>
      <c r="D1280" s="13">
        <v>81.8</v>
      </c>
      <c r="E1280" s="14">
        <v>108.5</v>
      </c>
      <c r="F1280" s="15" t="s">
        <v>8</v>
      </c>
    </row>
    <row r="1281" spans="1:6" ht="17.100000000000001" customHeight="1">
      <c r="A1281" s="11" t="s">
        <v>1287</v>
      </c>
      <c r="B1281" s="12">
        <v>202303051</v>
      </c>
      <c r="C1281" s="12" t="str">
        <f>"202303043019"</f>
        <v>202303043019</v>
      </c>
      <c r="D1281" s="13">
        <v>63.2</v>
      </c>
      <c r="E1281" s="14">
        <v>62.5</v>
      </c>
      <c r="F1281" s="15" t="s">
        <v>8</v>
      </c>
    </row>
    <row r="1282" spans="1:6" ht="17.100000000000001" customHeight="1">
      <c r="A1282" s="11" t="s">
        <v>1288</v>
      </c>
      <c r="B1282" s="12">
        <v>202303051</v>
      </c>
      <c r="C1282" s="12" t="str">
        <f>"202303043020"</f>
        <v>202303043020</v>
      </c>
      <c r="D1282" s="13">
        <v>77.2</v>
      </c>
      <c r="E1282" s="14">
        <v>100.5</v>
      </c>
      <c r="F1282" s="15" t="s">
        <v>8</v>
      </c>
    </row>
    <row r="1283" spans="1:6" ht="17.100000000000001" customHeight="1">
      <c r="A1283" s="11" t="s">
        <v>1289</v>
      </c>
      <c r="B1283" s="12">
        <v>202303052</v>
      </c>
      <c r="C1283" s="12" t="str">
        <f>"202303043021"</f>
        <v>202303043021</v>
      </c>
      <c r="D1283" s="13">
        <v>75.400000000000006</v>
      </c>
      <c r="E1283" s="14">
        <v>102.5</v>
      </c>
      <c r="F1283" s="15" t="s">
        <v>8</v>
      </c>
    </row>
    <row r="1284" spans="1:6" ht="17.100000000000001" customHeight="1">
      <c r="A1284" s="11" t="s">
        <v>1290</v>
      </c>
      <c r="B1284" s="12">
        <v>202303052</v>
      </c>
      <c r="C1284" s="12" t="str">
        <f>"202303043022"</f>
        <v>202303043022</v>
      </c>
      <c r="D1284" s="13">
        <v>69.900000000000006</v>
      </c>
      <c r="E1284" s="14">
        <v>97.5</v>
      </c>
      <c r="F1284" s="15" t="s">
        <v>8</v>
      </c>
    </row>
    <row r="1285" spans="1:6" ht="17.100000000000001" customHeight="1">
      <c r="A1285" s="11" t="s">
        <v>1291</v>
      </c>
      <c r="B1285" s="12">
        <v>202303052</v>
      </c>
      <c r="C1285" s="12" t="str">
        <f>"202303043023"</f>
        <v>202303043023</v>
      </c>
      <c r="D1285" s="13">
        <v>78.5</v>
      </c>
      <c r="E1285" s="14">
        <v>100</v>
      </c>
      <c r="F1285" s="15" t="s">
        <v>8</v>
      </c>
    </row>
    <row r="1286" spans="1:6" ht="17.100000000000001" customHeight="1">
      <c r="A1286" s="11" t="s">
        <v>1292</v>
      </c>
      <c r="B1286" s="12">
        <v>202303052</v>
      </c>
      <c r="C1286" s="12" t="str">
        <f>"202303043024"</f>
        <v>202303043024</v>
      </c>
      <c r="D1286" s="13">
        <v>67.2</v>
      </c>
      <c r="E1286" s="14">
        <v>103.5</v>
      </c>
      <c r="F1286" s="15" t="s">
        <v>8</v>
      </c>
    </row>
    <row r="1287" spans="1:6" ht="17.100000000000001" customHeight="1">
      <c r="A1287" s="11" t="s">
        <v>1293</v>
      </c>
      <c r="B1287" s="12">
        <v>202303052</v>
      </c>
      <c r="C1287" s="12" t="str">
        <f>"202303043025"</f>
        <v>202303043025</v>
      </c>
      <c r="D1287" s="13">
        <v>67.400000000000006</v>
      </c>
      <c r="E1287" s="14">
        <v>97</v>
      </c>
      <c r="F1287" s="15" t="s">
        <v>8</v>
      </c>
    </row>
    <row r="1288" spans="1:6" ht="17.100000000000001" customHeight="1">
      <c r="A1288" s="11" t="s">
        <v>1294</v>
      </c>
      <c r="B1288" s="12">
        <v>202303052</v>
      </c>
      <c r="C1288" s="12" t="str">
        <f>"202303043026"</f>
        <v>202303043026</v>
      </c>
      <c r="D1288" s="13">
        <v>81.400000000000006</v>
      </c>
      <c r="E1288" s="14">
        <v>105.5</v>
      </c>
      <c r="F1288" s="15" t="s">
        <v>8</v>
      </c>
    </row>
    <row r="1289" spans="1:6" ht="17.100000000000001" customHeight="1">
      <c r="A1289" s="11" t="s">
        <v>1295</v>
      </c>
      <c r="B1289" s="12">
        <v>202303052</v>
      </c>
      <c r="C1289" s="12" t="str">
        <f>"202303043027"</f>
        <v>202303043027</v>
      </c>
      <c r="D1289" s="13">
        <v>81.8</v>
      </c>
      <c r="E1289" s="14">
        <v>105</v>
      </c>
      <c r="F1289" s="15" t="s">
        <v>8</v>
      </c>
    </row>
    <row r="1290" spans="1:6" ht="17.100000000000001" customHeight="1">
      <c r="A1290" s="11" t="s">
        <v>1296</v>
      </c>
      <c r="B1290" s="12">
        <v>202303052</v>
      </c>
      <c r="C1290" s="12" t="str">
        <f>"202303043028"</f>
        <v>202303043028</v>
      </c>
      <c r="D1290" s="13">
        <v>92</v>
      </c>
      <c r="E1290" s="14">
        <v>104.5</v>
      </c>
      <c r="F1290" s="15" t="s">
        <v>8</v>
      </c>
    </row>
    <row r="1291" spans="1:6" ht="17.100000000000001" customHeight="1">
      <c r="A1291" s="11" t="s">
        <v>1297</v>
      </c>
      <c r="B1291" s="12">
        <v>202303052</v>
      </c>
      <c r="C1291" s="12" t="str">
        <f>"202303043029"</f>
        <v>202303043029</v>
      </c>
      <c r="D1291" s="13">
        <v>70.8</v>
      </c>
      <c r="E1291" s="14">
        <v>99.5</v>
      </c>
      <c r="F1291" s="15" t="s">
        <v>8</v>
      </c>
    </row>
    <row r="1292" spans="1:6" ht="17.100000000000001" customHeight="1">
      <c r="A1292" s="11" t="s">
        <v>1298</v>
      </c>
      <c r="B1292" s="12">
        <v>202303053</v>
      </c>
      <c r="C1292" s="12" t="str">
        <f>"202303043030"</f>
        <v>202303043030</v>
      </c>
      <c r="D1292" s="13">
        <v>67.599999999999994</v>
      </c>
      <c r="E1292" s="14">
        <v>90</v>
      </c>
      <c r="F1292" s="15" t="s">
        <v>8</v>
      </c>
    </row>
    <row r="1293" spans="1:6" ht="17.100000000000001" customHeight="1">
      <c r="A1293" s="11" t="s">
        <v>1299</v>
      </c>
      <c r="B1293" s="12">
        <v>202303053</v>
      </c>
      <c r="C1293" s="12" t="str">
        <f>"202303044001"</f>
        <v>202303044001</v>
      </c>
      <c r="D1293" s="13">
        <v>101.8</v>
      </c>
      <c r="E1293" s="14">
        <v>100.5</v>
      </c>
      <c r="F1293" s="15" t="s">
        <v>8</v>
      </c>
    </row>
    <row r="1294" spans="1:6" ht="17.100000000000001" customHeight="1">
      <c r="A1294" s="11" t="s">
        <v>1300</v>
      </c>
      <c r="B1294" s="12">
        <v>202303053</v>
      </c>
      <c r="C1294" s="12" t="str">
        <f>"202303044002"</f>
        <v>202303044002</v>
      </c>
      <c r="D1294" s="13">
        <v>100.2</v>
      </c>
      <c r="E1294" s="14">
        <v>100</v>
      </c>
      <c r="F1294" s="15" t="s">
        <v>8</v>
      </c>
    </row>
    <row r="1295" spans="1:6" ht="17.100000000000001" customHeight="1">
      <c r="A1295" s="11" t="s">
        <v>1301</v>
      </c>
      <c r="B1295" s="12">
        <v>202303053</v>
      </c>
      <c r="C1295" s="12" t="str">
        <f>"202303044003"</f>
        <v>202303044003</v>
      </c>
      <c r="D1295" s="13">
        <v>93.2</v>
      </c>
      <c r="E1295" s="14">
        <v>84.5</v>
      </c>
      <c r="F1295" s="15" t="s">
        <v>8</v>
      </c>
    </row>
    <row r="1296" spans="1:6" ht="17.100000000000001" customHeight="1">
      <c r="A1296" s="11" t="s">
        <v>1302</v>
      </c>
      <c r="B1296" s="12">
        <v>202303053</v>
      </c>
      <c r="C1296" s="12" t="str">
        <f>"202303044004"</f>
        <v>202303044004</v>
      </c>
      <c r="D1296" s="13">
        <v>73.3</v>
      </c>
      <c r="E1296" s="14">
        <v>87.5</v>
      </c>
      <c r="F1296" s="15" t="s">
        <v>8</v>
      </c>
    </row>
    <row r="1297" spans="1:6" ht="17.100000000000001" customHeight="1">
      <c r="A1297" s="11" t="s">
        <v>1303</v>
      </c>
      <c r="B1297" s="12">
        <v>202303053</v>
      </c>
      <c r="C1297" s="12" t="str">
        <f>"202303044005"</f>
        <v>202303044005</v>
      </c>
      <c r="D1297" s="13">
        <v>85.5</v>
      </c>
      <c r="E1297" s="14">
        <v>90</v>
      </c>
      <c r="F1297" s="15" t="s">
        <v>8</v>
      </c>
    </row>
    <row r="1298" spans="1:6" ht="17.100000000000001" customHeight="1">
      <c r="A1298" s="11" t="s">
        <v>1304</v>
      </c>
      <c r="B1298" s="12">
        <v>202303053</v>
      </c>
      <c r="C1298" s="12" t="str">
        <f>"202303044006"</f>
        <v>202303044006</v>
      </c>
      <c r="D1298" s="13">
        <v>76.3</v>
      </c>
      <c r="E1298" s="14">
        <v>68.5</v>
      </c>
      <c r="F1298" s="15" t="s">
        <v>8</v>
      </c>
    </row>
    <row r="1299" spans="1:6" ht="17.100000000000001" customHeight="1">
      <c r="A1299" s="11" t="s">
        <v>1305</v>
      </c>
      <c r="B1299" s="12">
        <v>202303053</v>
      </c>
      <c r="C1299" s="12" t="str">
        <f>"202303044007"</f>
        <v>202303044007</v>
      </c>
      <c r="D1299" s="13">
        <v>71.7</v>
      </c>
      <c r="E1299" s="14">
        <v>90</v>
      </c>
      <c r="F1299" s="15" t="s">
        <v>8</v>
      </c>
    </row>
    <row r="1300" spans="1:6" ht="17.100000000000001" customHeight="1">
      <c r="A1300" s="11" t="s">
        <v>1306</v>
      </c>
      <c r="B1300" s="12">
        <v>202303053</v>
      </c>
      <c r="C1300" s="12" t="str">
        <f>"202303044008"</f>
        <v>202303044008</v>
      </c>
      <c r="D1300" s="13">
        <v>85.2</v>
      </c>
      <c r="E1300" s="14">
        <v>81.5</v>
      </c>
      <c r="F1300" s="15" t="s">
        <v>8</v>
      </c>
    </row>
    <row r="1301" spans="1:6" ht="17.100000000000001" customHeight="1">
      <c r="A1301" s="11" t="s">
        <v>1307</v>
      </c>
      <c r="B1301" s="12">
        <v>202303053</v>
      </c>
      <c r="C1301" s="12" t="str">
        <f>"202303044009"</f>
        <v>202303044009</v>
      </c>
      <c r="D1301" s="13">
        <v>104.5</v>
      </c>
      <c r="E1301" s="14">
        <v>105.5</v>
      </c>
      <c r="F1301" s="15" t="s">
        <v>8</v>
      </c>
    </row>
    <row r="1302" spans="1:6" ht="17.100000000000001" customHeight="1">
      <c r="A1302" s="11" t="s">
        <v>1308</v>
      </c>
      <c r="B1302" s="12">
        <v>202303053</v>
      </c>
      <c r="C1302" s="12" t="str">
        <f>"202303044010"</f>
        <v>202303044010</v>
      </c>
      <c r="D1302" s="13">
        <v>78.3</v>
      </c>
      <c r="E1302" s="14">
        <v>105.5</v>
      </c>
      <c r="F1302" s="15" t="s">
        <v>8</v>
      </c>
    </row>
    <row r="1303" spans="1:6" ht="17.100000000000001" customHeight="1">
      <c r="A1303" s="11" t="s">
        <v>1309</v>
      </c>
      <c r="B1303" s="12">
        <v>202303053</v>
      </c>
      <c r="C1303" s="12" t="str">
        <f>"202303044011"</f>
        <v>202303044011</v>
      </c>
      <c r="D1303" s="13">
        <v>86.4</v>
      </c>
      <c r="E1303" s="14">
        <v>104.5</v>
      </c>
      <c r="F1303" s="15" t="s">
        <v>8</v>
      </c>
    </row>
    <row r="1304" spans="1:6" ht="17.100000000000001" customHeight="1">
      <c r="A1304" s="11" t="s">
        <v>1310</v>
      </c>
      <c r="B1304" s="12">
        <v>202303053</v>
      </c>
      <c r="C1304" s="12" t="str">
        <f>"202303044012"</f>
        <v>202303044012</v>
      </c>
      <c r="D1304" s="13">
        <v>64.400000000000006</v>
      </c>
      <c r="E1304" s="14">
        <v>96.5</v>
      </c>
      <c r="F1304" s="15" t="s">
        <v>8</v>
      </c>
    </row>
    <row r="1305" spans="1:6" ht="17.100000000000001" customHeight="1">
      <c r="A1305" s="11" t="s">
        <v>1311</v>
      </c>
      <c r="B1305" s="12">
        <v>202303053</v>
      </c>
      <c r="C1305" s="12" t="str">
        <f>"202303044013"</f>
        <v>202303044013</v>
      </c>
      <c r="D1305" s="13">
        <v>0</v>
      </c>
      <c r="E1305" s="14">
        <v>0</v>
      </c>
      <c r="F1305" s="15" t="s">
        <v>12</v>
      </c>
    </row>
    <row r="1306" spans="1:6" ht="17.100000000000001" customHeight="1">
      <c r="A1306" s="11" t="s">
        <v>1312</v>
      </c>
      <c r="B1306" s="12">
        <v>202303054</v>
      </c>
      <c r="C1306" s="12" t="str">
        <f>"202303044014"</f>
        <v>202303044014</v>
      </c>
      <c r="D1306" s="13">
        <v>78.5</v>
      </c>
      <c r="E1306" s="14">
        <v>92.5</v>
      </c>
      <c r="F1306" s="15" t="s">
        <v>8</v>
      </c>
    </row>
    <row r="1307" spans="1:6" ht="17.100000000000001" customHeight="1">
      <c r="A1307" s="11" t="s">
        <v>1313</v>
      </c>
      <c r="B1307" s="12">
        <v>202303054</v>
      </c>
      <c r="C1307" s="12" t="str">
        <f>"202303044015"</f>
        <v>202303044015</v>
      </c>
      <c r="D1307" s="13">
        <v>92.2</v>
      </c>
      <c r="E1307" s="14">
        <v>106.5</v>
      </c>
      <c r="F1307" s="15" t="s">
        <v>8</v>
      </c>
    </row>
    <row r="1308" spans="1:6" ht="17.100000000000001" customHeight="1">
      <c r="A1308" s="11" t="s">
        <v>1314</v>
      </c>
      <c r="B1308" s="12">
        <v>202303054</v>
      </c>
      <c r="C1308" s="12" t="str">
        <f>"202303044016"</f>
        <v>202303044016</v>
      </c>
      <c r="D1308" s="13">
        <v>84.8</v>
      </c>
      <c r="E1308" s="14">
        <v>114.5</v>
      </c>
      <c r="F1308" s="15" t="s">
        <v>8</v>
      </c>
    </row>
    <row r="1309" spans="1:6" ht="17.100000000000001" customHeight="1">
      <c r="A1309" s="11" t="s">
        <v>1315</v>
      </c>
      <c r="B1309" s="12">
        <v>202303054</v>
      </c>
      <c r="C1309" s="12" t="str">
        <f>"202303044017"</f>
        <v>202303044017</v>
      </c>
      <c r="D1309" s="13">
        <v>99.1</v>
      </c>
      <c r="E1309" s="14">
        <v>115.5</v>
      </c>
      <c r="F1309" s="15" t="s">
        <v>8</v>
      </c>
    </row>
    <row r="1310" spans="1:6" ht="17.100000000000001" customHeight="1">
      <c r="A1310" s="11" t="s">
        <v>1316</v>
      </c>
      <c r="B1310" s="12">
        <v>202303054</v>
      </c>
      <c r="C1310" s="12" t="str">
        <f>"202303044018"</f>
        <v>202303044018</v>
      </c>
      <c r="D1310" s="13">
        <v>70</v>
      </c>
      <c r="E1310" s="14">
        <v>93</v>
      </c>
      <c r="F1310" s="15" t="s">
        <v>8</v>
      </c>
    </row>
    <row r="1311" spans="1:6" ht="17.100000000000001" customHeight="1">
      <c r="A1311" s="11" t="s">
        <v>1317</v>
      </c>
      <c r="B1311" s="12">
        <v>202303054</v>
      </c>
      <c r="C1311" s="12" t="str">
        <f>"202303044019"</f>
        <v>202303044019</v>
      </c>
      <c r="D1311" s="13">
        <v>87</v>
      </c>
      <c r="E1311" s="14">
        <v>108.5</v>
      </c>
      <c r="F1311" s="15" t="s">
        <v>8</v>
      </c>
    </row>
    <row r="1312" spans="1:6" ht="17.100000000000001" customHeight="1">
      <c r="A1312" s="11" t="s">
        <v>1318</v>
      </c>
      <c r="B1312" s="12">
        <v>202303054</v>
      </c>
      <c r="C1312" s="12" t="str">
        <f>"202303044020"</f>
        <v>202303044020</v>
      </c>
      <c r="D1312" s="13">
        <v>84.8</v>
      </c>
      <c r="E1312" s="14">
        <v>108.5</v>
      </c>
      <c r="F1312" s="15" t="s">
        <v>8</v>
      </c>
    </row>
    <row r="1313" spans="1:6" ht="17.100000000000001" customHeight="1">
      <c r="A1313" s="11" t="s">
        <v>1319</v>
      </c>
      <c r="B1313" s="12">
        <v>202303054</v>
      </c>
      <c r="C1313" s="12" t="str">
        <f>"202303044021"</f>
        <v>202303044021</v>
      </c>
      <c r="D1313" s="13">
        <v>92.2</v>
      </c>
      <c r="E1313" s="14">
        <v>78.5</v>
      </c>
      <c r="F1313" s="15" t="s">
        <v>8</v>
      </c>
    </row>
    <row r="1314" spans="1:6" ht="17.100000000000001" customHeight="1">
      <c r="A1314" s="11" t="s">
        <v>1320</v>
      </c>
      <c r="B1314" s="12">
        <v>202303054</v>
      </c>
      <c r="C1314" s="12" t="str">
        <f>"202303044022"</f>
        <v>202303044022</v>
      </c>
      <c r="D1314" s="13">
        <v>84</v>
      </c>
      <c r="E1314" s="14">
        <v>104.5</v>
      </c>
      <c r="F1314" s="15" t="s">
        <v>8</v>
      </c>
    </row>
    <row r="1315" spans="1:6" ht="17.100000000000001" customHeight="1">
      <c r="A1315" s="11" t="s">
        <v>1321</v>
      </c>
      <c r="B1315" s="12">
        <v>202303055</v>
      </c>
      <c r="C1315" s="12" t="str">
        <f>"202303044023"</f>
        <v>202303044023</v>
      </c>
      <c r="D1315" s="13">
        <v>86.1</v>
      </c>
      <c r="E1315" s="14">
        <v>106.5</v>
      </c>
      <c r="F1315" s="15" t="s">
        <v>8</v>
      </c>
    </row>
    <row r="1316" spans="1:6" ht="17.100000000000001" customHeight="1">
      <c r="A1316" s="11" t="s">
        <v>1322</v>
      </c>
      <c r="B1316" s="12">
        <v>202303055</v>
      </c>
      <c r="C1316" s="12" t="str">
        <f>"202303044024"</f>
        <v>202303044024</v>
      </c>
      <c r="D1316" s="13">
        <v>83.8</v>
      </c>
      <c r="E1316" s="14">
        <v>101.5</v>
      </c>
      <c r="F1316" s="15" t="s">
        <v>8</v>
      </c>
    </row>
    <row r="1317" spans="1:6" ht="17.100000000000001" customHeight="1">
      <c r="A1317" s="11" t="s">
        <v>1323</v>
      </c>
      <c r="B1317" s="12">
        <v>202303055</v>
      </c>
      <c r="C1317" s="12" t="str">
        <f>"202303044025"</f>
        <v>202303044025</v>
      </c>
      <c r="D1317" s="13">
        <v>91.8</v>
      </c>
      <c r="E1317" s="14">
        <v>104.5</v>
      </c>
      <c r="F1317" s="15" t="s">
        <v>8</v>
      </c>
    </row>
    <row r="1318" spans="1:6" ht="17.100000000000001" customHeight="1">
      <c r="A1318" s="11" t="s">
        <v>1324</v>
      </c>
      <c r="B1318" s="12">
        <v>202303055</v>
      </c>
      <c r="C1318" s="12" t="str">
        <f>"202303044026"</f>
        <v>202303044026</v>
      </c>
      <c r="D1318" s="13">
        <v>0</v>
      </c>
      <c r="E1318" s="14">
        <v>0</v>
      </c>
      <c r="F1318" s="15" t="s">
        <v>12</v>
      </c>
    </row>
    <row r="1319" spans="1:6" ht="17.100000000000001" customHeight="1">
      <c r="A1319" s="11" t="s">
        <v>1325</v>
      </c>
      <c r="B1319" s="12">
        <v>202303055</v>
      </c>
      <c r="C1319" s="12" t="str">
        <f>"202303044027"</f>
        <v>202303044027</v>
      </c>
      <c r="D1319" s="13">
        <v>81.2</v>
      </c>
      <c r="E1319" s="14">
        <v>106.5</v>
      </c>
      <c r="F1319" s="15" t="s">
        <v>8</v>
      </c>
    </row>
    <row r="1320" spans="1:6" ht="17.100000000000001" customHeight="1">
      <c r="A1320" s="11" t="s">
        <v>1326</v>
      </c>
      <c r="B1320" s="12">
        <v>202303055</v>
      </c>
      <c r="C1320" s="12" t="str">
        <f>"202303044028"</f>
        <v>202303044028</v>
      </c>
      <c r="D1320" s="13">
        <v>0</v>
      </c>
      <c r="E1320" s="14">
        <v>0</v>
      </c>
      <c r="F1320" s="15" t="s">
        <v>12</v>
      </c>
    </row>
    <row r="1321" spans="1:6" ht="17.100000000000001" customHeight="1">
      <c r="A1321" s="11" t="s">
        <v>1327</v>
      </c>
      <c r="B1321" s="12">
        <v>202303055</v>
      </c>
      <c r="C1321" s="12" t="str">
        <f>"202303044029"</f>
        <v>202303044029</v>
      </c>
      <c r="D1321" s="13">
        <v>81.7</v>
      </c>
      <c r="E1321" s="14">
        <v>102.5</v>
      </c>
      <c r="F1321" s="15" t="s">
        <v>8</v>
      </c>
    </row>
    <row r="1322" spans="1:6" ht="17.100000000000001" customHeight="1">
      <c r="A1322" s="11" t="s">
        <v>1328</v>
      </c>
      <c r="B1322" s="12">
        <v>202303055</v>
      </c>
      <c r="C1322" s="12" t="str">
        <f>"202303044030"</f>
        <v>202303044030</v>
      </c>
      <c r="D1322" s="13">
        <v>100</v>
      </c>
      <c r="E1322" s="14">
        <v>95.5</v>
      </c>
      <c r="F1322" s="15" t="s">
        <v>8</v>
      </c>
    </row>
    <row r="1323" spans="1:6" ht="17.100000000000001" customHeight="1">
      <c r="A1323" s="11" t="s">
        <v>1329</v>
      </c>
      <c r="B1323" s="12">
        <v>202303055</v>
      </c>
      <c r="C1323" s="12" t="str">
        <f>"202303045001"</f>
        <v>202303045001</v>
      </c>
      <c r="D1323" s="13">
        <v>94.5</v>
      </c>
      <c r="E1323" s="14">
        <v>98</v>
      </c>
      <c r="F1323" s="15" t="s">
        <v>8</v>
      </c>
    </row>
    <row r="1324" spans="1:6" ht="17.100000000000001" customHeight="1">
      <c r="A1324" s="11" t="s">
        <v>1330</v>
      </c>
      <c r="B1324" s="12">
        <v>202303055</v>
      </c>
      <c r="C1324" s="12" t="str">
        <f>"202303045002"</f>
        <v>202303045002</v>
      </c>
      <c r="D1324" s="13">
        <v>78.099999999999994</v>
      </c>
      <c r="E1324" s="14">
        <v>95.5</v>
      </c>
      <c r="F1324" s="15" t="s">
        <v>8</v>
      </c>
    </row>
    <row r="1325" spans="1:6" ht="17.100000000000001" customHeight="1">
      <c r="A1325" s="11" t="s">
        <v>1331</v>
      </c>
      <c r="B1325" s="12">
        <v>202303055</v>
      </c>
      <c r="C1325" s="12" t="str">
        <f>"202303045003"</f>
        <v>202303045003</v>
      </c>
      <c r="D1325" s="13">
        <v>0</v>
      </c>
      <c r="E1325" s="14">
        <v>0</v>
      </c>
      <c r="F1325" s="15" t="s">
        <v>12</v>
      </c>
    </row>
    <row r="1326" spans="1:6" ht="17.100000000000001" customHeight="1">
      <c r="A1326" s="11" t="s">
        <v>1332</v>
      </c>
      <c r="B1326" s="12">
        <v>202303055</v>
      </c>
      <c r="C1326" s="12" t="str">
        <f>"202303045004"</f>
        <v>202303045004</v>
      </c>
      <c r="D1326" s="13">
        <v>79.8</v>
      </c>
      <c r="E1326" s="14">
        <v>97.5</v>
      </c>
      <c r="F1326" s="15" t="s">
        <v>8</v>
      </c>
    </row>
    <row r="1327" spans="1:6" ht="17.100000000000001" customHeight="1">
      <c r="A1327" s="11" t="s">
        <v>1333</v>
      </c>
      <c r="B1327" s="12">
        <v>202303055</v>
      </c>
      <c r="C1327" s="12" t="str">
        <f>"202303045005"</f>
        <v>202303045005</v>
      </c>
      <c r="D1327" s="13">
        <v>91.6</v>
      </c>
      <c r="E1327" s="14">
        <v>95.5</v>
      </c>
      <c r="F1327" s="15" t="s">
        <v>8</v>
      </c>
    </row>
    <row r="1328" spans="1:6" ht="17.100000000000001" customHeight="1">
      <c r="A1328" s="11" t="s">
        <v>1334</v>
      </c>
      <c r="B1328" s="12">
        <v>202303055</v>
      </c>
      <c r="C1328" s="12" t="str">
        <f>"202303045006"</f>
        <v>202303045006</v>
      </c>
      <c r="D1328" s="13">
        <v>88.1</v>
      </c>
      <c r="E1328" s="14">
        <v>105.5</v>
      </c>
      <c r="F1328" s="15" t="s">
        <v>8</v>
      </c>
    </row>
    <row r="1329" spans="1:6" ht="17.100000000000001" customHeight="1">
      <c r="A1329" s="11" t="s">
        <v>1335</v>
      </c>
      <c r="B1329" s="12">
        <v>202303055</v>
      </c>
      <c r="C1329" s="12" t="str">
        <f>"202303045007"</f>
        <v>202303045007</v>
      </c>
      <c r="D1329" s="13">
        <v>99.2</v>
      </c>
      <c r="E1329" s="14">
        <v>100</v>
      </c>
      <c r="F1329" s="15" t="s">
        <v>8</v>
      </c>
    </row>
    <row r="1330" spans="1:6" ht="17.100000000000001" customHeight="1">
      <c r="A1330" s="11" t="s">
        <v>1336</v>
      </c>
      <c r="B1330" s="12">
        <v>202303056</v>
      </c>
      <c r="C1330" s="12" t="str">
        <f>"202303045008"</f>
        <v>202303045008</v>
      </c>
      <c r="D1330" s="13">
        <v>0</v>
      </c>
      <c r="E1330" s="14">
        <v>0</v>
      </c>
      <c r="F1330" s="15" t="s">
        <v>12</v>
      </c>
    </row>
    <row r="1331" spans="1:6" ht="17.100000000000001" customHeight="1">
      <c r="A1331" s="11" t="s">
        <v>1337</v>
      </c>
      <c r="B1331" s="12">
        <v>202303056</v>
      </c>
      <c r="C1331" s="12" t="str">
        <f>"202303045009"</f>
        <v>202303045009</v>
      </c>
      <c r="D1331" s="13">
        <v>85</v>
      </c>
      <c r="E1331" s="14">
        <v>101.5</v>
      </c>
      <c r="F1331" s="15" t="s">
        <v>8</v>
      </c>
    </row>
    <row r="1332" spans="1:6" ht="17.100000000000001" customHeight="1">
      <c r="A1332" s="11" t="s">
        <v>1338</v>
      </c>
      <c r="B1332" s="12">
        <v>202303056</v>
      </c>
      <c r="C1332" s="12" t="str">
        <f>"202303045010"</f>
        <v>202303045010</v>
      </c>
      <c r="D1332" s="13">
        <v>0</v>
      </c>
      <c r="E1332" s="14">
        <v>0</v>
      </c>
      <c r="F1332" s="15" t="s">
        <v>12</v>
      </c>
    </row>
    <row r="1333" spans="1:6" ht="17.100000000000001" customHeight="1">
      <c r="A1333" s="11" t="s">
        <v>1339</v>
      </c>
      <c r="B1333" s="12">
        <v>202303056</v>
      </c>
      <c r="C1333" s="12" t="str">
        <f>"202303045011"</f>
        <v>202303045011</v>
      </c>
      <c r="D1333" s="13">
        <v>0</v>
      </c>
      <c r="E1333" s="14">
        <v>0</v>
      </c>
      <c r="F1333" s="15" t="s">
        <v>12</v>
      </c>
    </row>
    <row r="1334" spans="1:6" ht="17.100000000000001" customHeight="1">
      <c r="A1334" s="11" t="s">
        <v>1340</v>
      </c>
      <c r="B1334" s="12">
        <v>202303057</v>
      </c>
      <c r="C1334" s="12" t="str">
        <f>"202303045012"</f>
        <v>202303045012</v>
      </c>
      <c r="D1334" s="13">
        <v>0</v>
      </c>
      <c r="E1334" s="14">
        <v>0</v>
      </c>
      <c r="F1334" s="15" t="s">
        <v>12</v>
      </c>
    </row>
    <row r="1335" spans="1:6" ht="17.100000000000001" customHeight="1">
      <c r="A1335" s="11" t="s">
        <v>1341</v>
      </c>
      <c r="B1335" s="12">
        <v>202303057</v>
      </c>
      <c r="C1335" s="12" t="str">
        <f>"202303045013"</f>
        <v>202303045013</v>
      </c>
      <c r="D1335" s="13">
        <v>86.9</v>
      </c>
      <c r="E1335" s="14">
        <v>105.5</v>
      </c>
      <c r="F1335" s="15" t="s">
        <v>8</v>
      </c>
    </row>
    <row r="1336" spans="1:6" ht="17.100000000000001" customHeight="1">
      <c r="A1336" s="11" t="s">
        <v>1342</v>
      </c>
      <c r="B1336" s="12">
        <v>202303057</v>
      </c>
      <c r="C1336" s="12" t="str">
        <f>"202303045014"</f>
        <v>202303045014</v>
      </c>
      <c r="D1336" s="13">
        <v>74.5</v>
      </c>
      <c r="E1336" s="14">
        <v>98.5</v>
      </c>
      <c r="F1336" s="15" t="s">
        <v>8</v>
      </c>
    </row>
    <row r="1337" spans="1:6" ht="17.100000000000001" customHeight="1">
      <c r="A1337" s="11" t="s">
        <v>1343</v>
      </c>
      <c r="B1337" s="12">
        <v>202303057</v>
      </c>
      <c r="C1337" s="12" t="str">
        <f>"202303045015"</f>
        <v>202303045015</v>
      </c>
      <c r="D1337" s="13">
        <v>81.900000000000006</v>
      </c>
      <c r="E1337" s="14">
        <v>108.5</v>
      </c>
      <c r="F1337" s="15" t="s">
        <v>8</v>
      </c>
    </row>
    <row r="1338" spans="1:6" ht="17.100000000000001" customHeight="1">
      <c r="A1338" s="11" t="s">
        <v>1344</v>
      </c>
      <c r="B1338" s="12">
        <v>202303057</v>
      </c>
      <c r="C1338" s="12" t="str">
        <f>"202303045016"</f>
        <v>202303045016</v>
      </c>
      <c r="D1338" s="13">
        <v>0</v>
      </c>
      <c r="E1338" s="14">
        <v>0</v>
      </c>
      <c r="F1338" s="15" t="s">
        <v>12</v>
      </c>
    </row>
    <row r="1339" spans="1:6" ht="17.100000000000001" customHeight="1">
      <c r="A1339" s="11" t="s">
        <v>1345</v>
      </c>
      <c r="B1339" s="12">
        <v>202303057</v>
      </c>
      <c r="C1339" s="12" t="str">
        <f>"202303045017"</f>
        <v>202303045017</v>
      </c>
      <c r="D1339" s="13">
        <v>0</v>
      </c>
      <c r="E1339" s="14">
        <v>0</v>
      </c>
      <c r="F1339" s="15" t="s">
        <v>12</v>
      </c>
    </row>
    <row r="1340" spans="1:6" ht="17.100000000000001" customHeight="1">
      <c r="A1340" s="11" t="s">
        <v>1346</v>
      </c>
      <c r="B1340" s="12">
        <v>202303057</v>
      </c>
      <c r="C1340" s="12" t="str">
        <f>"202303045018"</f>
        <v>202303045018</v>
      </c>
      <c r="D1340" s="13">
        <v>93.6</v>
      </c>
      <c r="E1340" s="14">
        <v>102.5</v>
      </c>
      <c r="F1340" s="15" t="s">
        <v>8</v>
      </c>
    </row>
    <row r="1341" spans="1:6" ht="17.100000000000001" customHeight="1">
      <c r="A1341" s="11" t="s">
        <v>1347</v>
      </c>
      <c r="B1341" s="12">
        <v>202303057</v>
      </c>
      <c r="C1341" s="12" t="str">
        <f>"202303045019"</f>
        <v>202303045019</v>
      </c>
      <c r="D1341" s="13">
        <v>76.5</v>
      </c>
      <c r="E1341" s="14">
        <v>99.5</v>
      </c>
      <c r="F1341" s="15" t="s">
        <v>8</v>
      </c>
    </row>
    <row r="1342" spans="1:6" ht="17.100000000000001" customHeight="1">
      <c r="A1342" s="11" t="s">
        <v>1348</v>
      </c>
      <c r="B1342" s="12">
        <v>202303057</v>
      </c>
      <c r="C1342" s="12" t="str">
        <f>"202303045020"</f>
        <v>202303045020</v>
      </c>
      <c r="D1342" s="13">
        <v>84.7</v>
      </c>
      <c r="E1342" s="14">
        <v>104.5</v>
      </c>
      <c r="F1342" s="15" t="s">
        <v>8</v>
      </c>
    </row>
    <row r="1343" spans="1:6" ht="17.100000000000001" customHeight="1">
      <c r="A1343" s="11" t="s">
        <v>1349</v>
      </c>
      <c r="B1343" s="12">
        <v>202303057</v>
      </c>
      <c r="C1343" s="12" t="str">
        <f>"202303045021"</f>
        <v>202303045021</v>
      </c>
      <c r="D1343" s="13">
        <v>0</v>
      </c>
      <c r="E1343" s="14">
        <v>0</v>
      </c>
      <c r="F1343" s="15" t="s">
        <v>12</v>
      </c>
    </row>
    <row r="1344" spans="1:6" ht="17.100000000000001" customHeight="1">
      <c r="A1344" s="11" t="s">
        <v>1350</v>
      </c>
      <c r="B1344" s="12">
        <v>202303057</v>
      </c>
      <c r="C1344" s="12" t="str">
        <f>"202303045022"</f>
        <v>202303045022</v>
      </c>
      <c r="D1344" s="13">
        <v>82.3</v>
      </c>
      <c r="E1344" s="14">
        <v>102.5</v>
      </c>
      <c r="F1344" s="15" t="s">
        <v>8</v>
      </c>
    </row>
    <row r="1345" spans="1:6" ht="17.100000000000001" customHeight="1">
      <c r="A1345" s="11" t="s">
        <v>1351</v>
      </c>
      <c r="B1345" s="12">
        <v>202303057</v>
      </c>
      <c r="C1345" s="12" t="str">
        <f>"202303045023"</f>
        <v>202303045023</v>
      </c>
      <c r="D1345" s="13">
        <v>0</v>
      </c>
      <c r="E1345" s="14">
        <v>0</v>
      </c>
      <c r="F1345" s="15" t="s">
        <v>12</v>
      </c>
    </row>
    <row r="1346" spans="1:6" ht="17.100000000000001" customHeight="1">
      <c r="A1346" s="11" t="s">
        <v>1352</v>
      </c>
      <c r="B1346" s="12">
        <v>202303057</v>
      </c>
      <c r="C1346" s="12" t="str">
        <f>"202303045024"</f>
        <v>202303045024</v>
      </c>
      <c r="D1346" s="13">
        <v>92.1</v>
      </c>
      <c r="E1346" s="14">
        <v>99.5</v>
      </c>
      <c r="F1346" s="15" t="s">
        <v>8</v>
      </c>
    </row>
    <row r="1347" spans="1:6" ht="17.100000000000001" customHeight="1">
      <c r="A1347" s="11" t="s">
        <v>1353</v>
      </c>
      <c r="B1347" s="12">
        <v>202303057</v>
      </c>
      <c r="C1347" s="12" t="str">
        <f>"202303045025"</f>
        <v>202303045025</v>
      </c>
      <c r="D1347" s="13">
        <v>0</v>
      </c>
      <c r="E1347" s="14">
        <v>0</v>
      </c>
      <c r="F1347" s="15" t="s">
        <v>12</v>
      </c>
    </row>
    <row r="1348" spans="1:6" ht="17.100000000000001" customHeight="1">
      <c r="A1348" s="11" t="s">
        <v>1354</v>
      </c>
      <c r="B1348" s="12">
        <v>202303057</v>
      </c>
      <c r="C1348" s="12" t="str">
        <f>"202303045026"</f>
        <v>202303045026</v>
      </c>
      <c r="D1348" s="13">
        <v>71.7</v>
      </c>
      <c r="E1348" s="14">
        <v>100</v>
      </c>
      <c r="F1348" s="15" t="s">
        <v>8</v>
      </c>
    </row>
    <row r="1349" spans="1:6" ht="17.100000000000001" customHeight="1">
      <c r="A1349" s="11" t="s">
        <v>1355</v>
      </c>
      <c r="B1349" s="12">
        <v>202303058</v>
      </c>
      <c r="C1349" s="12" t="str">
        <f>"202303045027"</f>
        <v>202303045027</v>
      </c>
      <c r="D1349" s="13">
        <v>77.8</v>
      </c>
      <c r="E1349" s="14">
        <v>92.5</v>
      </c>
      <c r="F1349" s="15" t="s">
        <v>8</v>
      </c>
    </row>
    <row r="1350" spans="1:6" ht="17.100000000000001" customHeight="1">
      <c r="A1350" s="11" t="s">
        <v>1356</v>
      </c>
      <c r="B1350" s="12">
        <v>202303058</v>
      </c>
      <c r="C1350" s="12" t="str">
        <f>"202303045028"</f>
        <v>202303045028</v>
      </c>
      <c r="D1350" s="13">
        <v>87.4</v>
      </c>
      <c r="E1350" s="14">
        <v>101.5</v>
      </c>
      <c r="F1350" s="15" t="s">
        <v>8</v>
      </c>
    </row>
    <row r="1351" spans="1:6" ht="17.100000000000001" customHeight="1">
      <c r="A1351" s="11" t="s">
        <v>1357</v>
      </c>
      <c r="B1351" s="12">
        <v>202303058</v>
      </c>
      <c r="C1351" s="12" t="str">
        <f>"202303045029"</f>
        <v>202303045029</v>
      </c>
      <c r="D1351" s="13">
        <v>80.099999999999994</v>
      </c>
      <c r="E1351" s="14">
        <v>90.5</v>
      </c>
      <c r="F1351" s="15" t="s">
        <v>8</v>
      </c>
    </row>
    <row r="1352" spans="1:6" ht="17.100000000000001" customHeight="1">
      <c r="A1352" s="11" t="s">
        <v>1358</v>
      </c>
      <c r="B1352" s="12">
        <v>202303058</v>
      </c>
      <c r="C1352" s="12" t="str">
        <f>"202303045030"</f>
        <v>202303045030</v>
      </c>
      <c r="D1352" s="13">
        <v>84.4</v>
      </c>
      <c r="E1352" s="14">
        <v>101.5</v>
      </c>
      <c r="F1352" s="15" t="s">
        <v>8</v>
      </c>
    </row>
    <row r="1353" spans="1:6" ht="17.100000000000001" customHeight="1">
      <c r="A1353" s="11" t="s">
        <v>1359</v>
      </c>
      <c r="B1353" s="12">
        <v>202303058</v>
      </c>
      <c r="C1353" s="12" t="str">
        <f>"202303046001"</f>
        <v>202303046001</v>
      </c>
      <c r="D1353" s="13">
        <v>63.4</v>
      </c>
      <c r="E1353" s="14">
        <v>86</v>
      </c>
      <c r="F1353" s="15" t="s">
        <v>8</v>
      </c>
    </row>
    <row r="1354" spans="1:6" ht="17.100000000000001" customHeight="1">
      <c r="A1354" s="11" t="s">
        <v>1360</v>
      </c>
      <c r="B1354" s="12">
        <v>202303058</v>
      </c>
      <c r="C1354" s="12" t="str">
        <f>"202303046002"</f>
        <v>202303046002</v>
      </c>
      <c r="D1354" s="13">
        <v>58.4</v>
      </c>
      <c r="E1354" s="14">
        <v>95.5</v>
      </c>
      <c r="F1354" s="15" t="s">
        <v>8</v>
      </c>
    </row>
    <row r="1355" spans="1:6" ht="17.100000000000001" customHeight="1">
      <c r="A1355" s="11" t="s">
        <v>1361</v>
      </c>
      <c r="B1355" s="12">
        <v>202303058</v>
      </c>
      <c r="C1355" s="12" t="str">
        <f>"202303046003"</f>
        <v>202303046003</v>
      </c>
      <c r="D1355" s="13">
        <v>0</v>
      </c>
      <c r="E1355" s="14">
        <v>0</v>
      </c>
      <c r="F1355" s="15" t="s">
        <v>12</v>
      </c>
    </row>
    <row r="1356" spans="1:6" ht="17.100000000000001" customHeight="1">
      <c r="A1356" s="11" t="s">
        <v>1362</v>
      </c>
      <c r="B1356" s="12">
        <v>202303058</v>
      </c>
      <c r="C1356" s="12" t="str">
        <f>"202303046004"</f>
        <v>202303046004</v>
      </c>
      <c r="D1356" s="13">
        <v>85.5</v>
      </c>
      <c r="E1356" s="14">
        <v>95.5</v>
      </c>
      <c r="F1356" s="15" t="s">
        <v>8</v>
      </c>
    </row>
    <row r="1357" spans="1:6" ht="17.100000000000001" customHeight="1">
      <c r="A1357" s="11" t="s">
        <v>1363</v>
      </c>
      <c r="B1357" s="12">
        <v>202303058</v>
      </c>
      <c r="C1357" s="12" t="str">
        <f>"202303046005"</f>
        <v>202303046005</v>
      </c>
      <c r="D1357" s="13">
        <v>69</v>
      </c>
      <c r="E1357" s="14">
        <v>98.5</v>
      </c>
      <c r="F1357" s="15" t="s">
        <v>8</v>
      </c>
    </row>
    <row r="1358" spans="1:6" ht="17.100000000000001" customHeight="1">
      <c r="A1358" s="11" t="s">
        <v>1364</v>
      </c>
      <c r="B1358" s="12">
        <v>202303058</v>
      </c>
      <c r="C1358" s="12" t="str">
        <f>"202303046006"</f>
        <v>202303046006</v>
      </c>
      <c r="D1358" s="13">
        <v>0</v>
      </c>
      <c r="E1358" s="14">
        <v>0</v>
      </c>
      <c r="F1358" s="15" t="s">
        <v>12</v>
      </c>
    </row>
    <row r="1359" spans="1:6" ht="17.100000000000001" customHeight="1">
      <c r="A1359" s="11" t="s">
        <v>1365</v>
      </c>
      <c r="B1359" s="12">
        <v>202303058</v>
      </c>
      <c r="C1359" s="12" t="str">
        <f>"202303046007"</f>
        <v>202303046007</v>
      </c>
      <c r="D1359" s="13">
        <v>77.599999999999994</v>
      </c>
      <c r="E1359" s="14">
        <v>96</v>
      </c>
      <c r="F1359" s="15" t="s">
        <v>8</v>
      </c>
    </row>
    <row r="1360" spans="1:6" ht="17.100000000000001" customHeight="1">
      <c r="A1360" s="11" t="s">
        <v>1366</v>
      </c>
      <c r="B1360" s="12">
        <v>202303058</v>
      </c>
      <c r="C1360" s="12" t="str">
        <f>"202303046008"</f>
        <v>202303046008</v>
      </c>
      <c r="D1360" s="13">
        <v>87.8</v>
      </c>
      <c r="E1360" s="14">
        <v>100.5</v>
      </c>
      <c r="F1360" s="15" t="s">
        <v>8</v>
      </c>
    </row>
    <row r="1361" spans="1:6" ht="17.100000000000001" customHeight="1">
      <c r="A1361" s="11" t="s">
        <v>1367</v>
      </c>
      <c r="B1361" s="12">
        <v>202303058</v>
      </c>
      <c r="C1361" s="12" t="str">
        <f>"202303046009"</f>
        <v>202303046009</v>
      </c>
      <c r="D1361" s="13">
        <v>92</v>
      </c>
      <c r="E1361" s="14">
        <v>100.5</v>
      </c>
      <c r="F1361" s="15" t="s">
        <v>8</v>
      </c>
    </row>
    <row r="1362" spans="1:6" ht="17.100000000000001" customHeight="1">
      <c r="A1362" s="11" t="s">
        <v>1368</v>
      </c>
      <c r="B1362" s="12">
        <v>202303058</v>
      </c>
      <c r="C1362" s="12" t="str">
        <f>"202303046010"</f>
        <v>202303046010</v>
      </c>
      <c r="D1362" s="13">
        <v>76</v>
      </c>
      <c r="E1362" s="14">
        <v>102</v>
      </c>
      <c r="F1362" s="15" t="s">
        <v>8</v>
      </c>
    </row>
    <row r="1363" spans="1:6" ht="17.100000000000001" customHeight="1">
      <c r="A1363" s="11" t="s">
        <v>1369</v>
      </c>
      <c r="B1363" s="12">
        <v>202303060</v>
      </c>
      <c r="C1363" s="12" t="str">
        <f>"202303046011"</f>
        <v>202303046011</v>
      </c>
      <c r="D1363" s="13">
        <v>83.2</v>
      </c>
      <c r="E1363" s="14">
        <v>109.5</v>
      </c>
      <c r="F1363" s="15" t="s">
        <v>8</v>
      </c>
    </row>
    <row r="1364" spans="1:6" ht="17.100000000000001" customHeight="1">
      <c r="A1364" s="11" t="s">
        <v>1370</v>
      </c>
      <c r="B1364" s="12">
        <v>202303060</v>
      </c>
      <c r="C1364" s="12" t="str">
        <f>"202303046012"</f>
        <v>202303046012</v>
      </c>
      <c r="D1364" s="13">
        <v>89.3</v>
      </c>
      <c r="E1364" s="14">
        <v>99.5</v>
      </c>
      <c r="F1364" s="15" t="s">
        <v>8</v>
      </c>
    </row>
    <row r="1365" spans="1:6" ht="17.100000000000001" customHeight="1">
      <c r="A1365" s="11" t="s">
        <v>1371</v>
      </c>
      <c r="B1365" s="12">
        <v>202303060</v>
      </c>
      <c r="C1365" s="12" t="str">
        <f>"202303046013"</f>
        <v>202303046013</v>
      </c>
      <c r="D1365" s="13">
        <v>83.3</v>
      </c>
      <c r="E1365" s="14">
        <v>99.5</v>
      </c>
      <c r="F1365" s="15" t="s">
        <v>8</v>
      </c>
    </row>
    <row r="1366" spans="1:6" ht="17.100000000000001" customHeight="1">
      <c r="A1366" s="11" t="s">
        <v>1372</v>
      </c>
      <c r="B1366" s="12">
        <v>202303060</v>
      </c>
      <c r="C1366" s="12" t="str">
        <f>"202303046014"</f>
        <v>202303046014</v>
      </c>
      <c r="D1366" s="13">
        <v>68.7</v>
      </c>
      <c r="E1366" s="14">
        <v>81.5</v>
      </c>
      <c r="F1366" s="15" t="s">
        <v>8</v>
      </c>
    </row>
    <row r="1367" spans="1:6" ht="17.100000000000001" customHeight="1">
      <c r="A1367" s="11" t="s">
        <v>1373</v>
      </c>
      <c r="B1367" s="12">
        <v>202303061</v>
      </c>
      <c r="C1367" s="12" t="str">
        <f>"202303046015"</f>
        <v>202303046015</v>
      </c>
      <c r="D1367" s="13">
        <v>82.9</v>
      </c>
      <c r="E1367" s="14">
        <v>99.5</v>
      </c>
      <c r="F1367" s="15" t="s">
        <v>8</v>
      </c>
    </row>
    <row r="1368" spans="1:6" ht="17.100000000000001" customHeight="1">
      <c r="A1368" s="11" t="s">
        <v>1374</v>
      </c>
      <c r="B1368" s="12">
        <v>202303061</v>
      </c>
      <c r="C1368" s="12" t="str">
        <f>"202303046016"</f>
        <v>202303046016</v>
      </c>
      <c r="D1368" s="13">
        <v>92.8</v>
      </c>
      <c r="E1368" s="14">
        <v>97.5</v>
      </c>
      <c r="F1368" s="15" t="s">
        <v>8</v>
      </c>
    </row>
    <row r="1369" spans="1:6" ht="17.100000000000001" customHeight="1">
      <c r="A1369" s="11" t="s">
        <v>1375</v>
      </c>
      <c r="B1369" s="12">
        <v>202303061</v>
      </c>
      <c r="C1369" s="12" t="str">
        <f>"202303046017"</f>
        <v>202303046017</v>
      </c>
      <c r="D1369" s="13">
        <v>72</v>
      </c>
      <c r="E1369" s="14">
        <v>114</v>
      </c>
      <c r="F1369" s="15" t="s">
        <v>8</v>
      </c>
    </row>
    <row r="1370" spans="1:6" ht="17.100000000000001" customHeight="1">
      <c r="A1370" s="11" t="s">
        <v>1376</v>
      </c>
      <c r="B1370" s="12">
        <v>202303061</v>
      </c>
      <c r="C1370" s="12" t="str">
        <f>"202303046018"</f>
        <v>202303046018</v>
      </c>
      <c r="D1370" s="13">
        <v>74</v>
      </c>
      <c r="E1370" s="14">
        <v>69.5</v>
      </c>
      <c r="F1370" s="15" t="s">
        <v>8</v>
      </c>
    </row>
    <row r="1371" spans="1:6" ht="17.100000000000001" customHeight="1">
      <c r="A1371" s="11" t="s">
        <v>1377</v>
      </c>
      <c r="B1371" s="12">
        <v>202303061</v>
      </c>
      <c r="C1371" s="12" t="str">
        <f>"202303046019"</f>
        <v>202303046019</v>
      </c>
      <c r="D1371" s="13">
        <v>0</v>
      </c>
      <c r="E1371" s="14">
        <v>0</v>
      </c>
      <c r="F1371" s="15" t="s">
        <v>12</v>
      </c>
    </row>
    <row r="1372" spans="1:6" ht="17.100000000000001" customHeight="1">
      <c r="A1372" s="11" t="s">
        <v>1378</v>
      </c>
      <c r="B1372" s="12">
        <v>202303061</v>
      </c>
      <c r="C1372" s="12" t="str">
        <f>"202303046020"</f>
        <v>202303046020</v>
      </c>
      <c r="D1372" s="13">
        <v>96.9</v>
      </c>
      <c r="E1372" s="14">
        <v>91</v>
      </c>
      <c r="F1372" s="15" t="s">
        <v>8</v>
      </c>
    </row>
    <row r="1373" spans="1:6" ht="17.100000000000001" customHeight="1">
      <c r="A1373" s="11" t="s">
        <v>1379</v>
      </c>
      <c r="B1373" s="12">
        <v>202303061</v>
      </c>
      <c r="C1373" s="12" t="str">
        <f>"202303046021"</f>
        <v>202303046021</v>
      </c>
      <c r="D1373" s="13">
        <v>59.1</v>
      </c>
      <c r="E1373" s="14">
        <v>105.5</v>
      </c>
      <c r="F1373" s="15" t="s">
        <v>8</v>
      </c>
    </row>
    <row r="1374" spans="1:6" ht="17.100000000000001" customHeight="1">
      <c r="A1374" s="11" t="s">
        <v>1380</v>
      </c>
      <c r="B1374" s="12">
        <v>202303061</v>
      </c>
      <c r="C1374" s="12" t="str">
        <f>"202303046022"</f>
        <v>202303046022</v>
      </c>
      <c r="D1374" s="13">
        <v>0</v>
      </c>
      <c r="E1374" s="14">
        <v>0</v>
      </c>
      <c r="F1374" s="15" t="s">
        <v>12</v>
      </c>
    </row>
    <row r="1375" spans="1:6" ht="17.100000000000001" customHeight="1">
      <c r="A1375" s="11" t="s">
        <v>1381</v>
      </c>
      <c r="B1375" s="12">
        <v>202303061</v>
      </c>
      <c r="C1375" s="12" t="str">
        <f>"202303046023"</f>
        <v>202303046023</v>
      </c>
      <c r="D1375" s="13">
        <v>74.7</v>
      </c>
      <c r="E1375" s="14">
        <v>96.5</v>
      </c>
      <c r="F1375" s="15" t="s">
        <v>8</v>
      </c>
    </row>
    <row r="1376" spans="1:6" ht="17.100000000000001" customHeight="1">
      <c r="A1376" s="11" t="s">
        <v>1382</v>
      </c>
      <c r="B1376" s="12">
        <v>202303061</v>
      </c>
      <c r="C1376" s="12" t="str">
        <f>"202303046024"</f>
        <v>202303046024</v>
      </c>
      <c r="D1376" s="13">
        <v>60.2</v>
      </c>
      <c r="E1376" s="14">
        <v>97.5</v>
      </c>
      <c r="F1376" s="15" t="s">
        <v>8</v>
      </c>
    </row>
    <row r="1377" spans="1:6" ht="17.100000000000001" customHeight="1">
      <c r="A1377" s="11" t="s">
        <v>1383</v>
      </c>
      <c r="B1377" s="12">
        <v>202303061</v>
      </c>
      <c r="C1377" s="12" t="str">
        <f>"202303046025"</f>
        <v>202303046025</v>
      </c>
      <c r="D1377" s="13">
        <v>85.4</v>
      </c>
      <c r="E1377" s="14">
        <v>105.5</v>
      </c>
      <c r="F1377" s="15" t="s">
        <v>8</v>
      </c>
    </row>
    <row r="1378" spans="1:6" ht="17.100000000000001" customHeight="1">
      <c r="A1378" s="11" t="s">
        <v>1384</v>
      </c>
      <c r="B1378" s="12">
        <v>202303061</v>
      </c>
      <c r="C1378" s="12" t="str">
        <f>"202303046026"</f>
        <v>202303046026</v>
      </c>
      <c r="D1378" s="13">
        <v>95.4</v>
      </c>
      <c r="E1378" s="14">
        <v>101</v>
      </c>
      <c r="F1378" s="15" t="s">
        <v>8</v>
      </c>
    </row>
    <row r="1379" spans="1:6" ht="17.100000000000001" customHeight="1">
      <c r="A1379" s="11" t="s">
        <v>1385</v>
      </c>
      <c r="B1379" s="12">
        <v>202303061</v>
      </c>
      <c r="C1379" s="12" t="str">
        <f>"202303046027"</f>
        <v>202303046027</v>
      </c>
      <c r="D1379" s="13">
        <v>95.1</v>
      </c>
      <c r="E1379" s="14">
        <v>99.5</v>
      </c>
      <c r="F1379" s="15" t="s">
        <v>8</v>
      </c>
    </row>
    <row r="1380" spans="1:6" ht="17.100000000000001" customHeight="1">
      <c r="A1380" s="11" t="s">
        <v>1386</v>
      </c>
      <c r="B1380" s="12">
        <v>202303061</v>
      </c>
      <c r="C1380" s="12" t="str">
        <f>"202303046028"</f>
        <v>202303046028</v>
      </c>
      <c r="D1380" s="13">
        <v>0</v>
      </c>
      <c r="E1380" s="14">
        <v>0</v>
      </c>
      <c r="F1380" s="15" t="s">
        <v>12</v>
      </c>
    </row>
    <row r="1381" spans="1:6" ht="17.100000000000001" customHeight="1">
      <c r="A1381" s="11" t="s">
        <v>1387</v>
      </c>
      <c r="B1381" s="12">
        <v>202303061</v>
      </c>
      <c r="C1381" s="12" t="str">
        <f>"202303046029"</f>
        <v>202303046029</v>
      </c>
      <c r="D1381" s="13">
        <v>70.599999999999994</v>
      </c>
      <c r="E1381" s="14">
        <v>97.5</v>
      </c>
      <c r="F1381" s="15" t="s">
        <v>8</v>
      </c>
    </row>
    <row r="1382" spans="1:6" ht="17.100000000000001" customHeight="1">
      <c r="A1382" s="11" t="s">
        <v>1388</v>
      </c>
      <c r="B1382" s="12">
        <v>202303061</v>
      </c>
      <c r="C1382" s="12" t="str">
        <f>"202303046030"</f>
        <v>202303046030</v>
      </c>
      <c r="D1382" s="13">
        <v>80.5</v>
      </c>
      <c r="E1382" s="14">
        <v>101.5</v>
      </c>
      <c r="F1382" s="15" t="s">
        <v>8</v>
      </c>
    </row>
    <row r="1383" spans="1:6" ht="17.100000000000001" customHeight="1">
      <c r="A1383" s="11" t="s">
        <v>1389</v>
      </c>
      <c r="B1383" s="12">
        <v>202303061</v>
      </c>
      <c r="C1383" s="12" t="str">
        <f>"202303047001"</f>
        <v>202303047001</v>
      </c>
      <c r="D1383" s="13">
        <v>61.2</v>
      </c>
      <c r="E1383" s="14">
        <v>100.5</v>
      </c>
      <c r="F1383" s="15" t="s">
        <v>8</v>
      </c>
    </row>
    <row r="1384" spans="1:6" ht="17.100000000000001" customHeight="1">
      <c r="A1384" s="11" t="s">
        <v>1390</v>
      </c>
      <c r="B1384" s="12">
        <v>202303061</v>
      </c>
      <c r="C1384" s="12" t="str">
        <f>"202303047002"</f>
        <v>202303047002</v>
      </c>
      <c r="D1384" s="13">
        <v>89.2</v>
      </c>
      <c r="E1384" s="14">
        <v>105</v>
      </c>
      <c r="F1384" s="15" t="s">
        <v>8</v>
      </c>
    </row>
    <row r="1385" spans="1:6" ht="17.100000000000001" customHeight="1">
      <c r="A1385" s="11" t="s">
        <v>1391</v>
      </c>
      <c r="B1385" s="12">
        <v>202303061</v>
      </c>
      <c r="C1385" s="12" t="str">
        <f>"202303047003"</f>
        <v>202303047003</v>
      </c>
      <c r="D1385" s="13">
        <v>0</v>
      </c>
      <c r="E1385" s="14">
        <v>0</v>
      </c>
      <c r="F1385" s="15" t="s">
        <v>12</v>
      </c>
    </row>
    <row r="1386" spans="1:6" ht="17.100000000000001" customHeight="1">
      <c r="A1386" s="11" t="s">
        <v>1392</v>
      </c>
      <c r="B1386" s="12">
        <v>202303061</v>
      </c>
      <c r="C1386" s="12" t="str">
        <f>"202303047004"</f>
        <v>202303047004</v>
      </c>
      <c r="D1386" s="13">
        <v>71.099999999999994</v>
      </c>
      <c r="E1386" s="14">
        <v>99.5</v>
      </c>
      <c r="F1386" s="15" t="s">
        <v>8</v>
      </c>
    </row>
    <row r="1387" spans="1:6" ht="17.100000000000001" customHeight="1">
      <c r="A1387" s="11" t="s">
        <v>1393</v>
      </c>
      <c r="B1387" s="12">
        <v>202303061</v>
      </c>
      <c r="C1387" s="12" t="str">
        <f>"202303047005"</f>
        <v>202303047005</v>
      </c>
      <c r="D1387" s="13">
        <v>85.6</v>
      </c>
      <c r="E1387" s="14">
        <v>105.5</v>
      </c>
      <c r="F1387" s="15" t="s">
        <v>8</v>
      </c>
    </row>
    <row r="1388" spans="1:6" ht="17.100000000000001" customHeight="1">
      <c r="A1388" s="11" t="s">
        <v>1394</v>
      </c>
      <c r="B1388" s="12">
        <v>202303061</v>
      </c>
      <c r="C1388" s="12" t="str">
        <f>"202303047006"</f>
        <v>202303047006</v>
      </c>
      <c r="D1388" s="13">
        <v>70.099999999999994</v>
      </c>
      <c r="E1388" s="14">
        <v>107.5</v>
      </c>
      <c r="F1388" s="15" t="s">
        <v>8</v>
      </c>
    </row>
    <row r="1389" spans="1:6" ht="17.100000000000001" customHeight="1">
      <c r="A1389" s="11" t="s">
        <v>1395</v>
      </c>
      <c r="B1389" s="12">
        <v>202303061</v>
      </c>
      <c r="C1389" s="12" t="str">
        <f>"202303047007"</f>
        <v>202303047007</v>
      </c>
      <c r="D1389" s="13">
        <v>66.2</v>
      </c>
      <c r="E1389" s="14">
        <v>103</v>
      </c>
      <c r="F1389" s="15" t="s">
        <v>8</v>
      </c>
    </row>
    <row r="1390" spans="1:6" ht="17.100000000000001" customHeight="1">
      <c r="A1390" s="11" t="s">
        <v>1396</v>
      </c>
      <c r="B1390" s="12">
        <v>202303061</v>
      </c>
      <c r="C1390" s="12" t="str">
        <f>"202303047008"</f>
        <v>202303047008</v>
      </c>
      <c r="D1390" s="13">
        <v>88.1</v>
      </c>
      <c r="E1390" s="14">
        <v>100.5</v>
      </c>
      <c r="F1390" s="15" t="s">
        <v>8</v>
      </c>
    </row>
    <row r="1391" spans="1:6" ht="17.100000000000001" customHeight="1">
      <c r="A1391" s="11" t="s">
        <v>1397</v>
      </c>
      <c r="B1391" s="12">
        <v>202303061</v>
      </c>
      <c r="C1391" s="12" t="str">
        <f>"202303047009"</f>
        <v>202303047009</v>
      </c>
      <c r="D1391" s="13">
        <v>65.900000000000006</v>
      </c>
      <c r="E1391" s="14">
        <v>96.5</v>
      </c>
      <c r="F1391" s="15" t="s">
        <v>8</v>
      </c>
    </row>
    <row r="1392" spans="1:6" ht="17.100000000000001" customHeight="1">
      <c r="A1392" s="11" t="s">
        <v>1398</v>
      </c>
      <c r="B1392" s="12">
        <v>202303061</v>
      </c>
      <c r="C1392" s="12" t="str">
        <f>"202303047010"</f>
        <v>202303047010</v>
      </c>
      <c r="D1392" s="13">
        <v>0</v>
      </c>
      <c r="E1392" s="14">
        <v>0</v>
      </c>
      <c r="F1392" s="15" t="s">
        <v>12</v>
      </c>
    </row>
    <row r="1393" spans="1:6" ht="17.100000000000001" customHeight="1">
      <c r="A1393" s="11" t="s">
        <v>1399</v>
      </c>
      <c r="B1393" s="12">
        <v>202303061</v>
      </c>
      <c r="C1393" s="12" t="str">
        <f>"202303047011"</f>
        <v>202303047011</v>
      </c>
      <c r="D1393" s="13">
        <v>73.7</v>
      </c>
      <c r="E1393" s="14">
        <v>102</v>
      </c>
      <c r="F1393" s="15" t="s">
        <v>8</v>
      </c>
    </row>
    <row r="1394" spans="1:6" ht="17.100000000000001" customHeight="1">
      <c r="A1394" s="11" t="s">
        <v>1400</v>
      </c>
      <c r="B1394" s="12">
        <v>202303061</v>
      </c>
      <c r="C1394" s="12" t="str">
        <f>"202303047012"</f>
        <v>202303047012</v>
      </c>
      <c r="D1394" s="13">
        <v>82.2</v>
      </c>
      <c r="E1394" s="14">
        <v>90.5</v>
      </c>
      <c r="F1394" s="15" t="s">
        <v>8</v>
      </c>
    </row>
    <row r="1395" spans="1:6" ht="17.100000000000001" customHeight="1">
      <c r="A1395" s="11" t="s">
        <v>1401</v>
      </c>
      <c r="B1395" s="12">
        <v>202303061</v>
      </c>
      <c r="C1395" s="12" t="str">
        <f>"202303047013"</f>
        <v>202303047013</v>
      </c>
      <c r="D1395" s="13">
        <v>70.2</v>
      </c>
      <c r="E1395" s="14">
        <v>96.5</v>
      </c>
      <c r="F1395" s="15" t="s">
        <v>8</v>
      </c>
    </row>
    <row r="1396" spans="1:6" ht="17.100000000000001" customHeight="1">
      <c r="A1396" s="11" t="s">
        <v>1402</v>
      </c>
      <c r="B1396" s="12">
        <v>202303061</v>
      </c>
      <c r="C1396" s="12" t="str">
        <f>"202303047014"</f>
        <v>202303047014</v>
      </c>
      <c r="D1396" s="13">
        <v>73</v>
      </c>
      <c r="E1396" s="14">
        <v>70.5</v>
      </c>
      <c r="F1396" s="15" t="s">
        <v>8</v>
      </c>
    </row>
    <row r="1397" spans="1:6" ht="17.100000000000001" customHeight="1">
      <c r="A1397" s="11" t="s">
        <v>1403</v>
      </c>
      <c r="B1397" s="12">
        <v>202303061</v>
      </c>
      <c r="C1397" s="12" t="str">
        <f>"202303047015"</f>
        <v>202303047015</v>
      </c>
      <c r="D1397" s="13">
        <v>0</v>
      </c>
      <c r="E1397" s="14">
        <v>0</v>
      </c>
      <c r="F1397" s="15" t="s">
        <v>12</v>
      </c>
    </row>
    <row r="1398" spans="1:6" ht="17.100000000000001" customHeight="1">
      <c r="A1398" s="11" t="s">
        <v>1404</v>
      </c>
      <c r="B1398" s="12">
        <v>202303061</v>
      </c>
      <c r="C1398" s="12" t="str">
        <f>"202303047016"</f>
        <v>202303047016</v>
      </c>
      <c r="D1398" s="13">
        <v>84</v>
      </c>
      <c r="E1398" s="14">
        <v>102.5</v>
      </c>
      <c r="F1398" s="15" t="s">
        <v>8</v>
      </c>
    </row>
    <row r="1399" spans="1:6" ht="17.100000000000001" customHeight="1">
      <c r="A1399" s="11" t="s">
        <v>1405</v>
      </c>
      <c r="B1399" s="12">
        <v>202303061</v>
      </c>
      <c r="C1399" s="12" t="str">
        <f>"202303047017"</f>
        <v>202303047017</v>
      </c>
      <c r="D1399" s="13">
        <v>76.8</v>
      </c>
      <c r="E1399" s="14">
        <v>97.5</v>
      </c>
      <c r="F1399" s="15" t="s">
        <v>8</v>
      </c>
    </row>
    <row r="1400" spans="1:6" ht="17.100000000000001" customHeight="1">
      <c r="A1400" s="11" t="s">
        <v>1406</v>
      </c>
      <c r="B1400" s="12">
        <v>202303061</v>
      </c>
      <c r="C1400" s="12" t="str">
        <f>"202303047018"</f>
        <v>202303047018</v>
      </c>
      <c r="D1400" s="13">
        <v>56.4</v>
      </c>
      <c r="E1400" s="14">
        <v>101</v>
      </c>
      <c r="F1400" s="15" t="s">
        <v>8</v>
      </c>
    </row>
    <row r="1401" spans="1:6" ht="17.100000000000001" customHeight="1">
      <c r="A1401" s="11" t="s">
        <v>1407</v>
      </c>
      <c r="B1401" s="12">
        <v>202303061</v>
      </c>
      <c r="C1401" s="12" t="str">
        <f>"202303047019"</f>
        <v>202303047019</v>
      </c>
      <c r="D1401" s="13">
        <v>0</v>
      </c>
      <c r="E1401" s="14">
        <v>0</v>
      </c>
      <c r="F1401" s="15" t="s">
        <v>12</v>
      </c>
    </row>
    <row r="1402" spans="1:6" ht="17.100000000000001" customHeight="1">
      <c r="A1402" s="11" t="s">
        <v>1408</v>
      </c>
      <c r="B1402" s="12">
        <v>202303062</v>
      </c>
      <c r="C1402" s="12" t="str">
        <f>"202303047020"</f>
        <v>202303047020</v>
      </c>
      <c r="D1402" s="13">
        <v>87.9</v>
      </c>
      <c r="E1402" s="14">
        <v>100.5</v>
      </c>
      <c r="F1402" s="15" t="s">
        <v>8</v>
      </c>
    </row>
    <row r="1403" spans="1:6" ht="17.100000000000001" customHeight="1">
      <c r="A1403" s="11" t="s">
        <v>1409</v>
      </c>
      <c r="B1403" s="12">
        <v>202303062</v>
      </c>
      <c r="C1403" s="12" t="str">
        <f>"202303047021"</f>
        <v>202303047021</v>
      </c>
      <c r="D1403" s="13">
        <v>85.2</v>
      </c>
      <c r="E1403" s="14">
        <v>102.5</v>
      </c>
      <c r="F1403" s="15" t="s">
        <v>8</v>
      </c>
    </row>
    <row r="1404" spans="1:6" ht="17.100000000000001" customHeight="1">
      <c r="A1404" s="11" t="s">
        <v>1410</v>
      </c>
      <c r="B1404" s="12">
        <v>202303062</v>
      </c>
      <c r="C1404" s="12" t="str">
        <f>"202303047022"</f>
        <v>202303047022</v>
      </c>
      <c r="D1404" s="13">
        <v>83</v>
      </c>
      <c r="E1404" s="14">
        <v>111.5</v>
      </c>
      <c r="F1404" s="15" t="s">
        <v>8</v>
      </c>
    </row>
    <row r="1405" spans="1:6" ht="17.100000000000001" customHeight="1">
      <c r="A1405" s="11" t="s">
        <v>1411</v>
      </c>
      <c r="B1405" s="12">
        <v>202303062</v>
      </c>
      <c r="C1405" s="12" t="str">
        <f>"202303047023"</f>
        <v>202303047023</v>
      </c>
      <c r="D1405" s="13">
        <v>93.5</v>
      </c>
      <c r="E1405" s="14">
        <v>101.5</v>
      </c>
      <c r="F1405" s="15" t="s">
        <v>8</v>
      </c>
    </row>
    <row r="1406" spans="1:6" ht="17.100000000000001" customHeight="1">
      <c r="A1406" s="11" t="s">
        <v>1412</v>
      </c>
      <c r="B1406" s="12">
        <v>202303062</v>
      </c>
      <c r="C1406" s="12" t="str">
        <f>"202303047024"</f>
        <v>202303047024</v>
      </c>
      <c r="D1406" s="13">
        <v>63.1</v>
      </c>
      <c r="E1406" s="14">
        <v>108.5</v>
      </c>
      <c r="F1406" s="15" t="s">
        <v>8</v>
      </c>
    </row>
    <row r="1407" spans="1:6" ht="17.100000000000001" customHeight="1">
      <c r="A1407" s="11" t="s">
        <v>1413</v>
      </c>
      <c r="B1407" s="12">
        <v>202303062</v>
      </c>
      <c r="C1407" s="12" t="str">
        <f>"202303047025"</f>
        <v>202303047025</v>
      </c>
      <c r="D1407" s="13">
        <v>96.2</v>
      </c>
      <c r="E1407" s="14">
        <v>104.5</v>
      </c>
      <c r="F1407" s="15" t="s">
        <v>8</v>
      </c>
    </row>
    <row r="1408" spans="1:6" ht="17.100000000000001" customHeight="1">
      <c r="A1408" s="11" t="s">
        <v>1414</v>
      </c>
      <c r="B1408" s="12">
        <v>202303062</v>
      </c>
      <c r="C1408" s="12" t="str">
        <f>"202303047026"</f>
        <v>202303047026</v>
      </c>
      <c r="D1408" s="13">
        <v>95.8</v>
      </c>
      <c r="E1408" s="14">
        <v>106.5</v>
      </c>
      <c r="F1408" s="15" t="s">
        <v>8</v>
      </c>
    </row>
    <row r="1409" spans="1:6" ht="17.100000000000001" customHeight="1">
      <c r="A1409" s="11" t="s">
        <v>1415</v>
      </c>
      <c r="B1409" s="12">
        <v>202303062</v>
      </c>
      <c r="C1409" s="12" t="str">
        <f>"202303047027"</f>
        <v>202303047027</v>
      </c>
      <c r="D1409" s="13">
        <v>0</v>
      </c>
      <c r="E1409" s="14">
        <v>0</v>
      </c>
      <c r="F1409" s="15" t="s">
        <v>12</v>
      </c>
    </row>
    <row r="1410" spans="1:6" ht="17.100000000000001" customHeight="1">
      <c r="A1410" s="11" t="s">
        <v>1416</v>
      </c>
      <c r="B1410" s="12">
        <v>202303062</v>
      </c>
      <c r="C1410" s="12" t="str">
        <f>"202303047028"</f>
        <v>202303047028</v>
      </c>
      <c r="D1410" s="13">
        <v>86.8</v>
      </c>
      <c r="E1410" s="14">
        <v>98.5</v>
      </c>
      <c r="F1410" s="15" t="s">
        <v>8</v>
      </c>
    </row>
    <row r="1411" spans="1:6" ht="17.100000000000001" customHeight="1">
      <c r="A1411" s="11" t="s">
        <v>1417</v>
      </c>
      <c r="B1411" s="12">
        <v>202303062</v>
      </c>
      <c r="C1411" s="12" t="str">
        <f>"202303047029"</f>
        <v>202303047029</v>
      </c>
      <c r="D1411" s="13">
        <v>89.9</v>
      </c>
      <c r="E1411" s="14">
        <v>38</v>
      </c>
      <c r="F1411" s="15" t="s">
        <v>8</v>
      </c>
    </row>
    <row r="1412" spans="1:6" ht="17.100000000000001" customHeight="1">
      <c r="A1412" s="11" t="s">
        <v>1418</v>
      </c>
      <c r="B1412" s="12">
        <v>202303062</v>
      </c>
      <c r="C1412" s="12" t="str">
        <f>"202303047030"</f>
        <v>202303047030</v>
      </c>
      <c r="D1412" s="13">
        <v>78.3</v>
      </c>
      <c r="E1412" s="14">
        <v>97</v>
      </c>
      <c r="F1412" s="15" t="s">
        <v>8</v>
      </c>
    </row>
    <row r="1413" spans="1:6" ht="17.100000000000001" customHeight="1">
      <c r="A1413" s="11" t="s">
        <v>1419</v>
      </c>
      <c r="B1413" s="12">
        <v>202303062</v>
      </c>
      <c r="C1413" s="12" t="str">
        <f>"202303048001"</f>
        <v>202303048001</v>
      </c>
      <c r="D1413" s="13">
        <v>107.5</v>
      </c>
      <c r="E1413" s="14">
        <v>91.5</v>
      </c>
      <c r="F1413" s="15" t="s">
        <v>8</v>
      </c>
    </row>
    <row r="1414" spans="1:6" ht="17.100000000000001" customHeight="1">
      <c r="A1414" s="11" t="s">
        <v>1420</v>
      </c>
      <c r="B1414" s="12">
        <v>202303063</v>
      </c>
      <c r="C1414" s="12" t="str">
        <f>"202303048002"</f>
        <v>202303048002</v>
      </c>
      <c r="D1414" s="13">
        <v>55</v>
      </c>
      <c r="E1414" s="14">
        <v>87</v>
      </c>
      <c r="F1414" s="15" t="s">
        <v>8</v>
      </c>
    </row>
    <row r="1415" spans="1:6" ht="17.100000000000001" customHeight="1">
      <c r="A1415" s="11" t="s">
        <v>1421</v>
      </c>
      <c r="B1415" s="12">
        <v>202303063</v>
      </c>
      <c r="C1415" s="12" t="str">
        <f>"202303048003"</f>
        <v>202303048003</v>
      </c>
      <c r="D1415" s="13">
        <v>0</v>
      </c>
      <c r="E1415" s="14">
        <v>0</v>
      </c>
      <c r="F1415" s="15" t="s">
        <v>12</v>
      </c>
    </row>
    <row r="1416" spans="1:6" ht="17.100000000000001" customHeight="1">
      <c r="A1416" s="11" t="s">
        <v>1422</v>
      </c>
      <c r="B1416" s="12">
        <v>202303063</v>
      </c>
      <c r="C1416" s="12" t="str">
        <f>"202303048004"</f>
        <v>202303048004</v>
      </c>
      <c r="D1416" s="13">
        <v>88.9</v>
      </c>
      <c r="E1416" s="14">
        <v>96</v>
      </c>
      <c r="F1416" s="15" t="s">
        <v>8</v>
      </c>
    </row>
    <row r="1417" spans="1:6" ht="17.100000000000001" customHeight="1">
      <c r="A1417" s="11" t="s">
        <v>1423</v>
      </c>
      <c r="B1417" s="12">
        <v>202303063</v>
      </c>
      <c r="C1417" s="12" t="str">
        <f>"202303048005"</f>
        <v>202303048005</v>
      </c>
      <c r="D1417" s="13">
        <v>89</v>
      </c>
      <c r="E1417" s="14">
        <v>98.5</v>
      </c>
      <c r="F1417" s="15" t="s">
        <v>8</v>
      </c>
    </row>
    <row r="1418" spans="1:6" ht="17.100000000000001" customHeight="1">
      <c r="A1418" s="11" t="s">
        <v>1424</v>
      </c>
      <c r="B1418" s="12">
        <v>202303063</v>
      </c>
      <c r="C1418" s="12" t="str">
        <f>"202303048006"</f>
        <v>202303048006</v>
      </c>
      <c r="D1418" s="13">
        <v>101.5</v>
      </c>
      <c r="E1418" s="14">
        <v>104</v>
      </c>
      <c r="F1418" s="15" t="s">
        <v>8</v>
      </c>
    </row>
    <row r="1419" spans="1:6" ht="17.100000000000001" customHeight="1">
      <c r="A1419" s="11" t="s">
        <v>1425</v>
      </c>
      <c r="B1419" s="12">
        <v>202303063</v>
      </c>
      <c r="C1419" s="12" t="str">
        <f>"202303048007"</f>
        <v>202303048007</v>
      </c>
      <c r="D1419" s="13">
        <v>0</v>
      </c>
      <c r="E1419" s="14">
        <v>0</v>
      </c>
      <c r="F1419" s="15" t="s">
        <v>12</v>
      </c>
    </row>
    <row r="1420" spans="1:6" ht="17.100000000000001" customHeight="1">
      <c r="A1420" s="11" t="s">
        <v>1426</v>
      </c>
      <c r="B1420" s="12">
        <v>202303063</v>
      </c>
      <c r="C1420" s="12" t="str">
        <f>"202303048008"</f>
        <v>202303048008</v>
      </c>
      <c r="D1420" s="13">
        <v>0</v>
      </c>
      <c r="E1420" s="14">
        <v>0</v>
      </c>
      <c r="F1420" s="15" t="s">
        <v>12</v>
      </c>
    </row>
    <row r="1421" spans="1:6" ht="17.100000000000001" customHeight="1">
      <c r="A1421" s="11" t="s">
        <v>1427</v>
      </c>
      <c r="B1421" s="12">
        <v>202303063</v>
      </c>
      <c r="C1421" s="12" t="str">
        <f>"202303048009"</f>
        <v>202303048009</v>
      </c>
      <c r="D1421" s="13">
        <v>72.7</v>
      </c>
      <c r="E1421" s="14">
        <v>101.5</v>
      </c>
      <c r="F1421" s="15" t="s">
        <v>8</v>
      </c>
    </row>
    <row r="1422" spans="1:6" ht="17.100000000000001" customHeight="1">
      <c r="A1422" s="11" t="s">
        <v>1428</v>
      </c>
      <c r="B1422" s="12">
        <v>202303063</v>
      </c>
      <c r="C1422" s="12" t="str">
        <f>"202303048010"</f>
        <v>202303048010</v>
      </c>
      <c r="D1422" s="13">
        <v>47.8</v>
      </c>
      <c r="E1422" s="14">
        <v>77</v>
      </c>
      <c r="F1422" s="15" t="s">
        <v>8</v>
      </c>
    </row>
    <row r="1423" spans="1:6" ht="17.100000000000001" customHeight="1">
      <c r="A1423" s="11" t="s">
        <v>1429</v>
      </c>
      <c r="B1423" s="12">
        <v>202303063</v>
      </c>
      <c r="C1423" s="12" t="str">
        <f>"202303048011"</f>
        <v>202303048011</v>
      </c>
      <c r="D1423" s="13">
        <v>96.2</v>
      </c>
      <c r="E1423" s="14">
        <v>101.5</v>
      </c>
      <c r="F1423" s="15" t="s">
        <v>8</v>
      </c>
    </row>
    <row r="1424" spans="1:6" ht="17.100000000000001" customHeight="1">
      <c r="A1424" s="11" t="s">
        <v>1430</v>
      </c>
      <c r="B1424" s="12">
        <v>202303063</v>
      </c>
      <c r="C1424" s="12" t="str">
        <f>"202303048012"</f>
        <v>202303048012</v>
      </c>
      <c r="D1424" s="13">
        <v>72.900000000000006</v>
      </c>
      <c r="E1424" s="14">
        <v>99.5</v>
      </c>
      <c r="F1424" s="15" t="s">
        <v>8</v>
      </c>
    </row>
    <row r="1425" spans="1:6" ht="17.100000000000001" customHeight="1">
      <c r="A1425" s="11" t="s">
        <v>1431</v>
      </c>
      <c r="B1425" s="12">
        <v>202303063</v>
      </c>
      <c r="C1425" s="12" t="str">
        <f>"202303048013"</f>
        <v>202303048013</v>
      </c>
      <c r="D1425" s="13">
        <v>75.2</v>
      </c>
      <c r="E1425" s="14">
        <v>91</v>
      </c>
      <c r="F1425" s="15" t="s">
        <v>8</v>
      </c>
    </row>
    <row r="1426" spans="1:6" ht="17.100000000000001" customHeight="1">
      <c r="A1426" s="11" t="s">
        <v>1432</v>
      </c>
      <c r="B1426" s="12">
        <v>202303063</v>
      </c>
      <c r="C1426" s="12" t="str">
        <f>"202303048014"</f>
        <v>202303048014</v>
      </c>
      <c r="D1426" s="13">
        <v>75.2</v>
      </c>
      <c r="E1426" s="14">
        <v>91.5</v>
      </c>
      <c r="F1426" s="15" t="s">
        <v>8</v>
      </c>
    </row>
    <row r="1427" spans="1:6" ht="17.100000000000001" customHeight="1">
      <c r="A1427" s="11" t="s">
        <v>1433</v>
      </c>
      <c r="B1427" s="12">
        <v>202303063</v>
      </c>
      <c r="C1427" s="12" t="str">
        <f>"202303048015"</f>
        <v>202303048015</v>
      </c>
      <c r="D1427" s="13">
        <v>0</v>
      </c>
      <c r="E1427" s="14">
        <v>0</v>
      </c>
      <c r="F1427" s="15" t="s">
        <v>12</v>
      </c>
    </row>
    <row r="1428" spans="1:6" ht="17.100000000000001" customHeight="1">
      <c r="A1428" s="11" t="s">
        <v>1434</v>
      </c>
      <c r="B1428" s="12">
        <v>202303063</v>
      </c>
      <c r="C1428" s="12" t="str">
        <f>"202303048016"</f>
        <v>202303048016</v>
      </c>
      <c r="D1428" s="13">
        <v>67</v>
      </c>
      <c r="E1428" s="14">
        <v>95.5</v>
      </c>
      <c r="F1428" s="15" t="s">
        <v>8</v>
      </c>
    </row>
    <row r="1429" spans="1:6" ht="17.100000000000001" customHeight="1">
      <c r="A1429" s="11" t="s">
        <v>1435</v>
      </c>
      <c r="B1429" s="12">
        <v>202303063</v>
      </c>
      <c r="C1429" s="12" t="str">
        <f>"202303048017"</f>
        <v>202303048017</v>
      </c>
      <c r="D1429" s="13">
        <v>0</v>
      </c>
      <c r="E1429" s="14">
        <v>0</v>
      </c>
      <c r="F1429" s="15" t="s">
        <v>12</v>
      </c>
    </row>
    <row r="1430" spans="1:6" ht="17.100000000000001" customHeight="1">
      <c r="A1430" s="11" t="s">
        <v>1436</v>
      </c>
      <c r="B1430" s="12">
        <v>202303064</v>
      </c>
      <c r="C1430" s="12" t="str">
        <f>"202303048018"</f>
        <v>202303048018</v>
      </c>
      <c r="D1430" s="13">
        <v>60.8</v>
      </c>
      <c r="E1430" s="14">
        <v>104</v>
      </c>
      <c r="F1430" s="15" t="s">
        <v>8</v>
      </c>
    </row>
    <row r="1431" spans="1:6" ht="17.100000000000001" customHeight="1">
      <c r="A1431" s="11" t="s">
        <v>1437</v>
      </c>
      <c r="B1431" s="12">
        <v>202303064</v>
      </c>
      <c r="C1431" s="12" t="str">
        <f>"202303048019"</f>
        <v>202303048019</v>
      </c>
      <c r="D1431" s="13">
        <v>89.2</v>
      </c>
      <c r="E1431" s="14">
        <v>99.5</v>
      </c>
      <c r="F1431" s="15" t="s">
        <v>8</v>
      </c>
    </row>
    <row r="1432" spans="1:6" ht="17.100000000000001" customHeight="1">
      <c r="A1432" s="11" t="s">
        <v>1438</v>
      </c>
      <c r="B1432" s="12">
        <v>202303064</v>
      </c>
      <c r="C1432" s="12" t="str">
        <f>"202303048020"</f>
        <v>202303048020</v>
      </c>
      <c r="D1432" s="13">
        <v>54.4</v>
      </c>
      <c r="E1432" s="14">
        <v>91.5</v>
      </c>
      <c r="F1432" s="15" t="s">
        <v>8</v>
      </c>
    </row>
    <row r="1433" spans="1:6" ht="17.100000000000001" customHeight="1">
      <c r="A1433" s="11" t="s">
        <v>1439</v>
      </c>
      <c r="B1433" s="12">
        <v>202303064</v>
      </c>
      <c r="C1433" s="12" t="str">
        <f>"202303048021"</f>
        <v>202303048021</v>
      </c>
      <c r="D1433" s="13">
        <v>0</v>
      </c>
      <c r="E1433" s="14">
        <v>0</v>
      </c>
      <c r="F1433" s="15" t="s">
        <v>12</v>
      </c>
    </row>
    <row r="1434" spans="1:6" ht="17.100000000000001" customHeight="1">
      <c r="A1434" s="11" t="s">
        <v>1440</v>
      </c>
      <c r="B1434" s="12">
        <v>202303064</v>
      </c>
      <c r="C1434" s="12" t="str">
        <f>"202303048022"</f>
        <v>202303048022</v>
      </c>
      <c r="D1434" s="13">
        <v>76</v>
      </c>
      <c r="E1434" s="14">
        <v>99</v>
      </c>
      <c r="F1434" s="15" t="s">
        <v>8</v>
      </c>
    </row>
    <row r="1435" spans="1:6" ht="17.100000000000001" customHeight="1">
      <c r="A1435" s="11" t="s">
        <v>1441</v>
      </c>
      <c r="B1435" s="12">
        <v>202303064</v>
      </c>
      <c r="C1435" s="12" t="str">
        <f>"202303048023"</f>
        <v>202303048023</v>
      </c>
      <c r="D1435" s="13">
        <v>98.7</v>
      </c>
      <c r="E1435" s="14">
        <v>107.5</v>
      </c>
      <c r="F1435" s="15" t="s">
        <v>8</v>
      </c>
    </row>
    <row r="1436" spans="1:6" ht="17.100000000000001" customHeight="1">
      <c r="A1436" s="11" t="s">
        <v>1442</v>
      </c>
      <c r="B1436" s="12">
        <v>202303064</v>
      </c>
      <c r="C1436" s="12" t="str">
        <f>"202303048024"</f>
        <v>202303048024</v>
      </c>
      <c r="D1436" s="13">
        <v>0</v>
      </c>
      <c r="E1436" s="14">
        <v>0</v>
      </c>
      <c r="F1436" s="15" t="s">
        <v>12</v>
      </c>
    </row>
    <row r="1437" spans="1:6" ht="17.100000000000001" customHeight="1">
      <c r="A1437" s="11" t="s">
        <v>1443</v>
      </c>
      <c r="B1437" s="12">
        <v>202303064</v>
      </c>
      <c r="C1437" s="12" t="str">
        <f>"202303048025"</f>
        <v>202303048025</v>
      </c>
      <c r="D1437" s="13">
        <v>77.5</v>
      </c>
      <c r="E1437" s="14">
        <v>102.5</v>
      </c>
      <c r="F1437" s="15" t="s">
        <v>8</v>
      </c>
    </row>
    <row r="1438" spans="1:6" ht="17.100000000000001" customHeight="1">
      <c r="A1438" s="11" t="s">
        <v>1444</v>
      </c>
      <c r="B1438" s="12">
        <v>202303064</v>
      </c>
      <c r="C1438" s="12" t="str">
        <f>"202303048026"</f>
        <v>202303048026</v>
      </c>
      <c r="D1438" s="13">
        <v>86.5</v>
      </c>
      <c r="E1438" s="14">
        <v>107</v>
      </c>
      <c r="F1438" s="15" t="s">
        <v>8</v>
      </c>
    </row>
    <row r="1439" spans="1:6" ht="17.100000000000001" customHeight="1">
      <c r="A1439" s="11" t="s">
        <v>1445</v>
      </c>
      <c r="B1439" s="12">
        <v>202303064</v>
      </c>
      <c r="C1439" s="12" t="str">
        <f>"202303048027"</f>
        <v>202303048027</v>
      </c>
      <c r="D1439" s="13">
        <v>77.2</v>
      </c>
      <c r="E1439" s="14">
        <v>87.5</v>
      </c>
      <c r="F1439" s="15" t="s">
        <v>8</v>
      </c>
    </row>
    <row r="1440" spans="1:6" ht="17.100000000000001" customHeight="1">
      <c r="A1440" s="11" t="s">
        <v>1446</v>
      </c>
      <c r="B1440" s="12">
        <v>202303064</v>
      </c>
      <c r="C1440" s="12" t="str">
        <f>"202303048028"</f>
        <v>202303048028</v>
      </c>
      <c r="D1440" s="13">
        <v>85.3</v>
      </c>
      <c r="E1440" s="14">
        <v>96.5</v>
      </c>
      <c r="F1440" s="15" t="s">
        <v>8</v>
      </c>
    </row>
    <row r="1441" spans="1:6" ht="17.100000000000001" customHeight="1">
      <c r="A1441" s="11" t="s">
        <v>1447</v>
      </c>
      <c r="B1441" s="12">
        <v>202303064</v>
      </c>
      <c r="C1441" s="12" t="str">
        <f>"202303048029"</f>
        <v>202303048029</v>
      </c>
      <c r="D1441" s="13">
        <v>87.2</v>
      </c>
      <c r="E1441" s="14">
        <v>104.5</v>
      </c>
      <c r="F1441" s="15" t="s">
        <v>8</v>
      </c>
    </row>
    <row r="1442" spans="1:6" ht="17.100000000000001" customHeight="1">
      <c r="A1442" s="11" t="s">
        <v>1448</v>
      </c>
      <c r="B1442" s="12">
        <v>202303064</v>
      </c>
      <c r="C1442" s="12" t="str">
        <f>"202303048030"</f>
        <v>202303048030</v>
      </c>
      <c r="D1442" s="13">
        <v>64.7</v>
      </c>
      <c r="E1442" s="14">
        <v>99.5</v>
      </c>
      <c r="F1442" s="15" t="s">
        <v>8</v>
      </c>
    </row>
    <row r="1443" spans="1:6" ht="17.100000000000001" customHeight="1">
      <c r="A1443" s="11" t="s">
        <v>1449</v>
      </c>
      <c r="B1443" s="12">
        <v>202303064</v>
      </c>
      <c r="C1443" s="12" t="str">
        <f>"202303049001"</f>
        <v>202303049001</v>
      </c>
      <c r="D1443" s="13">
        <v>87</v>
      </c>
      <c r="E1443" s="14">
        <v>101</v>
      </c>
      <c r="F1443" s="15" t="s">
        <v>8</v>
      </c>
    </row>
    <row r="1444" spans="1:6" ht="17.100000000000001" customHeight="1">
      <c r="A1444" s="11" t="s">
        <v>1450</v>
      </c>
      <c r="B1444" s="12">
        <v>202303064</v>
      </c>
      <c r="C1444" s="12" t="str">
        <f>"202303049002"</f>
        <v>202303049002</v>
      </c>
      <c r="D1444" s="13">
        <v>79.900000000000006</v>
      </c>
      <c r="E1444" s="14">
        <v>82</v>
      </c>
      <c r="F1444" s="15" t="s">
        <v>8</v>
      </c>
    </row>
    <row r="1445" spans="1:6" ht="17.100000000000001" customHeight="1">
      <c r="A1445" s="11" t="s">
        <v>1451</v>
      </c>
      <c r="B1445" s="12">
        <v>202303064</v>
      </c>
      <c r="C1445" s="12" t="str">
        <f>"202303049003"</f>
        <v>202303049003</v>
      </c>
      <c r="D1445" s="13">
        <v>81.8</v>
      </c>
      <c r="E1445" s="14">
        <v>92.5</v>
      </c>
      <c r="F1445" s="15" t="s">
        <v>8</v>
      </c>
    </row>
    <row r="1446" spans="1:6" ht="17.100000000000001" customHeight="1">
      <c r="A1446" s="11" t="s">
        <v>1452</v>
      </c>
      <c r="B1446" s="12">
        <v>202303064</v>
      </c>
      <c r="C1446" s="12" t="str">
        <f>"202303049004"</f>
        <v>202303049004</v>
      </c>
      <c r="D1446" s="13">
        <v>0</v>
      </c>
      <c r="E1446" s="14">
        <v>0</v>
      </c>
      <c r="F1446" s="15" t="s">
        <v>12</v>
      </c>
    </row>
    <row r="1447" spans="1:6" ht="17.100000000000001" customHeight="1">
      <c r="A1447" s="11" t="s">
        <v>1453</v>
      </c>
      <c r="B1447" s="12">
        <v>202303064</v>
      </c>
      <c r="C1447" s="12" t="str">
        <f>"202303049005"</f>
        <v>202303049005</v>
      </c>
      <c r="D1447" s="13">
        <v>101.9</v>
      </c>
      <c r="E1447" s="14">
        <v>105</v>
      </c>
      <c r="F1447" s="15" t="s">
        <v>8</v>
      </c>
    </row>
    <row r="1448" spans="1:6" ht="17.100000000000001" customHeight="1">
      <c r="A1448" s="11" t="s">
        <v>1454</v>
      </c>
      <c r="B1448" s="12">
        <v>202303064</v>
      </c>
      <c r="C1448" s="12" t="str">
        <f>"202303049006"</f>
        <v>202303049006</v>
      </c>
      <c r="D1448" s="13">
        <v>86.5</v>
      </c>
      <c r="E1448" s="14">
        <v>104.5</v>
      </c>
      <c r="F1448" s="15" t="s">
        <v>8</v>
      </c>
    </row>
    <row r="1449" spans="1:6" ht="17.100000000000001" customHeight="1">
      <c r="A1449" s="11" t="s">
        <v>1455</v>
      </c>
      <c r="B1449" s="12">
        <v>202303064</v>
      </c>
      <c r="C1449" s="12" t="str">
        <f>"202303049007"</f>
        <v>202303049007</v>
      </c>
      <c r="D1449" s="13">
        <v>95.4</v>
      </c>
      <c r="E1449" s="14">
        <v>106.5</v>
      </c>
      <c r="F1449" s="15" t="s">
        <v>8</v>
      </c>
    </row>
    <row r="1450" spans="1:6" ht="17.100000000000001" customHeight="1">
      <c r="A1450" s="11" t="s">
        <v>1456</v>
      </c>
      <c r="B1450" s="12">
        <v>202303064</v>
      </c>
      <c r="C1450" s="12" t="str">
        <f>"202303049008"</f>
        <v>202303049008</v>
      </c>
      <c r="D1450" s="13">
        <v>91.7</v>
      </c>
      <c r="E1450" s="14">
        <v>103.5</v>
      </c>
      <c r="F1450" s="15" t="s">
        <v>8</v>
      </c>
    </row>
    <row r="1451" spans="1:6" ht="17.100000000000001" customHeight="1">
      <c r="A1451" s="11" t="s">
        <v>1457</v>
      </c>
      <c r="B1451" s="12">
        <v>202303064</v>
      </c>
      <c r="C1451" s="12" t="str">
        <f>"202303049009"</f>
        <v>202303049009</v>
      </c>
      <c r="D1451" s="13">
        <v>76.7</v>
      </c>
      <c r="E1451" s="14">
        <v>87.5</v>
      </c>
      <c r="F1451" s="15" t="s">
        <v>8</v>
      </c>
    </row>
    <row r="1452" spans="1:6" ht="17.100000000000001" customHeight="1">
      <c r="A1452" s="11" t="s">
        <v>1458</v>
      </c>
      <c r="B1452" s="12">
        <v>202303064</v>
      </c>
      <c r="C1452" s="12" t="str">
        <f>"202303049010"</f>
        <v>202303049010</v>
      </c>
      <c r="D1452" s="13">
        <v>78.099999999999994</v>
      </c>
      <c r="E1452" s="14">
        <v>82.5</v>
      </c>
      <c r="F1452" s="15" t="s">
        <v>8</v>
      </c>
    </row>
    <row r="1453" spans="1:6" ht="17.100000000000001" customHeight="1">
      <c r="A1453" s="11" t="s">
        <v>1459</v>
      </c>
      <c r="B1453" s="12">
        <v>202303064</v>
      </c>
      <c r="C1453" s="12" t="str">
        <f>"202303049011"</f>
        <v>202303049011</v>
      </c>
      <c r="D1453" s="13">
        <v>88.9</v>
      </c>
      <c r="E1453" s="14">
        <v>105.5</v>
      </c>
      <c r="F1453" s="15" t="s">
        <v>8</v>
      </c>
    </row>
    <row r="1454" spans="1:6" ht="17.100000000000001" customHeight="1">
      <c r="A1454" s="11" t="s">
        <v>1460</v>
      </c>
      <c r="B1454" s="12">
        <v>202303064</v>
      </c>
      <c r="C1454" s="12" t="str">
        <f>"202303049012"</f>
        <v>202303049012</v>
      </c>
      <c r="D1454" s="13">
        <v>60.2</v>
      </c>
      <c r="E1454" s="14">
        <v>92.5</v>
      </c>
      <c r="F1454" s="15" t="s">
        <v>8</v>
      </c>
    </row>
    <row r="1455" spans="1:6" ht="17.100000000000001" customHeight="1">
      <c r="A1455" s="11" t="s">
        <v>1461</v>
      </c>
      <c r="B1455" s="12">
        <v>202303064</v>
      </c>
      <c r="C1455" s="12" t="str">
        <f>"202303049013"</f>
        <v>202303049013</v>
      </c>
      <c r="D1455" s="13">
        <v>71.7</v>
      </c>
      <c r="E1455" s="14">
        <v>97</v>
      </c>
      <c r="F1455" s="15" t="s">
        <v>8</v>
      </c>
    </row>
    <row r="1456" spans="1:6" ht="17.100000000000001" customHeight="1">
      <c r="A1456" s="11" t="s">
        <v>1462</v>
      </c>
      <c r="B1456" s="12">
        <v>202303065</v>
      </c>
      <c r="C1456" s="12" t="str">
        <f>"202303049014"</f>
        <v>202303049014</v>
      </c>
      <c r="D1456" s="13">
        <v>86.5</v>
      </c>
      <c r="E1456" s="14">
        <v>104.5</v>
      </c>
      <c r="F1456" s="15" t="s">
        <v>8</v>
      </c>
    </row>
    <row r="1457" spans="1:6" ht="17.100000000000001" customHeight="1">
      <c r="A1457" s="11" t="s">
        <v>1463</v>
      </c>
      <c r="B1457" s="12">
        <v>202303065</v>
      </c>
      <c r="C1457" s="12" t="str">
        <f>"202303049015"</f>
        <v>202303049015</v>
      </c>
      <c r="D1457" s="13">
        <v>88.9</v>
      </c>
      <c r="E1457" s="14">
        <v>103.5</v>
      </c>
      <c r="F1457" s="15" t="s">
        <v>8</v>
      </c>
    </row>
    <row r="1458" spans="1:6" ht="17.100000000000001" customHeight="1">
      <c r="A1458" s="11" t="s">
        <v>1464</v>
      </c>
      <c r="B1458" s="12">
        <v>202303065</v>
      </c>
      <c r="C1458" s="12" t="str">
        <f>"202303049016"</f>
        <v>202303049016</v>
      </c>
      <c r="D1458" s="13">
        <v>0</v>
      </c>
      <c r="E1458" s="14">
        <v>0</v>
      </c>
      <c r="F1458" s="15" t="s">
        <v>12</v>
      </c>
    </row>
    <row r="1459" spans="1:6" ht="17.100000000000001" customHeight="1">
      <c r="A1459" s="11" t="s">
        <v>1465</v>
      </c>
      <c r="B1459" s="12">
        <v>202303065</v>
      </c>
      <c r="C1459" s="12" t="str">
        <f>"202303049017"</f>
        <v>202303049017</v>
      </c>
      <c r="D1459" s="13">
        <v>76.099999999999994</v>
      </c>
      <c r="E1459" s="14">
        <v>98.5</v>
      </c>
      <c r="F1459" s="15" t="s">
        <v>8</v>
      </c>
    </row>
    <row r="1460" spans="1:6" ht="17.100000000000001" customHeight="1">
      <c r="A1460" s="11" t="s">
        <v>1466</v>
      </c>
      <c r="B1460" s="12">
        <v>202303065</v>
      </c>
      <c r="C1460" s="12" t="str">
        <f>"202303049018"</f>
        <v>202303049018</v>
      </c>
      <c r="D1460" s="13">
        <v>91.3</v>
      </c>
      <c r="E1460" s="14">
        <v>100</v>
      </c>
      <c r="F1460" s="15" t="s">
        <v>8</v>
      </c>
    </row>
    <row r="1461" spans="1:6" ht="17.100000000000001" customHeight="1">
      <c r="A1461" s="11" t="s">
        <v>1467</v>
      </c>
      <c r="B1461" s="12">
        <v>202303065</v>
      </c>
      <c r="C1461" s="12" t="str">
        <f>"202303049019"</f>
        <v>202303049019</v>
      </c>
      <c r="D1461" s="13">
        <v>82</v>
      </c>
      <c r="E1461" s="14">
        <v>80.5</v>
      </c>
      <c r="F1461" s="15" t="s">
        <v>8</v>
      </c>
    </row>
    <row r="1462" spans="1:6" ht="17.100000000000001" customHeight="1">
      <c r="A1462" s="11" t="s">
        <v>1468</v>
      </c>
      <c r="B1462" s="12">
        <v>202303065</v>
      </c>
      <c r="C1462" s="12" t="str">
        <f>"202303049020"</f>
        <v>202303049020</v>
      </c>
      <c r="D1462" s="13">
        <v>0</v>
      </c>
      <c r="E1462" s="14">
        <v>0</v>
      </c>
      <c r="F1462" s="15" t="s">
        <v>12</v>
      </c>
    </row>
    <row r="1463" spans="1:6" ht="17.100000000000001" customHeight="1">
      <c r="A1463" s="11" t="s">
        <v>1469</v>
      </c>
      <c r="B1463" s="12">
        <v>202303065</v>
      </c>
      <c r="C1463" s="12" t="str">
        <f>"202303049021"</f>
        <v>202303049021</v>
      </c>
      <c r="D1463" s="13">
        <v>103</v>
      </c>
      <c r="E1463" s="14">
        <v>102.5</v>
      </c>
      <c r="F1463" s="15" t="s">
        <v>8</v>
      </c>
    </row>
    <row r="1464" spans="1:6" ht="17.100000000000001" customHeight="1">
      <c r="A1464" s="11" t="s">
        <v>1470</v>
      </c>
      <c r="B1464" s="12">
        <v>202303065</v>
      </c>
      <c r="C1464" s="12" t="str">
        <f>"202303049022"</f>
        <v>202303049022</v>
      </c>
      <c r="D1464" s="13">
        <v>72.900000000000006</v>
      </c>
      <c r="E1464" s="14">
        <v>95.5</v>
      </c>
      <c r="F1464" s="15" t="s">
        <v>8</v>
      </c>
    </row>
    <row r="1465" spans="1:6" ht="17.100000000000001" customHeight="1">
      <c r="A1465" s="11" t="s">
        <v>1471</v>
      </c>
      <c r="B1465" s="12">
        <v>202303065</v>
      </c>
      <c r="C1465" s="12" t="str">
        <f>"202303049023"</f>
        <v>202303049023</v>
      </c>
      <c r="D1465" s="13">
        <v>0</v>
      </c>
      <c r="E1465" s="14">
        <v>0</v>
      </c>
      <c r="F1465" s="15" t="s">
        <v>12</v>
      </c>
    </row>
    <row r="1466" spans="1:6" ht="17.100000000000001" customHeight="1">
      <c r="A1466" s="11" t="s">
        <v>1472</v>
      </c>
      <c r="B1466" s="12">
        <v>202303065</v>
      </c>
      <c r="C1466" s="12" t="str">
        <f>"202303049024"</f>
        <v>202303049024</v>
      </c>
      <c r="D1466" s="13">
        <v>82.8</v>
      </c>
      <c r="E1466" s="14">
        <v>97</v>
      </c>
      <c r="F1466" s="15" t="s">
        <v>8</v>
      </c>
    </row>
    <row r="1467" spans="1:6" ht="17.100000000000001" customHeight="1">
      <c r="A1467" s="11" t="s">
        <v>1473</v>
      </c>
      <c r="B1467" s="12">
        <v>202303065</v>
      </c>
      <c r="C1467" s="12" t="str">
        <f>"202303049025"</f>
        <v>202303049025</v>
      </c>
      <c r="D1467" s="13">
        <v>104</v>
      </c>
      <c r="E1467" s="14">
        <v>100</v>
      </c>
      <c r="F1467" s="15" t="s">
        <v>8</v>
      </c>
    </row>
    <row r="1468" spans="1:6" ht="17.100000000000001" customHeight="1">
      <c r="A1468" s="11" t="s">
        <v>1474</v>
      </c>
      <c r="B1468" s="12">
        <v>202303065</v>
      </c>
      <c r="C1468" s="12" t="str">
        <f>"202303049026"</f>
        <v>202303049026</v>
      </c>
      <c r="D1468" s="13">
        <v>99.2</v>
      </c>
      <c r="E1468" s="14">
        <v>94</v>
      </c>
      <c r="F1468" s="15" t="s">
        <v>8</v>
      </c>
    </row>
    <row r="1469" spans="1:6" ht="17.100000000000001" customHeight="1">
      <c r="A1469" s="11" t="s">
        <v>1475</v>
      </c>
      <c r="B1469" s="12">
        <v>202303065</v>
      </c>
      <c r="C1469" s="12" t="str">
        <f>"202303049027"</f>
        <v>202303049027</v>
      </c>
      <c r="D1469" s="13">
        <v>0</v>
      </c>
      <c r="E1469" s="14">
        <v>0</v>
      </c>
      <c r="F1469" s="15" t="s">
        <v>12</v>
      </c>
    </row>
    <row r="1470" spans="1:6" ht="17.100000000000001" customHeight="1">
      <c r="A1470" s="11" t="s">
        <v>1476</v>
      </c>
      <c r="B1470" s="12">
        <v>202303065</v>
      </c>
      <c r="C1470" s="12" t="str">
        <f>"202303049028"</f>
        <v>202303049028</v>
      </c>
      <c r="D1470" s="13">
        <v>0</v>
      </c>
      <c r="E1470" s="14">
        <v>0</v>
      </c>
      <c r="F1470" s="15" t="s">
        <v>12</v>
      </c>
    </row>
    <row r="1471" spans="1:6" ht="17.100000000000001" customHeight="1">
      <c r="A1471" s="11" t="s">
        <v>1477</v>
      </c>
      <c r="B1471" s="12">
        <v>202303065</v>
      </c>
      <c r="C1471" s="12" t="str">
        <f>"202303049029"</f>
        <v>202303049029</v>
      </c>
      <c r="D1471" s="13">
        <v>0</v>
      </c>
      <c r="E1471" s="14">
        <v>0</v>
      </c>
      <c r="F1471" s="15" t="s">
        <v>12</v>
      </c>
    </row>
    <row r="1472" spans="1:6" ht="17.100000000000001" customHeight="1">
      <c r="A1472" s="11" t="s">
        <v>1478</v>
      </c>
      <c r="B1472" s="12">
        <v>202303065</v>
      </c>
      <c r="C1472" s="12" t="str">
        <f>"202303049030"</f>
        <v>202303049030</v>
      </c>
      <c r="D1472" s="13">
        <v>0</v>
      </c>
      <c r="E1472" s="14">
        <v>0</v>
      </c>
      <c r="F1472" s="15" t="s">
        <v>12</v>
      </c>
    </row>
    <row r="1473" spans="1:6" ht="17.100000000000001" customHeight="1">
      <c r="A1473" s="11" t="s">
        <v>1479</v>
      </c>
      <c r="B1473" s="12">
        <v>202303065</v>
      </c>
      <c r="C1473" s="12" t="str">
        <f>"202303050001"</f>
        <v>202303050001</v>
      </c>
      <c r="D1473" s="13">
        <v>0</v>
      </c>
      <c r="E1473" s="14">
        <v>0</v>
      </c>
      <c r="F1473" s="15" t="s">
        <v>12</v>
      </c>
    </row>
    <row r="1474" spans="1:6" ht="17.100000000000001" customHeight="1">
      <c r="A1474" s="11" t="s">
        <v>1480</v>
      </c>
      <c r="B1474" s="12">
        <v>202303065</v>
      </c>
      <c r="C1474" s="12" t="str">
        <f>"202303050002"</f>
        <v>202303050002</v>
      </c>
      <c r="D1474" s="13">
        <v>62.4</v>
      </c>
      <c r="E1474" s="14">
        <v>89.5</v>
      </c>
      <c r="F1474" s="15" t="s">
        <v>8</v>
      </c>
    </row>
    <row r="1475" spans="1:6" ht="17.100000000000001" customHeight="1">
      <c r="A1475" s="11" t="s">
        <v>1481</v>
      </c>
      <c r="B1475" s="12">
        <v>202303065</v>
      </c>
      <c r="C1475" s="12" t="str">
        <f>"202303050003"</f>
        <v>202303050003</v>
      </c>
      <c r="D1475" s="13">
        <v>79.7</v>
      </c>
      <c r="E1475" s="14">
        <v>76.5</v>
      </c>
      <c r="F1475" s="15" t="s">
        <v>8</v>
      </c>
    </row>
    <row r="1476" spans="1:6" ht="17.100000000000001" customHeight="1">
      <c r="A1476" s="11" t="s">
        <v>1482</v>
      </c>
      <c r="B1476" s="12">
        <v>202303065</v>
      </c>
      <c r="C1476" s="12" t="str">
        <f>"202303050004"</f>
        <v>202303050004</v>
      </c>
      <c r="D1476" s="13">
        <v>96.8</v>
      </c>
      <c r="E1476" s="14">
        <v>98</v>
      </c>
      <c r="F1476" s="15" t="s">
        <v>8</v>
      </c>
    </row>
    <row r="1477" spans="1:6" ht="17.100000000000001" customHeight="1">
      <c r="A1477" s="11" t="s">
        <v>1483</v>
      </c>
      <c r="B1477" s="12">
        <v>202303065</v>
      </c>
      <c r="C1477" s="12" t="str">
        <f>"202303050005"</f>
        <v>202303050005</v>
      </c>
      <c r="D1477" s="13">
        <v>54.5</v>
      </c>
      <c r="E1477" s="14">
        <v>92.5</v>
      </c>
      <c r="F1477" s="15" t="s">
        <v>8</v>
      </c>
    </row>
    <row r="1478" spans="1:6" ht="17.100000000000001" customHeight="1">
      <c r="A1478" s="11" t="s">
        <v>1484</v>
      </c>
      <c r="B1478" s="12">
        <v>202303065</v>
      </c>
      <c r="C1478" s="12" t="str">
        <f>"202303050006"</f>
        <v>202303050006</v>
      </c>
      <c r="D1478" s="13">
        <v>0</v>
      </c>
      <c r="E1478" s="14">
        <v>0</v>
      </c>
      <c r="F1478" s="15" t="s">
        <v>12</v>
      </c>
    </row>
    <row r="1479" spans="1:6" s="1" customFormat="1" ht="17.100000000000001" customHeight="1">
      <c r="A1479" s="16" t="s">
        <v>1485</v>
      </c>
      <c r="B1479" s="17">
        <v>202303065</v>
      </c>
      <c r="C1479" s="17" t="str">
        <f>"202303050007"</f>
        <v>202303050007</v>
      </c>
      <c r="D1479" s="18">
        <v>0</v>
      </c>
      <c r="E1479" s="19">
        <v>0</v>
      </c>
      <c r="F1479" s="20" t="s">
        <v>12</v>
      </c>
    </row>
    <row r="1480" spans="1:6" ht="17.100000000000001" customHeight="1">
      <c r="A1480" s="11" t="s">
        <v>1486</v>
      </c>
      <c r="B1480" s="12">
        <v>202303065</v>
      </c>
      <c r="C1480" s="12" t="str">
        <f>"202303050008"</f>
        <v>202303050008</v>
      </c>
      <c r="D1480" s="13">
        <v>82</v>
      </c>
      <c r="E1480" s="14">
        <v>95</v>
      </c>
      <c r="F1480" s="15" t="s">
        <v>8</v>
      </c>
    </row>
    <row r="1481" spans="1:6" ht="17.100000000000001" customHeight="1">
      <c r="A1481" s="11" t="s">
        <v>1487</v>
      </c>
      <c r="B1481" s="12">
        <v>202303066</v>
      </c>
      <c r="C1481" s="12" t="str">
        <f>"202303050009"</f>
        <v>202303050009</v>
      </c>
      <c r="D1481" s="13">
        <v>75.7</v>
      </c>
      <c r="E1481" s="14">
        <v>97.5</v>
      </c>
      <c r="F1481" s="15" t="s">
        <v>8</v>
      </c>
    </row>
    <row r="1482" spans="1:6" ht="17.100000000000001" customHeight="1">
      <c r="A1482" s="11" t="s">
        <v>1488</v>
      </c>
      <c r="B1482" s="12">
        <v>202303066</v>
      </c>
      <c r="C1482" s="12" t="str">
        <f>"202303050010"</f>
        <v>202303050010</v>
      </c>
      <c r="D1482" s="13">
        <v>72.7</v>
      </c>
      <c r="E1482" s="14">
        <v>102.5</v>
      </c>
      <c r="F1482" s="15" t="s">
        <v>8</v>
      </c>
    </row>
    <row r="1483" spans="1:6" ht="17.100000000000001" customHeight="1">
      <c r="A1483" s="11" t="s">
        <v>1489</v>
      </c>
      <c r="B1483" s="12">
        <v>202303066</v>
      </c>
      <c r="C1483" s="12" t="str">
        <f>"202303050011"</f>
        <v>202303050011</v>
      </c>
      <c r="D1483" s="13">
        <v>0</v>
      </c>
      <c r="E1483" s="14">
        <v>0</v>
      </c>
      <c r="F1483" s="15" t="s">
        <v>12</v>
      </c>
    </row>
    <row r="1484" spans="1:6" ht="17.100000000000001" customHeight="1">
      <c r="A1484" s="11" t="s">
        <v>1490</v>
      </c>
      <c r="B1484" s="12">
        <v>202303066</v>
      </c>
      <c r="C1484" s="12" t="str">
        <f>"202303050012"</f>
        <v>202303050012</v>
      </c>
      <c r="D1484" s="13">
        <v>93.8</v>
      </c>
      <c r="E1484" s="14">
        <v>93</v>
      </c>
      <c r="F1484" s="15" t="s">
        <v>8</v>
      </c>
    </row>
    <row r="1485" spans="1:6" ht="17.100000000000001" customHeight="1">
      <c r="A1485" s="11" t="s">
        <v>1491</v>
      </c>
      <c r="B1485" s="12">
        <v>202303066</v>
      </c>
      <c r="C1485" s="12" t="str">
        <f>"202303050013"</f>
        <v>202303050013</v>
      </c>
      <c r="D1485" s="13">
        <v>56.6</v>
      </c>
      <c r="E1485" s="14">
        <v>81</v>
      </c>
      <c r="F1485" s="15" t="s">
        <v>8</v>
      </c>
    </row>
    <row r="1486" spans="1:6" ht="17.100000000000001" customHeight="1">
      <c r="A1486" s="11" t="s">
        <v>1492</v>
      </c>
      <c r="B1486" s="12">
        <v>202303066</v>
      </c>
      <c r="C1486" s="12" t="str">
        <f>"202303050014"</f>
        <v>202303050014</v>
      </c>
      <c r="D1486" s="13">
        <v>81.2</v>
      </c>
      <c r="E1486" s="14">
        <v>80</v>
      </c>
      <c r="F1486" s="15" t="s">
        <v>8</v>
      </c>
    </row>
    <row r="1487" spans="1:6" ht="17.100000000000001" customHeight="1">
      <c r="A1487" s="11" t="s">
        <v>1493</v>
      </c>
      <c r="B1487" s="12">
        <v>202303066</v>
      </c>
      <c r="C1487" s="12" t="str">
        <f>"202303050015"</f>
        <v>202303050015</v>
      </c>
      <c r="D1487" s="13">
        <v>78.3</v>
      </c>
      <c r="E1487" s="14">
        <v>103.5</v>
      </c>
      <c r="F1487" s="15" t="s">
        <v>8</v>
      </c>
    </row>
    <row r="1488" spans="1:6" ht="17.100000000000001" customHeight="1">
      <c r="A1488" s="11" t="s">
        <v>1494</v>
      </c>
      <c r="B1488" s="12">
        <v>202303066</v>
      </c>
      <c r="C1488" s="12" t="str">
        <f>"202303050016"</f>
        <v>202303050016</v>
      </c>
      <c r="D1488" s="13">
        <v>86.7</v>
      </c>
      <c r="E1488" s="14">
        <v>96</v>
      </c>
      <c r="F1488" s="15" t="s">
        <v>8</v>
      </c>
    </row>
    <row r="1489" spans="1:6" ht="17.100000000000001" customHeight="1">
      <c r="A1489" s="11" t="s">
        <v>1495</v>
      </c>
      <c r="B1489" s="12">
        <v>202303066</v>
      </c>
      <c r="C1489" s="12" t="str">
        <f>"202303050017"</f>
        <v>202303050017</v>
      </c>
      <c r="D1489" s="13">
        <v>0</v>
      </c>
      <c r="E1489" s="14">
        <v>0</v>
      </c>
      <c r="F1489" s="15" t="s">
        <v>12</v>
      </c>
    </row>
    <row r="1490" spans="1:6" ht="17.100000000000001" customHeight="1">
      <c r="A1490" s="11" t="s">
        <v>1496</v>
      </c>
      <c r="B1490" s="12">
        <v>202303066</v>
      </c>
      <c r="C1490" s="12" t="str">
        <f>"202303050018"</f>
        <v>202303050018</v>
      </c>
      <c r="D1490" s="13">
        <v>95.6</v>
      </c>
      <c r="E1490" s="14">
        <v>102.5</v>
      </c>
      <c r="F1490" s="15" t="s">
        <v>8</v>
      </c>
    </row>
    <row r="1491" spans="1:6" ht="17.100000000000001" customHeight="1">
      <c r="A1491" s="11" t="s">
        <v>1497</v>
      </c>
      <c r="B1491" s="12">
        <v>202303066</v>
      </c>
      <c r="C1491" s="12" t="str">
        <f>"202303050019"</f>
        <v>202303050019</v>
      </c>
      <c r="D1491" s="13">
        <v>62</v>
      </c>
      <c r="E1491" s="14">
        <v>97.5</v>
      </c>
      <c r="F1491" s="15" t="s">
        <v>8</v>
      </c>
    </row>
    <row r="1492" spans="1:6" ht="17.100000000000001" customHeight="1">
      <c r="A1492" s="11" t="s">
        <v>1498</v>
      </c>
      <c r="B1492" s="12">
        <v>202303066</v>
      </c>
      <c r="C1492" s="12" t="str">
        <f>"202303050020"</f>
        <v>202303050020</v>
      </c>
      <c r="D1492" s="13">
        <v>81.7</v>
      </c>
      <c r="E1492" s="14">
        <v>81.5</v>
      </c>
      <c r="F1492" s="15" t="s">
        <v>8</v>
      </c>
    </row>
    <row r="1493" spans="1:6" ht="17.100000000000001" customHeight="1">
      <c r="A1493" s="11" t="s">
        <v>1499</v>
      </c>
      <c r="B1493" s="12">
        <v>202303066</v>
      </c>
      <c r="C1493" s="12" t="str">
        <f>"202303050021"</f>
        <v>202303050021</v>
      </c>
      <c r="D1493" s="13">
        <v>0</v>
      </c>
      <c r="E1493" s="14">
        <v>0</v>
      </c>
      <c r="F1493" s="15" t="s">
        <v>12</v>
      </c>
    </row>
    <row r="1494" spans="1:6" ht="17.100000000000001" customHeight="1">
      <c r="A1494" s="11" t="s">
        <v>1500</v>
      </c>
      <c r="B1494" s="12">
        <v>202303066</v>
      </c>
      <c r="C1494" s="12" t="str">
        <f>"202303050022"</f>
        <v>202303050022</v>
      </c>
      <c r="D1494" s="13">
        <v>91.3</v>
      </c>
      <c r="E1494" s="14">
        <v>101.5</v>
      </c>
      <c r="F1494" s="15" t="s">
        <v>8</v>
      </c>
    </row>
    <row r="1495" spans="1:6" ht="17.100000000000001" customHeight="1">
      <c r="A1495" s="11" t="s">
        <v>1501</v>
      </c>
      <c r="B1495" s="12">
        <v>202303066</v>
      </c>
      <c r="C1495" s="12" t="str">
        <f>"202303050023"</f>
        <v>202303050023</v>
      </c>
      <c r="D1495" s="13">
        <v>85.7</v>
      </c>
      <c r="E1495" s="14">
        <v>103.5</v>
      </c>
      <c r="F1495" s="15" t="s">
        <v>8</v>
      </c>
    </row>
    <row r="1496" spans="1:6" ht="17.100000000000001" customHeight="1">
      <c r="A1496" s="11" t="s">
        <v>1502</v>
      </c>
      <c r="B1496" s="12">
        <v>202303066</v>
      </c>
      <c r="C1496" s="12" t="str">
        <f>"202303050024"</f>
        <v>202303050024</v>
      </c>
      <c r="D1496" s="13">
        <v>96.5</v>
      </c>
      <c r="E1496" s="14">
        <v>103.5</v>
      </c>
      <c r="F1496" s="15" t="s">
        <v>8</v>
      </c>
    </row>
    <row r="1497" spans="1:6" ht="17.100000000000001" customHeight="1">
      <c r="A1497" s="11" t="s">
        <v>1503</v>
      </c>
      <c r="B1497" s="12">
        <v>202303066</v>
      </c>
      <c r="C1497" s="12" t="str">
        <f>"202303050025"</f>
        <v>202303050025</v>
      </c>
      <c r="D1497" s="13">
        <v>83.4</v>
      </c>
      <c r="E1497" s="14">
        <v>95.5</v>
      </c>
      <c r="F1497" s="15" t="s">
        <v>8</v>
      </c>
    </row>
    <row r="1498" spans="1:6" ht="17.100000000000001" customHeight="1">
      <c r="A1498" s="11" t="s">
        <v>1504</v>
      </c>
      <c r="B1498" s="12">
        <v>202303066</v>
      </c>
      <c r="C1498" s="12" t="str">
        <f>"202303050026"</f>
        <v>202303050026</v>
      </c>
      <c r="D1498" s="13">
        <v>88.7</v>
      </c>
      <c r="E1498" s="14">
        <v>103.5</v>
      </c>
      <c r="F1498" s="15" t="s">
        <v>8</v>
      </c>
    </row>
    <row r="1499" spans="1:6" ht="17.100000000000001" customHeight="1">
      <c r="A1499" s="11" t="s">
        <v>1505</v>
      </c>
      <c r="B1499" s="12">
        <v>202303066</v>
      </c>
      <c r="C1499" s="12" t="str">
        <f>"202303050027"</f>
        <v>202303050027</v>
      </c>
      <c r="D1499" s="13">
        <v>91.2</v>
      </c>
      <c r="E1499" s="14">
        <v>107.5</v>
      </c>
      <c r="F1499" s="15" t="s">
        <v>8</v>
      </c>
    </row>
    <row r="1500" spans="1:6" ht="17.100000000000001" customHeight="1">
      <c r="A1500" s="11" t="s">
        <v>1506</v>
      </c>
      <c r="B1500" s="12">
        <v>202303066</v>
      </c>
      <c r="C1500" s="12" t="str">
        <f>"202303050028"</f>
        <v>202303050028</v>
      </c>
      <c r="D1500" s="13">
        <v>0</v>
      </c>
      <c r="E1500" s="14">
        <v>0</v>
      </c>
      <c r="F1500" s="15" t="s">
        <v>12</v>
      </c>
    </row>
    <row r="1501" spans="1:6" ht="17.100000000000001" customHeight="1">
      <c r="A1501" s="11" t="s">
        <v>1507</v>
      </c>
      <c r="B1501" s="12">
        <v>202303066</v>
      </c>
      <c r="C1501" s="12" t="str">
        <f>"202303050029"</f>
        <v>202303050029</v>
      </c>
      <c r="D1501" s="13">
        <v>65.7</v>
      </c>
      <c r="E1501" s="14">
        <v>112.5</v>
      </c>
      <c r="F1501" s="15" t="s">
        <v>8</v>
      </c>
    </row>
    <row r="1502" spans="1:6" ht="17.100000000000001" customHeight="1">
      <c r="A1502" s="11" t="s">
        <v>1508</v>
      </c>
      <c r="B1502" s="12">
        <v>202303066</v>
      </c>
      <c r="C1502" s="12" t="str">
        <f>"202303050030"</f>
        <v>202303050030</v>
      </c>
      <c r="D1502" s="13">
        <v>0</v>
      </c>
      <c r="E1502" s="14">
        <v>0</v>
      </c>
      <c r="F1502" s="15" t="s">
        <v>12</v>
      </c>
    </row>
    <row r="1503" spans="1:6" ht="17.100000000000001" customHeight="1">
      <c r="A1503" s="11" t="s">
        <v>1509</v>
      </c>
      <c r="B1503" s="12">
        <v>202303066</v>
      </c>
      <c r="C1503" s="12" t="str">
        <f>"202303051001"</f>
        <v>202303051001</v>
      </c>
      <c r="D1503" s="13">
        <v>104.4</v>
      </c>
      <c r="E1503" s="14">
        <v>95</v>
      </c>
      <c r="F1503" s="15" t="s">
        <v>8</v>
      </c>
    </row>
    <row r="1504" spans="1:6" ht="17.100000000000001" customHeight="1">
      <c r="A1504" s="11" t="s">
        <v>1510</v>
      </c>
      <c r="B1504" s="12">
        <v>202303066</v>
      </c>
      <c r="C1504" s="12" t="str">
        <f>"202303051002"</f>
        <v>202303051002</v>
      </c>
      <c r="D1504" s="13">
        <v>0</v>
      </c>
      <c r="E1504" s="14">
        <v>0</v>
      </c>
      <c r="F1504" s="15" t="s">
        <v>12</v>
      </c>
    </row>
    <row r="1505" spans="1:6" ht="17.100000000000001" customHeight="1">
      <c r="A1505" s="11" t="s">
        <v>1511</v>
      </c>
      <c r="B1505" s="12">
        <v>202303066</v>
      </c>
      <c r="C1505" s="12" t="str">
        <f>"202303051003"</f>
        <v>202303051003</v>
      </c>
      <c r="D1505" s="13">
        <v>65.900000000000006</v>
      </c>
      <c r="E1505" s="14">
        <v>70.5</v>
      </c>
      <c r="F1505" s="15" t="s">
        <v>8</v>
      </c>
    </row>
    <row r="1506" spans="1:6" ht="17.100000000000001" customHeight="1">
      <c r="A1506" s="11" t="s">
        <v>1512</v>
      </c>
      <c r="B1506" s="12">
        <v>202303066</v>
      </c>
      <c r="C1506" s="12" t="str">
        <f>"202303051004"</f>
        <v>202303051004</v>
      </c>
      <c r="D1506" s="13">
        <v>105.5</v>
      </c>
      <c r="E1506" s="14">
        <v>108.5</v>
      </c>
      <c r="F1506" s="15" t="s">
        <v>8</v>
      </c>
    </row>
    <row r="1507" spans="1:6" ht="17.100000000000001" customHeight="1">
      <c r="A1507" s="11" t="s">
        <v>1513</v>
      </c>
      <c r="B1507" s="12">
        <v>202303066</v>
      </c>
      <c r="C1507" s="12" t="str">
        <f>"202303051005"</f>
        <v>202303051005</v>
      </c>
      <c r="D1507" s="13">
        <v>93.4</v>
      </c>
      <c r="E1507" s="14">
        <v>104.5</v>
      </c>
      <c r="F1507" s="15" t="s">
        <v>8</v>
      </c>
    </row>
    <row r="1508" spans="1:6" ht="17.100000000000001" customHeight="1">
      <c r="A1508" s="11" t="s">
        <v>1514</v>
      </c>
      <c r="B1508" s="12">
        <v>202303066</v>
      </c>
      <c r="C1508" s="12" t="str">
        <f>"202303051006"</f>
        <v>202303051006</v>
      </c>
      <c r="D1508" s="13">
        <v>90.5</v>
      </c>
      <c r="E1508" s="14">
        <v>100</v>
      </c>
      <c r="F1508" s="15" t="s">
        <v>8</v>
      </c>
    </row>
    <row r="1509" spans="1:6" ht="17.100000000000001" customHeight="1">
      <c r="A1509" s="11" t="s">
        <v>1515</v>
      </c>
      <c r="B1509" s="12">
        <v>202303066</v>
      </c>
      <c r="C1509" s="12" t="str">
        <f>"202303051007"</f>
        <v>202303051007</v>
      </c>
      <c r="D1509" s="13">
        <v>70</v>
      </c>
      <c r="E1509" s="14">
        <v>89</v>
      </c>
      <c r="F1509" s="15" t="s">
        <v>8</v>
      </c>
    </row>
    <row r="1510" spans="1:6" ht="17.100000000000001" customHeight="1">
      <c r="A1510" s="11" t="s">
        <v>1516</v>
      </c>
      <c r="B1510" s="12">
        <v>202303066</v>
      </c>
      <c r="C1510" s="12" t="str">
        <f>"202303051008"</f>
        <v>202303051008</v>
      </c>
      <c r="D1510" s="13">
        <v>70.7</v>
      </c>
      <c r="E1510" s="14">
        <v>100</v>
      </c>
      <c r="F1510" s="15" t="s">
        <v>8</v>
      </c>
    </row>
    <row r="1511" spans="1:6" ht="17.100000000000001" customHeight="1">
      <c r="A1511" s="11" t="s">
        <v>1517</v>
      </c>
      <c r="B1511" s="12">
        <v>202303066</v>
      </c>
      <c r="C1511" s="12" t="str">
        <f>"202303051009"</f>
        <v>202303051009</v>
      </c>
      <c r="D1511" s="13">
        <v>77.900000000000006</v>
      </c>
      <c r="E1511" s="14">
        <v>101</v>
      </c>
      <c r="F1511" s="15" t="s">
        <v>8</v>
      </c>
    </row>
    <row r="1512" spans="1:6" ht="17.100000000000001" customHeight="1">
      <c r="A1512" s="11" t="s">
        <v>1518</v>
      </c>
      <c r="B1512" s="12">
        <v>202303066</v>
      </c>
      <c r="C1512" s="12" t="str">
        <f>"202303051010"</f>
        <v>202303051010</v>
      </c>
      <c r="D1512" s="13">
        <v>0</v>
      </c>
      <c r="E1512" s="14">
        <v>0</v>
      </c>
      <c r="F1512" s="15" t="s">
        <v>12</v>
      </c>
    </row>
    <row r="1513" spans="1:6" ht="17.100000000000001" customHeight="1">
      <c r="A1513" s="11" t="s">
        <v>1519</v>
      </c>
      <c r="B1513" s="12">
        <v>202303066</v>
      </c>
      <c r="C1513" s="12" t="str">
        <f>"202303051011"</f>
        <v>202303051011</v>
      </c>
      <c r="D1513" s="13">
        <v>85.4</v>
      </c>
      <c r="E1513" s="14">
        <v>103.5</v>
      </c>
      <c r="F1513" s="15" t="s">
        <v>8</v>
      </c>
    </row>
    <row r="1514" spans="1:6" ht="17.100000000000001" customHeight="1">
      <c r="A1514" s="11" t="s">
        <v>1520</v>
      </c>
      <c r="B1514" s="12">
        <v>202303066</v>
      </c>
      <c r="C1514" s="12" t="str">
        <f>"202303051012"</f>
        <v>202303051012</v>
      </c>
      <c r="D1514" s="13">
        <v>0</v>
      </c>
      <c r="E1514" s="14">
        <v>0</v>
      </c>
      <c r="F1514" s="15" t="s">
        <v>12</v>
      </c>
    </row>
    <row r="1515" spans="1:6" ht="17.100000000000001" customHeight="1">
      <c r="A1515" s="11" t="s">
        <v>1521</v>
      </c>
      <c r="B1515" s="12">
        <v>202303067</v>
      </c>
      <c r="C1515" s="12" t="str">
        <f>"202303051013"</f>
        <v>202303051013</v>
      </c>
      <c r="D1515" s="13">
        <v>83.2</v>
      </c>
      <c r="E1515" s="14">
        <v>79.5</v>
      </c>
      <c r="F1515" s="15" t="s">
        <v>8</v>
      </c>
    </row>
    <row r="1516" spans="1:6" ht="17.100000000000001" customHeight="1">
      <c r="A1516" s="11" t="s">
        <v>1522</v>
      </c>
      <c r="B1516" s="12">
        <v>202303067</v>
      </c>
      <c r="C1516" s="12" t="str">
        <f>"202303051014"</f>
        <v>202303051014</v>
      </c>
      <c r="D1516" s="13">
        <v>0</v>
      </c>
      <c r="E1516" s="14">
        <v>0</v>
      </c>
      <c r="F1516" s="15" t="s">
        <v>12</v>
      </c>
    </row>
    <row r="1517" spans="1:6" ht="17.100000000000001" customHeight="1">
      <c r="A1517" s="11" t="s">
        <v>1523</v>
      </c>
      <c r="B1517" s="12">
        <v>202303067</v>
      </c>
      <c r="C1517" s="12" t="str">
        <f>"202303051015"</f>
        <v>202303051015</v>
      </c>
      <c r="D1517" s="13">
        <v>0</v>
      </c>
      <c r="E1517" s="14">
        <v>0</v>
      </c>
      <c r="F1517" s="15" t="s">
        <v>12</v>
      </c>
    </row>
    <row r="1518" spans="1:6" ht="17.100000000000001" customHeight="1">
      <c r="A1518" s="11" t="s">
        <v>1524</v>
      </c>
      <c r="B1518" s="12">
        <v>202303067</v>
      </c>
      <c r="C1518" s="12" t="str">
        <f>"202303051016"</f>
        <v>202303051016</v>
      </c>
      <c r="D1518" s="13">
        <v>0</v>
      </c>
      <c r="E1518" s="14">
        <v>0</v>
      </c>
      <c r="F1518" s="15" t="s">
        <v>12</v>
      </c>
    </row>
    <row r="1519" spans="1:6" ht="17.100000000000001" customHeight="1">
      <c r="A1519" s="11" t="s">
        <v>1525</v>
      </c>
      <c r="B1519" s="12">
        <v>202303067</v>
      </c>
      <c r="C1519" s="12" t="str">
        <f>"202303051017"</f>
        <v>202303051017</v>
      </c>
      <c r="D1519" s="13">
        <v>0</v>
      </c>
      <c r="E1519" s="14">
        <v>0</v>
      </c>
      <c r="F1519" s="15" t="s">
        <v>12</v>
      </c>
    </row>
    <row r="1520" spans="1:6" ht="17.100000000000001" customHeight="1">
      <c r="A1520" s="11" t="s">
        <v>1526</v>
      </c>
      <c r="B1520" s="12">
        <v>202303067</v>
      </c>
      <c r="C1520" s="12" t="str">
        <f>"202303051018"</f>
        <v>202303051018</v>
      </c>
      <c r="D1520" s="13">
        <v>82.5</v>
      </c>
      <c r="E1520" s="14">
        <v>94</v>
      </c>
      <c r="F1520" s="15" t="s">
        <v>8</v>
      </c>
    </row>
    <row r="1521" spans="1:6" ht="17.100000000000001" customHeight="1">
      <c r="A1521" s="11" t="s">
        <v>1527</v>
      </c>
      <c r="B1521" s="12">
        <v>202303067</v>
      </c>
      <c r="C1521" s="12" t="str">
        <f>"202303051019"</f>
        <v>202303051019</v>
      </c>
      <c r="D1521" s="13">
        <v>82.3</v>
      </c>
      <c r="E1521" s="14">
        <v>82.5</v>
      </c>
      <c r="F1521" s="15" t="s">
        <v>8</v>
      </c>
    </row>
    <row r="1522" spans="1:6" ht="17.100000000000001" customHeight="1">
      <c r="A1522" s="11" t="s">
        <v>1528</v>
      </c>
      <c r="B1522" s="12">
        <v>202303067</v>
      </c>
      <c r="C1522" s="12" t="str">
        <f>"202303051020"</f>
        <v>202303051020</v>
      </c>
      <c r="D1522" s="13">
        <v>0</v>
      </c>
      <c r="E1522" s="14">
        <v>0</v>
      </c>
      <c r="F1522" s="15" t="s">
        <v>12</v>
      </c>
    </row>
    <row r="1523" spans="1:6" ht="17.100000000000001" customHeight="1">
      <c r="A1523" s="11" t="s">
        <v>1529</v>
      </c>
      <c r="B1523" s="12">
        <v>202303067</v>
      </c>
      <c r="C1523" s="12" t="str">
        <f>"202303051021"</f>
        <v>202303051021</v>
      </c>
      <c r="D1523" s="13">
        <v>78.3</v>
      </c>
      <c r="E1523" s="14">
        <v>96</v>
      </c>
      <c r="F1523" s="15" t="s">
        <v>8</v>
      </c>
    </row>
    <row r="1524" spans="1:6" ht="17.100000000000001" customHeight="1">
      <c r="A1524" s="11" t="s">
        <v>1530</v>
      </c>
      <c r="B1524" s="12">
        <v>202303068</v>
      </c>
      <c r="C1524" s="12" t="str">
        <f>"202303051022"</f>
        <v>202303051022</v>
      </c>
      <c r="D1524" s="13">
        <v>78.900000000000006</v>
      </c>
      <c r="E1524" s="14">
        <v>98.5</v>
      </c>
      <c r="F1524" s="15" t="s">
        <v>8</v>
      </c>
    </row>
    <row r="1525" spans="1:6" ht="17.100000000000001" customHeight="1">
      <c r="A1525" s="11" t="s">
        <v>1531</v>
      </c>
      <c r="B1525" s="12">
        <v>202303068</v>
      </c>
      <c r="C1525" s="12" t="str">
        <f>"202303051023"</f>
        <v>202303051023</v>
      </c>
      <c r="D1525" s="13">
        <v>0</v>
      </c>
      <c r="E1525" s="14">
        <v>0</v>
      </c>
      <c r="F1525" s="15" t="s">
        <v>12</v>
      </c>
    </row>
    <row r="1526" spans="1:6" ht="17.100000000000001" customHeight="1">
      <c r="A1526" s="11" t="s">
        <v>1532</v>
      </c>
      <c r="B1526" s="12">
        <v>202303068</v>
      </c>
      <c r="C1526" s="12" t="str">
        <f>"202303051024"</f>
        <v>202303051024</v>
      </c>
      <c r="D1526" s="13">
        <v>100.6</v>
      </c>
      <c r="E1526" s="14">
        <v>101.5</v>
      </c>
      <c r="F1526" s="15" t="s">
        <v>8</v>
      </c>
    </row>
    <row r="1527" spans="1:6" ht="17.100000000000001" customHeight="1">
      <c r="A1527" s="11" t="s">
        <v>1533</v>
      </c>
      <c r="B1527" s="12">
        <v>202303068</v>
      </c>
      <c r="C1527" s="12" t="str">
        <f>"202303051025"</f>
        <v>202303051025</v>
      </c>
      <c r="D1527" s="13">
        <v>91.4</v>
      </c>
      <c r="E1527" s="14">
        <v>95.5</v>
      </c>
      <c r="F1527" s="15" t="s">
        <v>8</v>
      </c>
    </row>
    <row r="1528" spans="1:6" ht="17.100000000000001" customHeight="1">
      <c r="A1528" s="11" t="s">
        <v>1534</v>
      </c>
      <c r="B1528" s="12">
        <v>202303068</v>
      </c>
      <c r="C1528" s="12" t="str">
        <f>"202303051026"</f>
        <v>202303051026</v>
      </c>
      <c r="D1528" s="13">
        <v>0</v>
      </c>
      <c r="E1528" s="14">
        <v>0</v>
      </c>
      <c r="F1528" s="15" t="s">
        <v>12</v>
      </c>
    </row>
    <row r="1529" spans="1:6" ht="17.100000000000001" customHeight="1">
      <c r="A1529" s="11" t="s">
        <v>1535</v>
      </c>
      <c r="B1529" s="12">
        <v>202303068</v>
      </c>
      <c r="C1529" s="12" t="str">
        <f>"202303051027"</f>
        <v>202303051027</v>
      </c>
      <c r="D1529" s="13">
        <v>0</v>
      </c>
      <c r="E1529" s="14">
        <v>0</v>
      </c>
      <c r="F1529" s="15" t="s">
        <v>12</v>
      </c>
    </row>
    <row r="1530" spans="1:6" ht="17.100000000000001" customHeight="1">
      <c r="A1530" s="11" t="s">
        <v>1536</v>
      </c>
      <c r="B1530" s="12">
        <v>202303068</v>
      </c>
      <c r="C1530" s="12" t="str">
        <f>"202303051028"</f>
        <v>202303051028</v>
      </c>
      <c r="D1530" s="13">
        <v>0</v>
      </c>
      <c r="E1530" s="14">
        <v>0</v>
      </c>
      <c r="F1530" s="15" t="s">
        <v>12</v>
      </c>
    </row>
    <row r="1531" spans="1:6" ht="17.100000000000001" customHeight="1">
      <c r="A1531" s="11" t="s">
        <v>1537</v>
      </c>
      <c r="B1531" s="12">
        <v>202303068</v>
      </c>
      <c r="C1531" s="12" t="str">
        <f>"202303051029"</f>
        <v>202303051029</v>
      </c>
      <c r="D1531" s="13">
        <v>0</v>
      </c>
      <c r="E1531" s="14">
        <v>0</v>
      </c>
      <c r="F1531" s="15" t="s">
        <v>12</v>
      </c>
    </row>
    <row r="1532" spans="1:6" ht="17.100000000000001" customHeight="1">
      <c r="A1532" s="11" t="s">
        <v>1538</v>
      </c>
      <c r="B1532" s="12">
        <v>202303068</v>
      </c>
      <c r="C1532" s="12" t="str">
        <f>"202303051030"</f>
        <v>202303051030</v>
      </c>
      <c r="D1532" s="13">
        <v>91.4</v>
      </c>
      <c r="E1532" s="14">
        <v>102</v>
      </c>
      <c r="F1532" s="15" t="s">
        <v>8</v>
      </c>
    </row>
    <row r="1533" spans="1:6" ht="17.100000000000001" customHeight="1">
      <c r="A1533" s="11" t="s">
        <v>1539</v>
      </c>
      <c r="B1533" s="12">
        <v>202303068</v>
      </c>
      <c r="C1533" s="12" t="str">
        <f>"202303052001"</f>
        <v>202303052001</v>
      </c>
      <c r="D1533" s="13">
        <v>99</v>
      </c>
      <c r="E1533" s="14">
        <v>93</v>
      </c>
      <c r="F1533" s="15" t="s">
        <v>8</v>
      </c>
    </row>
    <row r="1534" spans="1:6" ht="17.100000000000001" customHeight="1">
      <c r="A1534" s="11" t="s">
        <v>1540</v>
      </c>
      <c r="B1534" s="12">
        <v>202303068</v>
      </c>
      <c r="C1534" s="12" t="str">
        <f>"202303052002"</f>
        <v>202303052002</v>
      </c>
      <c r="D1534" s="13">
        <v>66.5</v>
      </c>
      <c r="E1534" s="14">
        <v>80.5</v>
      </c>
      <c r="F1534" s="15" t="s">
        <v>8</v>
      </c>
    </row>
    <row r="1535" spans="1:6" ht="17.100000000000001" customHeight="1">
      <c r="A1535" s="11" t="s">
        <v>1541</v>
      </c>
      <c r="B1535" s="12">
        <v>202303068</v>
      </c>
      <c r="C1535" s="12" t="str">
        <f>"202303052003"</f>
        <v>202303052003</v>
      </c>
      <c r="D1535" s="13">
        <v>90</v>
      </c>
      <c r="E1535" s="14">
        <v>109</v>
      </c>
      <c r="F1535" s="15" t="s">
        <v>8</v>
      </c>
    </row>
    <row r="1536" spans="1:6" ht="17.100000000000001" customHeight="1">
      <c r="A1536" s="11" t="s">
        <v>1542</v>
      </c>
      <c r="B1536" s="12">
        <v>202303068</v>
      </c>
      <c r="C1536" s="12" t="str">
        <f>"202303052004"</f>
        <v>202303052004</v>
      </c>
      <c r="D1536" s="13">
        <v>97.3</v>
      </c>
      <c r="E1536" s="14">
        <v>91</v>
      </c>
      <c r="F1536" s="15" t="s">
        <v>8</v>
      </c>
    </row>
    <row r="1537" spans="1:6" ht="17.100000000000001" customHeight="1">
      <c r="A1537" s="11" t="s">
        <v>1543</v>
      </c>
      <c r="B1537" s="12">
        <v>202303069</v>
      </c>
      <c r="C1537" s="12" t="str">
        <f>"202303052005"</f>
        <v>202303052005</v>
      </c>
      <c r="D1537" s="13">
        <v>108.1</v>
      </c>
      <c r="E1537" s="14">
        <v>98.5</v>
      </c>
      <c r="F1537" s="15" t="s">
        <v>8</v>
      </c>
    </row>
    <row r="1538" spans="1:6" ht="17.100000000000001" customHeight="1">
      <c r="A1538" s="11" t="s">
        <v>1544</v>
      </c>
      <c r="B1538" s="12">
        <v>202303069</v>
      </c>
      <c r="C1538" s="12" t="str">
        <f>"202303052006"</f>
        <v>202303052006</v>
      </c>
      <c r="D1538" s="13">
        <v>77.900000000000006</v>
      </c>
      <c r="E1538" s="14">
        <v>90</v>
      </c>
      <c r="F1538" s="15" t="s">
        <v>8</v>
      </c>
    </row>
    <row r="1539" spans="1:6" ht="17.100000000000001" customHeight="1">
      <c r="A1539" s="11" t="s">
        <v>1545</v>
      </c>
      <c r="B1539" s="12">
        <v>202303069</v>
      </c>
      <c r="C1539" s="12" t="str">
        <f>"202303052007"</f>
        <v>202303052007</v>
      </c>
      <c r="D1539" s="13">
        <v>77.099999999999994</v>
      </c>
      <c r="E1539" s="14">
        <v>97.5</v>
      </c>
      <c r="F1539" s="15" t="s">
        <v>8</v>
      </c>
    </row>
    <row r="1540" spans="1:6" ht="17.100000000000001" customHeight="1">
      <c r="A1540" s="11" t="s">
        <v>1546</v>
      </c>
      <c r="B1540" s="12">
        <v>202303069</v>
      </c>
      <c r="C1540" s="12" t="str">
        <f>"202303052008"</f>
        <v>202303052008</v>
      </c>
      <c r="D1540" s="13">
        <v>81</v>
      </c>
      <c r="E1540" s="14">
        <v>97</v>
      </c>
      <c r="F1540" s="15" t="s">
        <v>8</v>
      </c>
    </row>
    <row r="1541" spans="1:6" ht="17.100000000000001" customHeight="1">
      <c r="A1541" s="11" t="s">
        <v>1547</v>
      </c>
      <c r="B1541" s="12">
        <v>202303069</v>
      </c>
      <c r="C1541" s="12" t="str">
        <f>"202303052009"</f>
        <v>202303052009</v>
      </c>
      <c r="D1541" s="13">
        <v>98.1</v>
      </c>
      <c r="E1541" s="14">
        <v>100.5</v>
      </c>
      <c r="F1541" s="15" t="s">
        <v>8</v>
      </c>
    </row>
    <row r="1542" spans="1:6" ht="17.100000000000001" customHeight="1">
      <c r="A1542" s="11" t="s">
        <v>1548</v>
      </c>
      <c r="B1542" s="12">
        <v>202303071</v>
      </c>
      <c r="C1542" s="12" t="str">
        <f>"202303052010"</f>
        <v>202303052010</v>
      </c>
      <c r="D1542" s="13">
        <v>74.599999999999994</v>
      </c>
      <c r="E1542" s="14">
        <v>95</v>
      </c>
      <c r="F1542" s="15" t="s">
        <v>8</v>
      </c>
    </row>
    <row r="1543" spans="1:6" ht="17.100000000000001" customHeight="1">
      <c r="A1543" s="11" t="s">
        <v>1549</v>
      </c>
      <c r="B1543" s="12">
        <v>202303071</v>
      </c>
      <c r="C1543" s="12" t="str">
        <f>"202303052011"</f>
        <v>202303052011</v>
      </c>
      <c r="D1543" s="13">
        <v>81.7</v>
      </c>
      <c r="E1543" s="14">
        <v>95</v>
      </c>
      <c r="F1543" s="15" t="s">
        <v>8</v>
      </c>
    </row>
    <row r="1544" spans="1:6" ht="17.100000000000001" customHeight="1">
      <c r="A1544" s="11" t="s">
        <v>1550</v>
      </c>
      <c r="B1544" s="12">
        <v>202303071</v>
      </c>
      <c r="C1544" s="12" t="str">
        <f>"202303052012"</f>
        <v>202303052012</v>
      </c>
      <c r="D1544" s="13">
        <v>92.6</v>
      </c>
      <c r="E1544" s="14">
        <v>94.5</v>
      </c>
      <c r="F1544" s="15" t="s">
        <v>8</v>
      </c>
    </row>
    <row r="1545" spans="1:6" ht="17.100000000000001" customHeight="1">
      <c r="A1545" s="11" t="s">
        <v>1551</v>
      </c>
      <c r="B1545" s="12">
        <v>202303071</v>
      </c>
      <c r="C1545" s="12" t="str">
        <f>"202303052013"</f>
        <v>202303052013</v>
      </c>
      <c r="D1545" s="13">
        <v>56.5</v>
      </c>
      <c r="E1545" s="14">
        <v>82</v>
      </c>
      <c r="F1545" s="15" t="s">
        <v>8</v>
      </c>
    </row>
    <row r="1546" spans="1:6" ht="17.100000000000001" customHeight="1">
      <c r="A1546" s="11" t="s">
        <v>1552</v>
      </c>
      <c r="B1546" s="12">
        <v>202303071</v>
      </c>
      <c r="C1546" s="12" t="str">
        <f>"202303052014"</f>
        <v>202303052014</v>
      </c>
      <c r="D1546" s="13">
        <v>0</v>
      </c>
      <c r="E1546" s="14">
        <v>0</v>
      </c>
      <c r="F1546" s="15" t="s">
        <v>12</v>
      </c>
    </row>
    <row r="1547" spans="1:6" ht="17.100000000000001" customHeight="1">
      <c r="A1547" s="11" t="s">
        <v>1553</v>
      </c>
      <c r="B1547" s="12">
        <v>202303071</v>
      </c>
      <c r="C1547" s="12" t="str">
        <f>"202303052015"</f>
        <v>202303052015</v>
      </c>
      <c r="D1547" s="13">
        <v>0</v>
      </c>
      <c r="E1547" s="14">
        <v>0</v>
      </c>
      <c r="F1547" s="15" t="s">
        <v>12</v>
      </c>
    </row>
    <row r="1548" spans="1:6" ht="17.100000000000001" customHeight="1">
      <c r="A1548" s="11" t="s">
        <v>1554</v>
      </c>
      <c r="B1548" s="12">
        <v>202303071</v>
      </c>
      <c r="C1548" s="12" t="str">
        <f>"202303052016"</f>
        <v>202303052016</v>
      </c>
      <c r="D1548" s="13">
        <v>0</v>
      </c>
      <c r="E1548" s="14">
        <v>0</v>
      </c>
      <c r="F1548" s="15" t="s">
        <v>12</v>
      </c>
    </row>
    <row r="1549" spans="1:6" ht="17.100000000000001" customHeight="1">
      <c r="A1549" s="11" t="s">
        <v>1555</v>
      </c>
      <c r="B1549" s="12">
        <v>202303071</v>
      </c>
      <c r="C1549" s="12" t="str">
        <f>"202303052017"</f>
        <v>202303052017</v>
      </c>
      <c r="D1549" s="13">
        <v>58.9</v>
      </c>
      <c r="E1549" s="14">
        <v>101</v>
      </c>
      <c r="F1549" s="15" t="s">
        <v>8</v>
      </c>
    </row>
    <row r="1550" spans="1:6" ht="17.100000000000001" customHeight="1">
      <c r="A1550" s="11" t="s">
        <v>1556</v>
      </c>
      <c r="B1550" s="12">
        <v>202303071</v>
      </c>
      <c r="C1550" s="12" t="str">
        <f>"202303052018"</f>
        <v>202303052018</v>
      </c>
      <c r="D1550" s="13">
        <v>68.8</v>
      </c>
      <c r="E1550" s="14">
        <v>101</v>
      </c>
      <c r="F1550" s="15" t="s">
        <v>8</v>
      </c>
    </row>
    <row r="1551" spans="1:6" ht="17.100000000000001" customHeight="1">
      <c r="A1551" s="11" t="s">
        <v>1557</v>
      </c>
      <c r="B1551" s="12">
        <v>202303071</v>
      </c>
      <c r="C1551" s="12" t="str">
        <f>"202303052019"</f>
        <v>202303052019</v>
      </c>
      <c r="D1551" s="13">
        <v>0</v>
      </c>
      <c r="E1551" s="14">
        <v>0</v>
      </c>
      <c r="F1551" s="15" t="s">
        <v>12</v>
      </c>
    </row>
    <row r="1552" spans="1:6" ht="17.100000000000001" customHeight="1">
      <c r="A1552" s="11" t="s">
        <v>1558</v>
      </c>
      <c r="B1552" s="12">
        <v>202303071</v>
      </c>
      <c r="C1552" s="12" t="str">
        <f>"202303052020"</f>
        <v>202303052020</v>
      </c>
      <c r="D1552" s="13">
        <v>78.2</v>
      </c>
      <c r="E1552" s="14">
        <v>89</v>
      </c>
      <c r="F1552" s="15" t="s">
        <v>8</v>
      </c>
    </row>
    <row r="1553" spans="1:6" ht="17.100000000000001" customHeight="1">
      <c r="A1553" s="11" t="s">
        <v>1559</v>
      </c>
      <c r="B1553" s="12">
        <v>202303071</v>
      </c>
      <c r="C1553" s="12" t="str">
        <f>"202303052021"</f>
        <v>202303052021</v>
      </c>
      <c r="D1553" s="13">
        <v>0</v>
      </c>
      <c r="E1553" s="14">
        <v>0</v>
      </c>
      <c r="F1553" s="15" t="s">
        <v>12</v>
      </c>
    </row>
    <row r="1554" spans="1:6" ht="17.100000000000001" customHeight="1">
      <c r="A1554" s="11" t="s">
        <v>1560</v>
      </c>
      <c r="B1554" s="12">
        <v>202303071</v>
      </c>
      <c r="C1554" s="12" t="str">
        <f>"202303052022"</f>
        <v>202303052022</v>
      </c>
      <c r="D1554" s="13">
        <v>0</v>
      </c>
      <c r="E1554" s="14">
        <v>0</v>
      </c>
      <c r="F1554" s="15" t="s">
        <v>12</v>
      </c>
    </row>
    <row r="1555" spans="1:6" ht="17.100000000000001" customHeight="1">
      <c r="A1555" s="11" t="s">
        <v>1561</v>
      </c>
      <c r="B1555" s="12">
        <v>202303071</v>
      </c>
      <c r="C1555" s="12" t="str">
        <f>"202303052023"</f>
        <v>202303052023</v>
      </c>
      <c r="D1555" s="13">
        <v>79.7</v>
      </c>
      <c r="E1555" s="14">
        <v>97</v>
      </c>
      <c r="F1555" s="15" t="s">
        <v>8</v>
      </c>
    </row>
    <row r="1556" spans="1:6" ht="17.100000000000001" customHeight="1">
      <c r="A1556" s="11" t="s">
        <v>1562</v>
      </c>
      <c r="B1556" s="12">
        <v>202303071</v>
      </c>
      <c r="C1556" s="12" t="str">
        <f>"202303052024"</f>
        <v>202303052024</v>
      </c>
      <c r="D1556" s="13">
        <v>87.8</v>
      </c>
      <c r="E1556" s="14">
        <v>95</v>
      </c>
      <c r="F1556" s="15" t="s">
        <v>8</v>
      </c>
    </row>
    <row r="1557" spans="1:6" ht="17.100000000000001" customHeight="1">
      <c r="A1557" s="11" t="s">
        <v>1563</v>
      </c>
      <c r="B1557" s="12">
        <v>202303071</v>
      </c>
      <c r="C1557" s="12" t="str">
        <f>"202303052025"</f>
        <v>202303052025</v>
      </c>
      <c r="D1557" s="13">
        <v>71</v>
      </c>
      <c r="E1557" s="14">
        <v>73</v>
      </c>
      <c r="F1557" s="15" t="s">
        <v>8</v>
      </c>
    </row>
    <row r="1558" spans="1:6" ht="17.100000000000001" customHeight="1">
      <c r="A1558" s="11" t="s">
        <v>1564</v>
      </c>
      <c r="B1558" s="12">
        <v>202303071</v>
      </c>
      <c r="C1558" s="12" t="str">
        <f>"202303052026"</f>
        <v>202303052026</v>
      </c>
      <c r="D1558" s="13">
        <v>94.2</v>
      </c>
      <c r="E1558" s="14">
        <v>93.5</v>
      </c>
      <c r="F1558" s="15" t="s">
        <v>8</v>
      </c>
    </row>
    <row r="1559" spans="1:6" ht="17.100000000000001" customHeight="1">
      <c r="A1559" s="11" t="s">
        <v>1565</v>
      </c>
      <c r="B1559" s="12">
        <v>202303071</v>
      </c>
      <c r="C1559" s="12" t="str">
        <f>"202303052027"</f>
        <v>202303052027</v>
      </c>
      <c r="D1559" s="13">
        <v>57</v>
      </c>
      <c r="E1559" s="14">
        <v>98.5</v>
      </c>
      <c r="F1559" s="15" t="s">
        <v>8</v>
      </c>
    </row>
    <row r="1560" spans="1:6" ht="17.100000000000001" customHeight="1">
      <c r="A1560" s="11" t="s">
        <v>1566</v>
      </c>
      <c r="B1560" s="12">
        <v>202303071</v>
      </c>
      <c r="C1560" s="12" t="str">
        <f>"202303052028"</f>
        <v>202303052028</v>
      </c>
      <c r="D1560" s="13">
        <v>73.5</v>
      </c>
      <c r="E1560" s="14">
        <v>99</v>
      </c>
      <c r="F1560" s="15" t="s">
        <v>8</v>
      </c>
    </row>
    <row r="1561" spans="1:6" ht="17.100000000000001" customHeight="1">
      <c r="A1561" s="11" t="s">
        <v>1567</v>
      </c>
      <c r="B1561" s="12">
        <v>202303071</v>
      </c>
      <c r="C1561" s="12" t="str">
        <f>"202303052029"</f>
        <v>202303052029</v>
      </c>
      <c r="D1561" s="13">
        <v>65.8</v>
      </c>
      <c r="E1561" s="14">
        <v>100</v>
      </c>
      <c r="F1561" s="15" t="s">
        <v>8</v>
      </c>
    </row>
    <row r="1562" spans="1:6" ht="17.100000000000001" customHeight="1">
      <c r="A1562" s="11" t="s">
        <v>1568</v>
      </c>
      <c r="B1562" s="12">
        <v>202303071</v>
      </c>
      <c r="C1562" s="12" t="str">
        <f>"202303052030"</f>
        <v>202303052030</v>
      </c>
      <c r="D1562" s="13">
        <v>61.2</v>
      </c>
      <c r="E1562" s="14">
        <v>93</v>
      </c>
      <c r="F1562" s="15" t="s">
        <v>8</v>
      </c>
    </row>
    <row r="1563" spans="1:6" ht="17.100000000000001" customHeight="1">
      <c r="A1563" s="11" t="s">
        <v>1569</v>
      </c>
      <c r="B1563" s="12">
        <v>202303071</v>
      </c>
      <c r="C1563" s="12" t="str">
        <f>"202303053001"</f>
        <v>202303053001</v>
      </c>
      <c r="D1563" s="13">
        <v>71.5</v>
      </c>
      <c r="E1563" s="14">
        <v>91.5</v>
      </c>
      <c r="F1563" s="15" t="s">
        <v>8</v>
      </c>
    </row>
    <row r="1564" spans="1:6" ht="17.100000000000001" customHeight="1">
      <c r="A1564" s="11" t="s">
        <v>1570</v>
      </c>
      <c r="B1564" s="12">
        <v>202303071</v>
      </c>
      <c r="C1564" s="12" t="str">
        <f>"202303053002"</f>
        <v>202303053002</v>
      </c>
      <c r="D1564" s="13">
        <v>63.3</v>
      </c>
      <c r="E1564" s="14">
        <v>92.5</v>
      </c>
      <c r="F1564" s="15" t="s">
        <v>8</v>
      </c>
    </row>
    <row r="1565" spans="1:6" ht="17.100000000000001" customHeight="1">
      <c r="A1565" s="11" t="s">
        <v>1571</v>
      </c>
      <c r="B1565" s="12">
        <v>202303071</v>
      </c>
      <c r="C1565" s="12" t="str">
        <f>"202303053003"</f>
        <v>202303053003</v>
      </c>
      <c r="D1565" s="13">
        <v>66</v>
      </c>
      <c r="E1565" s="14">
        <v>69.5</v>
      </c>
      <c r="F1565" s="15" t="s">
        <v>8</v>
      </c>
    </row>
    <row r="1566" spans="1:6" ht="17.100000000000001" customHeight="1">
      <c r="A1566" s="11" t="s">
        <v>1572</v>
      </c>
      <c r="B1566" s="12">
        <v>202303071</v>
      </c>
      <c r="C1566" s="12" t="str">
        <f>"202303053004"</f>
        <v>202303053004</v>
      </c>
      <c r="D1566" s="13">
        <v>0</v>
      </c>
      <c r="E1566" s="14">
        <v>0</v>
      </c>
      <c r="F1566" s="15" t="s">
        <v>12</v>
      </c>
    </row>
    <row r="1567" spans="1:6" ht="17.100000000000001" customHeight="1">
      <c r="A1567" s="11" t="s">
        <v>1573</v>
      </c>
      <c r="B1567" s="12">
        <v>202303071</v>
      </c>
      <c r="C1567" s="12" t="str">
        <f>"202303053005"</f>
        <v>202303053005</v>
      </c>
      <c r="D1567" s="13">
        <v>54.8</v>
      </c>
      <c r="E1567" s="14">
        <v>97.5</v>
      </c>
      <c r="F1567" s="15" t="s">
        <v>8</v>
      </c>
    </row>
    <row r="1568" spans="1:6" ht="17.100000000000001" customHeight="1">
      <c r="A1568" s="11" t="s">
        <v>1574</v>
      </c>
      <c r="B1568" s="12">
        <v>202303071</v>
      </c>
      <c r="C1568" s="12" t="str">
        <f>"202303053006"</f>
        <v>202303053006</v>
      </c>
      <c r="D1568" s="13">
        <v>69.599999999999994</v>
      </c>
      <c r="E1568" s="14">
        <v>95.5</v>
      </c>
      <c r="F1568" s="15" t="s">
        <v>8</v>
      </c>
    </row>
    <row r="1569" spans="1:6" ht="17.100000000000001" customHeight="1">
      <c r="A1569" s="11" t="s">
        <v>1575</v>
      </c>
      <c r="B1569" s="12">
        <v>202303071</v>
      </c>
      <c r="C1569" s="12" t="str">
        <f>"202303053007"</f>
        <v>202303053007</v>
      </c>
      <c r="D1569" s="13">
        <v>78.2</v>
      </c>
      <c r="E1569" s="14">
        <v>78.5</v>
      </c>
      <c r="F1569" s="15" t="s">
        <v>8</v>
      </c>
    </row>
    <row r="1570" spans="1:6" ht="17.100000000000001" customHeight="1">
      <c r="A1570" s="11" t="s">
        <v>1576</v>
      </c>
      <c r="B1570" s="12">
        <v>202303071</v>
      </c>
      <c r="C1570" s="12" t="str">
        <f>"202303053008"</f>
        <v>202303053008</v>
      </c>
      <c r="D1570" s="13">
        <v>62.6</v>
      </c>
      <c r="E1570" s="14">
        <v>94</v>
      </c>
      <c r="F1570" s="15" t="s">
        <v>8</v>
      </c>
    </row>
    <row r="1571" spans="1:6" ht="17.100000000000001" customHeight="1">
      <c r="A1571" s="11" t="s">
        <v>1577</v>
      </c>
      <c r="B1571" s="12">
        <v>202303071</v>
      </c>
      <c r="C1571" s="12" t="str">
        <f>"202303053009"</f>
        <v>202303053009</v>
      </c>
      <c r="D1571" s="13">
        <v>0</v>
      </c>
      <c r="E1571" s="14">
        <v>0</v>
      </c>
      <c r="F1571" s="15" t="s">
        <v>12</v>
      </c>
    </row>
    <row r="1572" spans="1:6" ht="17.100000000000001" customHeight="1">
      <c r="A1572" s="11" t="s">
        <v>1578</v>
      </c>
      <c r="B1572" s="12">
        <v>202303071</v>
      </c>
      <c r="C1572" s="12" t="str">
        <f>"202303053010"</f>
        <v>202303053010</v>
      </c>
      <c r="D1572" s="13">
        <v>0</v>
      </c>
      <c r="E1572" s="14">
        <v>0</v>
      </c>
      <c r="F1572" s="15" t="s">
        <v>12</v>
      </c>
    </row>
    <row r="1573" spans="1:6" ht="17.100000000000001" customHeight="1">
      <c r="A1573" s="11" t="s">
        <v>1579</v>
      </c>
      <c r="B1573" s="12">
        <v>202303071</v>
      </c>
      <c r="C1573" s="12" t="str">
        <f>"202303053011"</f>
        <v>202303053011</v>
      </c>
      <c r="D1573" s="13">
        <v>64</v>
      </c>
      <c r="E1573" s="14">
        <v>91.5</v>
      </c>
      <c r="F1573" s="15" t="s">
        <v>8</v>
      </c>
    </row>
    <row r="1574" spans="1:6" ht="17.100000000000001" customHeight="1">
      <c r="A1574" s="11" t="s">
        <v>1580</v>
      </c>
      <c r="B1574" s="12">
        <v>202303071</v>
      </c>
      <c r="C1574" s="12" t="str">
        <f>"202303053012"</f>
        <v>202303053012</v>
      </c>
      <c r="D1574" s="13">
        <v>71.8</v>
      </c>
      <c r="E1574" s="14">
        <v>99</v>
      </c>
      <c r="F1574" s="15" t="s">
        <v>8</v>
      </c>
    </row>
    <row r="1575" spans="1:6" ht="17.100000000000001" customHeight="1">
      <c r="A1575" s="11" t="s">
        <v>1581</v>
      </c>
      <c r="B1575" s="12">
        <v>202303071</v>
      </c>
      <c r="C1575" s="12" t="str">
        <f>"202303053013"</f>
        <v>202303053013</v>
      </c>
      <c r="D1575" s="13">
        <v>0</v>
      </c>
      <c r="E1575" s="14">
        <v>0</v>
      </c>
      <c r="F1575" s="15" t="s">
        <v>12</v>
      </c>
    </row>
    <row r="1576" spans="1:6" ht="17.100000000000001" customHeight="1">
      <c r="A1576" s="11" t="s">
        <v>1582</v>
      </c>
      <c r="B1576" s="12">
        <v>202303071</v>
      </c>
      <c r="C1576" s="12" t="str">
        <f>"202303053014"</f>
        <v>202303053014</v>
      </c>
      <c r="D1576" s="13">
        <v>52.1</v>
      </c>
      <c r="E1576" s="14">
        <v>91</v>
      </c>
      <c r="F1576" s="15" t="s">
        <v>8</v>
      </c>
    </row>
    <row r="1577" spans="1:6" ht="17.100000000000001" customHeight="1">
      <c r="A1577" s="11" t="s">
        <v>1583</v>
      </c>
      <c r="B1577" s="12">
        <v>202303071</v>
      </c>
      <c r="C1577" s="12" t="str">
        <f>"202303053015"</f>
        <v>202303053015</v>
      </c>
      <c r="D1577" s="13">
        <v>74.900000000000006</v>
      </c>
      <c r="E1577" s="14">
        <v>101.5</v>
      </c>
      <c r="F1577" s="15" t="s">
        <v>8</v>
      </c>
    </row>
    <row r="1578" spans="1:6" ht="17.100000000000001" customHeight="1">
      <c r="A1578" s="11" t="s">
        <v>1584</v>
      </c>
      <c r="B1578" s="12">
        <v>202303071</v>
      </c>
      <c r="C1578" s="12" t="str">
        <f>"202303053016"</f>
        <v>202303053016</v>
      </c>
      <c r="D1578" s="13">
        <v>48.4</v>
      </c>
      <c r="E1578" s="14">
        <v>98</v>
      </c>
      <c r="F1578" s="15" t="s">
        <v>8</v>
      </c>
    </row>
    <row r="1579" spans="1:6" ht="17.100000000000001" customHeight="1">
      <c r="A1579" s="11" t="s">
        <v>1585</v>
      </c>
      <c r="B1579" s="12">
        <v>202303071</v>
      </c>
      <c r="C1579" s="12" t="str">
        <f>"202303053017"</f>
        <v>202303053017</v>
      </c>
      <c r="D1579" s="13">
        <v>60.7</v>
      </c>
      <c r="E1579" s="14">
        <v>45.5</v>
      </c>
      <c r="F1579" s="15" t="s">
        <v>8</v>
      </c>
    </row>
    <row r="1580" spans="1:6" ht="17.100000000000001" customHeight="1">
      <c r="A1580" s="11" t="s">
        <v>1586</v>
      </c>
      <c r="B1580" s="12">
        <v>202303071</v>
      </c>
      <c r="C1580" s="12" t="str">
        <f>"202303053018"</f>
        <v>202303053018</v>
      </c>
      <c r="D1580" s="13">
        <v>59.3</v>
      </c>
      <c r="E1580" s="14">
        <v>73.5</v>
      </c>
      <c r="F1580" s="15" t="s">
        <v>8</v>
      </c>
    </row>
    <row r="1581" spans="1:6" ht="17.100000000000001" customHeight="1">
      <c r="A1581" s="11" t="s">
        <v>1587</v>
      </c>
      <c r="B1581" s="12">
        <v>202303071</v>
      </c>
      <c r="C1581" s="12" t="str">
        <f>"202303053019"</f>
        <v>202303053019</v>
      </c>
      <c r="D1581" s="13">
        <v>65.900000000000006</v>
      </c>
      <c r="E1581" s="14">
        <v>101.5</v>
      </c>
      <c r="F1581" s="15" t="s">
        <v>8</v>
      </c>
    </row>
    <row r="1582" spans="1:6" ht="17.100000000000001" customHeight="1">
      <c r="A1582" s="11" t="s">
        <v>1588</v>
      </c>
      <c r="B1582" s="12">
        <v>202303071</v>
      </c>
      <c r="C1582" s="12" t="str">
        <f>"202303053020"</f>
        <v>202303053020</v>
      </c>
      <c r="D1582" s="13">
        <v>75.3</v>
      </c>
      <c r="E1582" s="14">
        <v>85.5</v>
      </c>
      <c r="F1582" s="15" t="s">
        <v>8</v>
      </c>
    </row>
    <row r="1583" spans="1:6" ht="17.100000000000001" customHeight="1">
      <c r="A1583" s="11" t="s">
        <v>1589</v>
      </c>
      <c r="B1583" s="12">
        <v>202303071</v>
      </c>
      <c r="C1583" s="12" t="str">
        <f>"202303053021"</f>
        <v>202303053021</v>
      </c>
      <c r="D1583" s="13">
        <v>0</v>
      </c>
      <c r="E1583" s="14">
        <v>0</v>
      </c>
      <c r="F1583" s="15" t="s">
        <v>12</v>
      </c>
    </row>
    <row r="1584" spans="1:6" ht="17.100000000000001" customHeight="1">
      <c r="A1584" s="11" t="s">
        <v>1590</v>
      </c>
      <c r="B1584" s="12">
        <v>202303071</v>
      </c>
      <c r="C1584" s="12" t="str">
        <f>"202303053022"</f>
        <v>202303053022</v>
      </c>
      <c r="D1584" s="13">
        <v>56.3</v>
      </c>
      <c r="E1584" s="14">
        <v>64.5</v>
      </c>
      <c r="F1584" s="15" t="s">
        <v>8</v>
      </c>
    </row>
    <row r="1585" spans="1:6" ht="17.100000000000001" customHeight="1">
      <c r="A1585" s="11" t="s">
        <v>1591</v>
      </c>
      <c r="B1585" s="12">
        <v>202303071</v>
      </c>
      <c r="C1585" s="12" t="str">
        <f>"202303053023"</f>
        <v>202303053023</v>
      </c>
      <c r="D1585" s="13">
        <v>82.1</v>
      </c>
      <c r="E1585" s="14">
        <v>99.5</v>
      </c>
      <c r="F1585" s="15" t="s">
        <v>8</v>
      </c>
    </row>
    <row r="1586" spans="1:6" ht="17.100000000000001" customHeight="1">
      <c r="A1586" s="11" t="s">
        <v>1592</v>
      </c>
      <c r="B1586" s="12">
        <v>202303071</v>
      </c>
      <c r="C1586" s="12" t="str">
        <f>"202303053024"</f>
        <v>202303053024</v>
      </c>
      <c r="D1586" s="13">
        <v>64</v>
      </c>
      <c r="E1586" s="14">
        <v>64.5</v>
      </c>
      <c r="F1586" s="15" t="s">
        <v>8</v>
      </c>
    </row>
    <row r="1587" spans="1:6" ht="17.100000000000001" customHeight="1">
      <c r="A1587" s="11" t="s">
        <v>1593</v>
      </c>
      <c r="B1587" s="12">
        <v>202303071</v>
      </c>
      <c r="C1587" s="12" t="str">
        <f>"202303053025"</f>
        <v>202303053025</v>
      </c>
      <c r="D1587" s="13">
        <v>61</v>
      </c>
      <c r="E1587" s="14">
        <v>85</v>
      </c>
      <c r="F1587" s="15" t="s">
        <v>8</v>
      </c>
    </row>
    <row r="1588" spans="1:6" ht="17.100000000000001" customHeight="1">
      <c r="A1588" s="11" t="s">
        <v>1594</v>
      </c>
      <c r="B1588" s="12">
        <v>202303071</v>
      </c>
      <c r="C1588" s="12" t="str">
        <f>"202303053026"</f>
        <v>202303053026</v>
      </c>
      <c r="D1588" s="13">
        <v>79.5</v>
      </c>
      <c r="E1588" s="14">
        <v>104.5</v>
      </c>
      <c r="F1588" s="15" t="s">
        <v>8</v>
      </c>
    </row>
    <row r="1589" spans="1:6" ht="17.100000000000001" customHeight="1">
      <c r="A1589" s="11" t="s">
        <v>1595</v>
      </c>
      <c r="B1589" s="12">
        <v>202303071</v>
      </c>
      <c r="C1589" s="12" t="str">
        <f>"202303053027"</f>
        <v>202303053027</v>
      </c>
      <c r="D1589" s="13">
        <v>69.2</v>
      </c>
      <c r="E1589" s="14">
        <v>99.5</v>
      </c>
      <c r="F1589" s="15" t="s">
        <v>8</v>
      </c>
    </row>
    <row r="1590" spans="1:6" ht="17.100000000000001" customHeight="1">
      <c r="A1590" s="11" t="s">
        <v>1596</v>
      </c>
      <c r="B1590" s="12">
        <v>202303071</v>
      </c>
      <c r="C1590" s="12" t="str">
        <f>"202303053028"</f>
        <v>202303053028</v>
      </c>
      <c r="D1590" s="13">
        <v>94.4</v>
      </c>
      <c r="E1590" s="14">
        <v>99.5</v>
      </c>
      <c r="F1590" s="15" t="s">
        <v>8</v>
      </c>
    </row>
    <row r="1591" spans="1:6" ht="17.100000000000001" customHeight="1">
      <c r="A1591" s="11" t="s">
        <v>1597</v>
      </c>
      <c r="B1591" s="12">
        <v>202303071</v>
      </c>
      <c r="C1591" s="12" t="str">
        <f>"202303053029"</f>
        <v>202303053029</v>
      </c>
      <c r="D1591" s="13">
        <v>62</v>
      </c>
      <c r="E1591" s="14">
        <v>84.5</v>
      </c>
      <c r="F1591" s="15" t="s">
        <v>8</v>
      </c>
    </row>
    <row r="1592" spans="1:6" ht="17.100000000000001" customHeight="1">
      <c r="A1592" s="11" t="s">
        <v>1598</v>
      </c>
      <c r="B1592" s="12">
        <v>202303071</v>
      </c>
      <c r="C1592" s="12" t="str">
        <f>"202303053030"</f>
        <v>202303053030</v>
      </c>
      <c r="D1592" s="13">
        <v>62.5</v>
      </c>
      <c r="E1592" s="14">
        <v>101.5</v>
      </c>
      <c r="F1592" s="15" t="s">
        <v>8</v>
      </c>
    </row>
    <row r="1593" spans="1:6" ht="17.100000000000001" customHeight="1">
      <c r="A1593" s="11" t="s">
        <v>1599</v>
      </c>
      <c r="B1593" s="12">
        <v>202303071</v>
      </c>
      <c r="C1593" s="12" t="str">
        <f>"202303054001"</f>
        <v>202303054001</v>
      </c>
      <c r="D1593" s="13">
        <v>68.7</v>
      </c>
      <c r="E1593" s="14">
        <v>93.5</v>
      </c>
      <c r="F1593" s="15" t="s">
        <v>8</v>
      </c>
    </row>
    <row r="1594" spans="1:6" ht="17.100000000000001" customHeight="1">
      <c r="A1594" s="11" t="s">
        <v>1600</v>
      </c>
      <c r="B1594" s="12">
        <v>202303071</v>
      </c>
      <c r="C1594" s="12" t="str">
        <f>"202303054002"</f>
        <v>202303054002</v>
      </c>
      <c r="D1594" s="13">
        <v>101.9</v>
      </c>
      <c r="E1594" s="14">
        <v>94</v>
      </c>
      <c r="F1594" s="15" t="s">
        <v>8</v>
      </c>
    </row>
    <row r="1595" spans="1:6" ht="17.100000000000001" customHeight="1">
      <c r="A1595" s="11" t="s">
        <v>1601</v>
      </c>
      <c r="B1595" s="12">
        <v>202303071</v>
      </c>
      <c r="C1595" s="12" t="str">
        <f>"202303054003"</f>
        <v>202303054003</v>
      </c>
      <c r="D1595" s="13">
        <v>72.7</v>
      </c>
      <c r="E1595" s="14">
        <v>105</v>
      </c>
      <c r="F1595" s="15" t="s">
        <v>8</v>
      </c>
    </row>
    <row r="1596" spans="1:6" ht="17.100000000000001" customHeight="1">
      <c r="A1596" s="11" t="s">
        <v>1602</v>
      </c>
      <c r="B1596" s="12">
        <v>202303071</v>
      </c>
      <c r="C1596" s="12" t="str">
        <f>"202303054004"</f>
        <v>202303054004</v>
      </c>
      <c r="D1596" s="13">
        <v>77</v>
      </c>
      <c r="E1596" s="14">
        <v>67.5</v>
      </c>
      <c r="F1596" s="15" t="s">
        <v>8</v>
      </c>
    </row>
    <row r="1597" spans="1:6" ht="17.100000000000001" customHeight="1">
      <c r="A1597" s="11" t="s">
        <v>1603</v>
      </c>
      <c r="B1597" s="12">
        <v>202303071</v>
      </c>
      <c r="C1597" s="12" t="str">
        <f>"202303054005"</f>
        <v>202303054005</v>
      </c>
      <c r="D1597" s="13">
        <v>83</v>
      </c>
      <c r="E1597" s="14">
        <v>78.5</v>
      </c>
      <c r="F1597" s="15" t="s">
        <v>8</v>
      </c>
    </row>
    <row r="1598" spans="1:6" ht="17.100000000000001" customHeight="1">
      <c r="A1598" s="11" t="s">
        <v>1604</v>
      </c>
      <c r="B1598" s="12">
        <v>202303071</v>
      </c>
      <c r="C1598" s="12" t="str">
        <f>"202303054006"</f>
        <v>202303054006</v>
      </c>
      <c r="D1598" s="13">
        <v>0</v>
      </c>
      <c r="E1598" s="14">
        <v>0</v>
      </c>
      <c r="F1598" s="15" t="s">
        <v>12</v>
      </c>
    </row>
    <row r="1599" spans="1:6" ht="17.100000000000001" customHeight="1">
      <c r="A1599" s="11" t="s">
        <v>1605</v>
      </c>
      <c r="B1599" s="12">
        <v>202303071</v>
      </c>
      <c r="C1599" s="12" t="str">
        <f>"202303054007"</f>
        <v>202303054007</v>
      </c>
      <c r="D1599" s="13">
        <v>45.6</v>
      </c>
      <c r="E1599" s="14">
        <v>93.5</v>
      </c>
      <c r="F1599" s="15" t="s">
        <v>8</v>
      </c>
    </row>
    <row r="1600" spans="1:6" ht="17.100000000000001" customHeight="1">
      <c r="A1600" s="11" t="s">
        <v>1606</v>
      </c>
      <c r="B1600" s="12">
        <v>202303071</v>
      </c>
      <c r="C1600" s="12" t="str">
        <f>"202303054008"</f>
        <v>202303054008</v>
      </c>
      <c r="D1600" s="13">
        <v>92.6</v>
      </c>
      <c r="E1600" s="14">
        <v>96.5</v>
      </c>
      <c r="F1600" s="15" t="s">
        <v>8</v>
      </c>
    </row>
    <row r="1601" spans="1:6" ht="17.100000000000001" customHeight="1">
      <c r="A1601" s="11" t="s">
        <v>1607</v>
      </c>
      <c r="B1601" s="12">
        <v>202303071</v>
      </c>
      <c r="C1601" s="12" t="str">
        <f>"202303054009"</f>
        <v>202303054009</v>
      </c>
      <c r="D1601" s="13">
        <v>84.1</v>
      </c>
      <c r="E1601" s="14">
        <v>104.5</v>
      </c>
      <c r="F1601" s="15" t="s">
        <v>8</v>
      </c>
    </row>
    <row r="1602" spans="1:6" ht="17.100000000000001" customHeight="1">
      <c r="A1602" s="11" t="s">
        <v>1608</v>
      </c>
      <c r="B1602" s="12">
        <v>202303071</v>
      </c>
      <c r="C1602" s="12" t="str">
        <f>"202303054010"</f>
        <v>202303054010</v>
      </c>
      <c r="D1602" s="13">
        <v>80</v>
      </c>
      <c r="E1602" s="14">
        <v>86</v>
      </c>
      <c r="F1602" s="15" t="s">
        <v>8</v>
      </c>
    </row>
    <row r="1603" spans="1:6" ht="17.100000000000001" customHeight="1">
      <c r="A1603" s="11" t="s">
        <v>1609</v>
      </c>
      <c r="B1603" s="12">
        <v>202303071</v>
      </c>
      <c r="C1603" s="12" t="str">
        <f>"202303054011"</f>
        <v>202303054011</v>
      </c>
      <c r="D1603" s="13">
        <v>95.3</v>
      </c>
      <c r="E1603" s="14">
        <v>100.5</v>
      </c>
      <c r="F1603" s="15" t="s">
        <v>8</v>
      </c>
    </row>
    <row r="1604" spans="1:6" ht="17.100000000000001" customHeight="1">
      <c r="A1604" s="11" t="s">
        <v>1610</v>
      </c>
      <c r="B1604" s="12">
        <v>202303071</v>
      </c>
      <c r="C1604" s="12" t="str">
        <f>"202303054012"</f>
        <v>202303054012</v>
      </c>
      <c r="D1604" s="13">
        <v>70</v>
      </c>
      <c r="E1604" s="14">
        <v>94.5</v>
      </c>
      <c r="F1604" s="15" t="s">
        <v>8</v>
      </c>
    </row>
    <row r="1605" spans="1:6" ht="17.100000000000001" customHeight="1">
      <c r="A1605" s="11" t="s">
        <v>1611</v>
      </c>
      <c r="B1605" s="12">
        <v>202303071</v>
      </c>
      <c r="C1605" s="12" t="str">
        <f>"202303054013"</f>
        <v>202303054013</v>
      </c>
      <c r="D1605" s="13">
        <v>82.8</v>
      </c>
      <c r="E1605" s="14">
        <v>97.5</v>
      </c>
      <c r="F1605" s="15" t="s">
        <v>8</v>
      </c>
    </row>
    <row r="1606" spans="1:6" ht="17.100000000000001" customHeight="1">
      <c r="A1606" s="11" t="s">
        <v>1612</v>
      </c>
      <c r="B1606" s="12">
        <v>202303071</v>
      </c>
      <c r="C1606" s="12" t="str">
        <f>"202303054014"</f>
        <v>202303054014</v>
      </c>
      <c r="D1606" s="13">
        <v>63.7</v>
      </c>
      <c r="E1606" s="14">
        <v>95</v>
      </c>
      <c r="F1606" s="15" t="s">
        <v>8</v>
      </c>
    </row>
    <row r="1607" spans="1:6" ht="17.100000000000001" customHeight="1">
      <c r="A1607" s="11" t="s">
        <v>1613</v>
      </c>
      <c r="B1607" s="12">
        <v>202303071</v>
      </c>
      <c r="C1607" s="12" t="str">
        <f>"202303054015"</f>
        <v>202303054015</v>
      </c>
      <c r="D1607" s="13">
        <v>0</v>
      </c>
      <c r="E1607" s="14">
        <v>0</v>
      </c>
      <c r="F1607" s="15" t="s">
        <v>12</v>
      </c>
    </row>
    <row r="1608" spans="1:6" ht="17.100000000000001" customHeight="1">
      <c r="A1608" s="11" t="s">
        <v>1614</v>
      </c>
      <c r="B1608" s="12">
        <v>202303071</v>
      </c>
      <c r="C1608" s="12" t="str">
        <f>"202303054016"</f>
        <v>202303054016</v>
      </c>
      <c r="D1608" s="13">
        <v>79.599999999999994</v>
      </c>
      <c r="E1608" s="14">
        <v>96</v>
      </c>
      <c r="F1608" s="15" t="s">
        <v>8</v>
      </c>
    </row>
    <row r="1609" spans="1:6" ht="17.100000000000001" customHeight="1">
      <c r="A1609" s="11" t="s">
        <v>1615</v>
      </c>
      <c r="B1609" s="12">
        <v>202303071</v>
      </c>
      <c r="C1609" s="12" t="str">
        <f>"202303054017"</f>
        <v>202303054017</v>
      </c>
      <c r="D1609" s="13">
        <v>73.2</v>
      </c>
      <c r="E1609" s="14">
        <v>91</v>
      </c>
      <c r="F1609" s="15" t="s">
        <v>8</v>
      </c>
    </row>
    <row r="1610" spans="1:6" ht="17.100000000000001" customHeight="1">
      <c r="A1610" s="11" t="s">
        <v>1616</v>
      </c>
      <c r="B1610" s="12">
        <v>202303072</v>
      </c>
      <c r="C1610" s="12" t="str">
        <f>"202303054018"</f>
        <v>202303054018</v>
      </c>
      <c r="D1610" s="13">
        <v>94.6</v>
      </c>
      <c r="E1610" s="14">
        <v>101</v>
      </c>
      <c r="F1610" s="15" t="s">
        <v>8</v>
      </c>
    </row>
    <row r="1611" spans="1:6" ht="17.100000000000001" customHeight="1">
      <c r="A1611" s="11" t="s">
        <v>1617</v>
      </c>
      <c r="B1611" s="12">
        <v>202303072</v>
      </c>
      <c r="C1611" s="12" t="str">
        <f>"202303054019"</f>
        <v>202303054019</v>
      </c>
      <c r="D1611" s="13">
        <v>73</v>
      </c>
      <c r="E1611" s="14">
        <v>100</v>
      </c>
      <c r="F1611" s="15" t="s">
        <v>8</v>
      </c>
    </row>
    <row r="1612" spans="1:6" ht="17.100000000000001" customHeight="1">
      <c r="A1612" s="11" t="s">
        <v>1618</v>
      </c>
      <c r="B1612" s="12">
        <v>202303072</v>
      </c>
      <c r="C1612" s="12" t="str">
        <f>"202303054020"</f>
        <v>202303054020</v>
      </c>
      <c r="D1612" s="13">
        <v>50.7</v>
      </c>
      <c r="E1612" s="14">
        <v>55.5</v>
      </c>
      <c r="F1612" s="15" t="s">
        <v>8</v>
      </c>
    </row>
    <row r="1613" spans="1:6" ht="17.100000000000001" customHeight="1">
      <c r="A1613" s="11" t="s">
        <v>1619</v>
      </c>
      <c r="B1613" s="12">
        <v>202303072</v>
      </c>
      <c r="C1613" s="12" t="str">
        <f>"202303054021"</f>
        <v>202303054021</v>
      </c>
      <c r="D1613" s="13">
        <v>78.3</v>
      </c>
      <c r="E1613" s="14">
        <v>92.5</v>
      </c>
      <c r="F1613" s="15" t="s">
        <v>8</v>
      </c>
    </row>
    <row r="1614" spans="1:6" ht="17.100000000000001" customHeight="1">
      <c r="A1614" s="11" t="s">
        <v>1620</v>
      </c>
      <c r="B1614" s="12">
        <v>202303072</v>
      </c>
      <c r="C1614" s="12" t="str">
        <f>"202303054022"</f>
        <v>202303054022</v>
      </c>
      <c r="D1614" s="13">
        <v>0</v>
      </c>
      <c r="E1614" s="14">
        <v>0</v>
      </c>
      <c r="F1614" s="15" t="s">
        <v>12</v>
      </c>
    </row>
    <row r="1615" spans="1:6" ht="17.100000000000001" customHeight="1">
      <c r="A1615" s="11" t="s">
        <v>1621</v>
      </c>
      <c r="B1615" s="12">
        <v>202303072</v>
      </c>
      <c r="C1615" s="12" t="str">
        <f>"202303054023"</f>
        <v>202303054023</v>
      </c>
      <c r="D1615" s="13">
        <v>49.5</v>
      </c>
      <c r="E1615" s="14">
        <v>90.5</v>
      </c>
      <c r="F1615" s="15" t="s">
        <v>8</v>
      </c>
    </row>
    <row r="1616" spans="1:6" ht="17.100000000000001" customHeight="1">
      <c r="A1616" s="11" t="s">
        <v>1622</v>
      </c>
      <c r="B1616" s="12">
        <v>202303072</v>
      </c>
      <c r="C1616" s="12" t="str">
        <f>"202303054024"</f>
        <v>202303054024</v>
      </c>
      <c r="D1616" s="13">
        <v>57.4</v>
      </c>
      <c r="E1616" s="14">
        <v>99.5</v>
      </c>
      <c r="F1616" s="15" t="s">
        <v>8</v>
      </c>
    </row>
    <row r="1617" spans="1:6" ht="17.100000000000001" customHeight="1">
      <c r="A1617" s="11" t="s">
        <v>1623</v>
      </c>
      <c r="B1617" s="12">
        <v>202303072</v>
      </c>
      <c r="C1617" s="12" t="str">
        <f>"202303054025"</f>
        <v>202303054025</v>
      </c>
      <c r="D1617" s="13">
        <v>74.8</v>
      </c>
      <c r="E1617" s="14">
        <v>99</v>
      </c>
      <c r="F1617" s="15" t="s">
        <v>8</v>
      </c>
    </row>
    <row r="1618" spans="1:6" ht="17.100000000000001" customHeight="1">
      <c r="A1618" s="11" t="s">
        <v>1624</v>
      </c>
      <c r="B1618" s="12">
        <v>202303072</v>
      </c>
      <c r="C1618" s="12" t="str">
        <f>"202303054026"</f>
        <v>202303054026</v>
      </c>
      <c r="D1618" s="13">
        <v>0</v>
      </c>
      <c r="E1618" s="14">
        <v>0</v>
      </c>
      <c r="F1618" s="15" t="s">
        <v>12</v>
      </c>
    </row>
    <row r="1619" spans="1:6" ht="17.100000000000001" customHeight="1">
      <c r="A1619" s="11" t="s">
        <v>1625</v>
      </c>
      <c r="B1619" s="12">
        <v>202303072</v>
      </c>
      <c r="C1619" s="12" t="str">
        <f>"202303054027"</f>
        <v>202303054027</v>
      </c>
      <c r="D1619" s="13">
        <v>78.099999999999994</v>
      </c>
      <c r="E1619" s="14">
        <v>97.5</v>
      </c>
      <c r="F1619" s="15" t="s">
        <v>8</v>
      </c>
    </row>
    <row r="1620" spans="1:6" ht="17.100000000000001" customHeight="1">
      <c r="A1620" s="11" t="s">
        <v>1626</v>
      </c>
      <c r="B1620" s="12">
        <v>202303072</v>
      </c>
      <c r="C1620" s="12" t="str">
        <f>"202303054028"</f>
        <v>202303054028</v>
      </c>
      <c r="D1620" s="13">
        <v>71.400000000000006</v>
      </c>
      <c r="E1620" s="14">
        <v>105.5</v>
      </c>
      <c r="F1620" s="15" t="s">
        <v>8</v>
      </c>
    </row>
    <row r="1621" spans="1:6" ht="17.100000000000001" customHeight="1">
      <c r="A1621" s="11" t="s">
        <v>1627</v>
      </c>
      <c r="B1621" s="12">
        <v>202303072</v>
      </c>
      <c r="C1621" s="12" t="str">
        <f>"202303054029"</f>
        <v>202303054029</v>
      </c>
      <c r="D1621" s="13">
        <v>0</v>
      </c>
      <c r="E1621" s="14">
        <v>0</v>
      </c>
      <c r="F1621" s="15" t="s">
        <v>12</v>
      </c>
    </row>
    <row r="1622" spans="1:6" ht="17.100000000000001" customHeight="1">
      <c r="A1622" s="11" t="s">
        <v>1628</v>
      </c>
      <c r="B1622" s="12">
        <v>202303072</v>
      </c>
      <c r="C1622" s="12" t="str">
        <f>"202303054030"</f>
        <v>202303054030</v>
      </c>
      <c r="D1622" s="13">
        <v>58.9</v>
      </c>
      <c r="E1622" s="14">
        <v>78</v>
      </c>
      <c r="F1622" s="15" t="s">
        <v>8</v>
      </c>
    </row>
    <row r="1623" spans="1:6" ht="17.100000000000001" customHeight="1">
      <c r="A1623" s="11" t="s">
        <v>1629</v>
      </c>
      <c r="B1623" s="12">
        <v>202303072</v>
      </c>
      <c r="C1623" s="12" t="str">
        <f>"202303055001"</f>
        <v>202303055001</v>
      </c>
      <c r="D1623" s="13">
        <v>0</v>
      </c>
      <c r="E1623" s="14">
        <v>0</v>
      </c>
      <c r="F1623" s="15" t="s">
        <v>12</v>
      </c>
    </row>
    <row r="1624" spans="1:6" ht="17.100000000000001" customHeight="1">
      <c r="A1624" s="11" t="s">
        <v>1630</v>
      </c>
      <c r="B1624" s="12">
        <v>202303072</v>
      </c>
      <c r="C1624" s="12" t="str">
        <f>"202303055002"</f>
        <v>202303055002</v>
      </c>
      <c r="D1624" s="13">
        <v>92.4</v>
      </c>
      <c r="E1624" s="14">
        <v>94.5</v>
      </c>
      <c r="F1624" s="15" t="s">
        <v>8</v>
      </c>
    </row>
    <row r="1625" spans="1:6" ht="17.100000000000001" customHeight="1">
      <c r="A1625" s="11" t="s">
        <v>1631</v>
      </c>
      <c r="B1625" s="12">
        <v>202303072</v>
      </c>
      <c r="C1625" s="12" t="str">
        <f>"202303055003"</f>
        <v>202303055003</v>
      </c>
      <c r="D1625" s="13">
        <v>79.3</v>
      </c>
      <c r="E1625" s="14">
        <v>109.5</v>
      </c>
      <c r="F1625" s="15" t="s">
        <v>8</v>
      </c>
    </row>
    <row r="1626" spans="1:6" ht="17.100000000000001" customHeight="1">
      <c r="A1626" s="11" t="s">
        <v>1632</v>
      </c>
      <c r="B1626" s="12">
        <v>202303072</v>
      </c>
      <c r="C1626" s="12" t="str">
        <f>"202303055004"</f>
        <v>202303055004</v>
      </c>
      <c r="D1626" s="13">
        <v>0</v>
      </c>
      <c r="E1626" s="14">
        <v>0</v>
      </c>
      <c r="F1626" s="15" t="s">
        <v>12</v>
      </c>
    </row>
    <row r="1627" spans="1:6" ht="17.100000000000001" customHeight="1">
      <c r="A1627" s="11" t="s">
        <v>1633</v>
      </c>
      <c r="B1627" s="12">
        <v>202303072</v>
      </c>
      <c r="C1627" s="12" t="str">
        <f>"202303055005"</f>
        <v>202303055005</v>
      </c>
      <c r="D1627" s="13">
        <v>78.599999999999994</v>
      </c>
      <c r="E1627" s="14">
        <v>95.5</v>
      </c>
      <c r="F1627" s="15" t="s">
        <v>8</v>
      </c>
    </row>
    <row r="1628" spans="1:6" ht="17.100000000000001" customHeight="1">
      <c r="A1628" s="11" t="s">
        <v>1634</v>
      </c>
      <c r="B1628" s="12">
        <v>202303072</v>
      </c>
      <c r="C1628" s="12" t="str">
        <f>"202303055006"</f>
        <v>202303055006</v>
      </c>
      <c r="D1628" s="13">
        <v>98.3</v>
      </c>
      <c r="E1628" s="14">
        <v>98.5</v>
      </c>
      <c r="F1628" s="15" t="s">
        <v>8</v>
      </c>
    </row>
    <row r="1629" spans="1:6" ht="17.100000000000001" customHeight="1">
      <c r="A1629" s="11" t="s">
        <v>1635</v>
      </c>
      <c r="B1629" s="12">
        <v>202303072</v>
      </c>
      <c r="C1629" s="12" t="str">
        <f>"202303055007"</f>
        <v>202303055007</v>
      </c>
      <c r="D1629" s="13">
        <v>77.8</v>
      </c>
      <c r="E1629" s="14">
        <v>89.5</v>
      </c>
      <c r="F1629" s="15" t="s">
        <v>8</v>
      </c>
    </row>
    <row r="1630" spans="1:6" ht="17.100000000000001" customHeight="1">
      <c r="A1630" s="11" t="s">
        <v>1636</v>
      </c>
      <c r="B1630" s="12">
        <v>202303073</v>
      </c>
      <c r="C1630" s="12" t="str">
        <f>"202303055008"</f>
        <v>202303055008</v>
      </c>
      <c r="D1630" s="13">
        <v>0</v>
      </c>
      <c r="E1630" s="14">
        <v>0</v>
      </c>
      <c r="F1630" s="15" t="s">
        <v>12</v>
      </c>
    </row>
    <row r="1631" spans="1:6" ht="17.100000000000001" customHeight="1">
      <c r="A1631" s="11" t="s">
        <v>1637</v>
      </c>
      <c r="B1631" s="12">
        <v>202303073</v>
      </c>
      <c r="C1631" s="12" t="str">
        <f>"202303055009"</f>
        <v>202303055009</v>
      </c>
      <c r="D1631" s="13">
        <v>0</v>
      </c>
      <c r="E1631" s="14">
        <v>0</v>
      </c>
      <c r="F1631" s="15" t="s">
        <v>12</v>
      </c>
    </row>
    <row r="1632" spans="1:6" ht="17.100000000000001" customHeight="1">
      <c r="A1632" s="11" t="s">
        <v>1638</v>
      </c>
      <c r="B1632" s="12">
        <v>202303073</v>
      </c>
      <c r="C1632" s="12" t="str">
        <f>"202303055010"</f>
        <v>202303055010</v>
      </c>
      <c r="D1632" s="13">
        <v>76.400000000000006</v>
      </c>
      <c r="E1632" s="14">
        <v>99</v>
      </c>
      <c r="F1632" s="15" t="s">
        <v>8</v>
      </c>
    </row>
    <row r="1633" spans="1:6" ht="17.100000000000001" customHeight="1">
      <c r="A1633" s="11" t="s">
        <v>1639</v>
      </c>
      <c r="B1633" s="12">
        <v>202303073</v>
      </c>
      <c r="C1633" s="12" t="str">
        <f>"202303055011"</f>
        <v>202303055011</v>
      </c>
      <c r="D1633" s="13">
        <v>87.7</v>
      </c>
      <c r="E1633" s="14">
        <v>95</v>
      </c>
      <c r="F1633" s="15" t="s">
        <v>8</v>
      </c>
    </row>
    <row r="1634" spans="1:6" ht="17.100000000000001" customHeight="1">
      <c r="A1634" s="11" t="s">
        <v>1640</v>
      </c>
      <c r="B1634" s="12">
        <v>202303073</v>
      </c>
      <c r="C1634" s="12" t="str">
        <f>"202303055012"</f>
        <v>202303055012</v>
      </c>
      <c r="D1634" s="13">
        <v>92.4</v>
      </c>
      <c r="E1634" s="14">
        <v>99.5</v>
      </c>
      <c r="F1634" s="15" t="s">
        <v>8</v>
      </c>
    </row>
    <row r="1635" spans="1:6" ht="17.100000000000001" customHeight="1">
      <c r="A1635" s="11" t="s">
        <v>1641</v>
      </c>
      <c r="B1635" s="12">
        <v>202303073</v>
      </c>
      <c r="C1635" s="12" t="str">
        <f>"202303055013"</f>
        <v>202303055013</v>
      </c>
      <c r="D1635" s="13">
        <v>77.8</v>
      </c>
      <c r="E1635" s="14">
        <v>105</v>
      </c>
      <c r="F1635" s="15" t="s">
        <v>8</v>
      </c>
    </row>
    <row r="1636" spans="1:6" ht="17.100000000000001" customHeight="1">
      <c r="A1636" s="11" t="s">
        <v>1642</v>
      </c>
      <c r="B1636" s="12">
        <v>202303073</v>
      </c>
      <c r="C1636" s="12" t="str">
        <f>"202303055014"</f>
        <v>202303055014</v>
      </c>
      <c r="D1636" s="13">
        <v>0</v>
      </c>
      <c r="E1636" s="14">
        <v>0</v>
      </c>
      <c r="F1636" s="15" t="s">
        <v>12</v>
      </c>
    </row>
    <row r="1637" spans="1:6" ht="17.100000000000001" customHeight="1">
      <c r="A1637" s="11" t="s">
        <v>1643</v>
      </c>
      <c r="B1637" s="12">
        <v>202303073</v>
      </c>
      <c r="C1637" s="12" t="str">
        <f>"202303055015"</f>
        <v>202303055015</v>
      </c>
      <c r="D1637" s="13">
        <v>0</v>
      </c>
      <c r="E1637" s="14">
        <v>0</v>
      </c>
      <c r="F1637" s="15" t="s">
        <v>12</v>
      </c>
    </row>
    <row r="1638" spans="1:6" ht="17.100000000000001" customHeight="1">
      <c r="A1638" s="11" t="s">
        <v>1644</v>
      </c>
      <c r="B1638" s="12">
        <v>202303073</v>
      </c>
      <c r="C1638" s="12" t="str">
        <f>"202303055016"</f>
        <v>202303055016</v>
      </c>
      <c r="D1638" s="13">
        <v>0</v>
      </c>
      <c r="E1638" s="14">
        <v>0</v>
      </c>
      <c r="F1638" s="15" t="s">
        <v>12</v>
      </c>
    </row>
    <row r="1639" spans="1:6" ht="17.100000000000001" customHeight="1">
      <c r="A1639" s="11" t="s">
        <v>1645</v>
      </c>
      <c r="B1639" s="12">
        <v>202303073</v>
      </c>
      <c r="C1639" s="12" t="str">
        <f>"202303055017"</f>
        <v>202303055017</v>
      </c>
      <c r="D1639" s="13">
        <v>0</v>
      </c>
      <c r="E1639" s="14">
        <v>0</v>
      </c>
      <c r="F1639" s="15" t="s">
        <v>12</v>
      </c>
    </row>
    <row r="1640" spans="1:6" ht="17.100000000000001" customHeight="1">
      <c r="A1640" s="11" t="s">
        <v>1646</v>
      </c>
      <c r="B1640" s="12">
        <v>202303073</v>
      </c>
      <c r="C1640" s="12" t="str">
        <f>"202303055018"</f>
        <v>202303055018</v>
      </c>
      <c r="D1640" s="13">
        <v>70.2</v>
      </c>
      <c r="E1640" s="14">
        <v>97</v>
      </c>
      <c r="F1640" s="15" t="s">
        <v>8</v>
      </c>
    </row>
    <row r="1641" spans="1:6" ht="17.100000000000001" customHeight="1">
      <c r="A1641" s="11" t="s">
        <v>1647</v>
      </c>
      <c r="B1641" s="12">
        <v>202303073</v>
      </c>
      <c r="C1641" s="12" t="str">
        <f>"202303055019"</f>
        <v>202303055019</v>
      </c>
      <c r="D1641" s="13">
        <v>97.3</v>
      </c>
      <c r="E1641" s="14">
        <v>107</v>
      </c>
      <c r="F1641" s="15" t="s">
        <v>8</v>
      </c>
    </row>
    <row r="1642" spans="1:6" ht="17.100000000000001" customHeight="1">
      <c r="A1642" s="11" t="s">
        <v>1648</v>
      </c>
      <c r="B1642" s="12">
        <v>202303073</v>
      </c>
      <c r="C1642" s="12" t="str">
        <f>"202303055020"</f>
        <v>202303055020</v>
      </c>
      <c r="D1642" s="13">
        <v>90</v>
      </c>
      <c r="E1642" s="14">
        <v>102.5</v>
      </c>
      <c r="F1642" s="15" t="s">
        <v>8</v>
      </c>
    </row>
    <row r="1643" spans="1:6" ht="17.100000000000001" customHeight="1">
      <c r="A1643" s="11" t="s">
        <v>1649</v>
      </c>
      <c r="B1643" s="12">
        <v>202303073</v>
      </c>
      <c r="C1643" s="12" t="str">
        <f>"202303055021"</f>
        <v>202303055021</v>
      </c>
      <c r="D1643" s="13">
        <v>70</v>
      </c>
      <c r="E1643" s="14">
        <v>94</v>
      </c>
      <c r="F1643" s="15" t="s">
        <v>8</v>
      </c>
    </row>
    <row r="1644" spans="1:6" ht="17.100000000000001" customHeight="1">
      <c r="A1644" s="11" t="s">
        <v>1650</v>
      </c>
      <c r="B1644" s="12">
        <v>202303073</v>
      </c>
      <c r="C1644" s="12" t="str">
        <f>"202303055022"</f>
        <v>202303055022</v>
      </c>
      <c r="D1644" s="13">
        <v>0</v>
      </c>
      <c r="E1644" s="14">
        <v>0</v>
      </c>
      <c r="F1644" s="15" t="s">
        <v>12</v>
      </c>
    </row>
    <row r="1645" spans="1:6" ht="17.100000000000001" customHeight="1">
      <c r="A1645" s="11" t="s">
        <v>1651</v>
      </c>
      <c r="B1645" s="12">
        <v>202303073</v>
      </c>
      <c r="C1645" s="12" t="str">
        <f>"202303055023"</f>
        <v>202303055023</v>
      </c>
      <c r="D1645" s="13">
        <v>77.7</v>
      </c>
      <c r="E1645" s="14">
        <v>99</v>
      </c>
      <c r="F1645" s="15" t="s">
        <v>8</v>
      </c>
    </row>
    <row r="1646" spans="1:6" ht="17.100000000000001" customHeight="1">
      <c r="A1646" s="11" t="s">
        <v>1652</v>
      </c>
      <c r="B1646" s="12">
        <v>202303073</v>
      </c>
      <c r="C1646" s="12" t="str">
        <f>"202303055024"</f>
        <v>202303055024</v>
      </c>
      <c r="D1646" s="13">
        <v>85.5</v>
      </c>
      <c r="E1646" s="14">
        <v>105.5</v>
      </c>
      <c r="F1646" s="15" t="s">
        <v>8</v>
      </c>
    </row>
    <row r="1647" spans="1:6" ht="17.100000000000001" customHeight="1">
      <c r="A1647" s="11" t="s">
        <v>1653</v>
      </c>
      <c r="B1647" s="12">
        <v>202303073</v>
      </c>
      <c r="C1647" s="12" t="str">
        <f>"202303055025"</f>
        <v>202303055025</v>
      </c>
      <c r="D1647" s="13">
        <v>73.8</v>
      </c>
      <c r="E1647" s="14">
        <v>98</v>
      </c>
      <c r="F1647" s="15" t="s">
        <v>8</v>
      </c>
    </row>
    <row r="1648" spans="1:6" ht="17.100000000000001" customHeight="1">
      <c r="A1648" s="11" t="s">
        <v>1654</v>
      </c>
      <c r="B1648" s="12">
        <v>202303073</v>
      </c>
      <c r="C1648" s="12" t="str">
        <f>"202303055026"</f>
        <v>202303055026</v>
      </c>
      <c r="D1648" s="13">
        <v>88.2</v>
      </c>
      <c r="E1648" s="14">
        <v>102</v>
      </c>
      <c r="F1648" s="15" t="s">
        <v>8</v>
      </c>
    </row>
    <row r="1649" spans="1:6" ht="17.100000000000001" customHeight="1">
      <c r="A1649" s="11" t="s">
        <v>1655</v>
      </c>
      <c r="B1649" s="12">
        <v>202303073</v>
      </c>
      <c r="C1649" s="12" t="str">
        <f>"202303055027"</f>
        <v>202303055027</v>
      </c>
      <c r="D1649" s="13">
        <v>80.2</v>
      </c>
      <c r="E1649" s="14">
        <v>99.5</v>
      </c>
      <c r="F1649" s="15" t="s">
        <v>8</v>
      </c>
    </row>
    <row r="1650" spans="1:6" ht="17.100000000000001" customHeight="1">
      <c r="A1650" s="11" t="s">
        <v>1656</v>
      </c>
      <c r="B1650" s="12">
        <v>202303073</v>
      </c>
      <c r="C1650" s="12" t="str">
        <f>"202303055028"</f>
        <v>202303055028</v>
      </c>
      <c r="D1650" s="13">
        <v>85.2</v>
      </c>
      <c r="E1650" s="14">
        <v>106.5</v>
      </c>
      <c r="F1650" s="15" t="s">
        <v>8</v>
      </c>
    </row>
    <row r="1651" spans="1:6" ht="17.100000000000001" customHeight="1">
      <c r="A1651" s="11" t="s">
        <v>1657</v>
      </c>
      <c r="B1651" s="12">
        <v>202303073</v>
      </c>
      <c r="C1651" s="12" t="str">
        <f>"202303055029"</f>
        <v>202303055029</v>
      </c>
      <c r="D1651" s="13">
        <v>99</v>
      </c>
      <c r="E1651" s="14">
        <v>110.5</v>
      </c>
      <c r="F1651" s="15" t="s">
        <v>8</v>
      </c>
    </row>
    <row r="1652" spans="1:6" ht="17.100000000000001" customHeight="1">
      <c r="A1652" s="11" t="s">
        <v>1658</v>
      </c>
      <c r="B1652" s="12">
        <v>202303073</v>
      </c>
      <c r="C1652" s="12" t="str">
        <f>"202303055030"</f>
        <v>202303055030</v>
      </c>
      <c r="D1652" s="13">
        <v>88.8</v>
      </c>
      <c r="E1652" s="14">
        <v>47</v>
      </c>
      <c r="F1652" s="15" t="s">
        <v>8</v>
      </c>
    </row>
    <row r="1653" spans="1:6" ht="17.100000000000001" customHeight="1">
      <c r="A1653" s="11" t="s">
        <v>1659</v>
      </c>
      <c r="B1653" s="12">
        <v>202303073</v>
      </c>
      <c r="C1653" s="12" t="str">
        <f>"202303056001"</f>
        <v>202303056001</v>
      </c>
      <c r="D1653" s="13">
        <v>80.7</v>
      </c>
      <c r="E1653" s="14">
        <v>53</v>
      </c>
      <c r="F1653" s="15" t="s">
        <v>8</v>
      </c>
    </row>
    <row r="1654" spans="1:6" ht="17.100000000000001" customHeight="1">
      <c r="A1654" s="11" t="s">
        <v>1660</v>
      </c>
      <c r="B1654" s="12">
        <v>202303073</v>
      </c>
      <c r="C1654" s="12" t="str">
        <f>"202303056002"</f>
        <v>202303056002</v>
      </c>
      <c r="D1654" s="13">
        <v>87</v>
      </c>
      <c r="E1654" s="14">
        <v>98.5</v>
      </c>
      <c r="F1654" s="15" t="s">
        <v>8</v>
      </c>
    </row>
    <row r="1655" spans="1:6" ht="17.100000000000001" customHeight="1">
      <c r="A1655" s="11" t="s">
        <v>1661</v>
      </c>
      <c r="B1655" s="12">
        <v>202303073</v>
      </c>
      <c r="C1655" s="12" t="str">
        <f>"202303056003"</f>
        <v>202303056003</v>
      </c>
      <c r="D1655" s="13">
        <v>101.3</v>
      </c>
      <c r="E1655" s="14">
        <v>103.5</v>
      </c>
      <c r="F1655" s="15" t="s">
        <v>8</v>
      </c>
    </row>
    <row r="1656" spans="1:6" ht="17.100000000000001" customHeight="1">
      <c r="A1656" s="11" t="s">
        <v>1662</v>
      </c>
      <c r="B1656" s="12">
        <v>202303073</v>
      </c>
      <c r="C1656" s="12" t="str">
        <f>"202303056004"</f>
        <v>202303056004</v>
      </c>
      <c r="D1656" s="13">
        <v>88.4</v>
      </c>
      <c r="E1656" s="14">
        <v>100</v>
      </c>
      <c r="F1656" s="15" t="s">
        <v>8</v>
      </c>
    </row>
    <row r="1657" spans="1:6" ht="17.100000000000001" customHeight="1">
      <c r="A1657" s="11" t="s">
        <v>1663</v>
      </c>
      <c r="B1657" s="12">
        <v>202303073</v>
      </c>
      <c r="C1657" s="12" t="str">
        <f>"202303056005"</f>
        <v>202303056005</v>
      </c>
      <c r="D1657" s="13">
        <v>7</v>
      </c>
      <c r="E1657" s="14">
        <v>0</v>
      </c>
      <c r="F1657" s="15"/>
    </row>
    <row r="1658" spans="1:6" ht="17.100000000000001" customHeight="1">
      <c r="A1658" s="11" t="s">
        <v>1664</v>
      </c>
      <c r="B1658" s="12">
        <v>202303073</v>
      </c>
      <c r="C1658" s="12" t="str">
        <f>"202303056006"</f>
        <v>202303056006</v>
      </c>
      <c r="D1658" s="13">
        <v>0</v>
      </c>
      <c r="E1658" s="14">
        <v>0</v>
      </c>
      <c r="F1658" s="15" t="s">
        <v>12</v>
      </c>
    </row>
    <row r="1659" spans="1:6" ht="17.100000000000001" customHeight="1">
      <c r="A1659" s="11" t="s">
        <v>1665</v>
      </c>
      <c r="B1659" s="12">
        <v>202303073</v>
      </c>
      <c r="C1659" s="12" t="str">
        <f>"202303056007"</f>
        <v>202303056007</v>
      </c>
      <c r="D1659" s="13">
        <v>86.5</v>
      </c>
      <c r="E1659" s="14">
        <v>82.5</v>
      </c>
      <c r="F1659" s="15" t="s">
        <v>8</v>
      </c>
    </row>
    <row r="1660" spans="1:6" ht="17.100000000000001" customHeight="1">
      <c r="A1660" s="11" t="s">
        <v>1666</v>
      </c>
      <c r="B1660" s="12">
        <v>202303073</v>
      </c>
      <c r="C1660" s="12" t="str">
        <f>"202303056008"</f>
        <v>202303056008</v>
      </c>
      <c r="D1660" s="13">
        <v>71.7</v>
      </c>
      <c r="E1660" s="14">
        <v>93</v>
      </c>
      <c r="F1660" s="15" t="s">
        <v>8</v>
      </c>
    </row>
    <row r="1661" spans="1:6" ht="17.100000000000001" customHeight="1">
      <c r="A1661" s="11" t="s">
        <v>1667</v>
      </c>
      <c r="B1661" s="12">
        <v>202303073</v>
      </c>
      <c r="C1661" s="12" t="str">
        <f>"202303056009"</f>
        <v>202303056009</v>
      </c>
      <c r="D1661" s="13">
        <v>92.5</v>
      </c>
      <c r="E1661" s="14">
        <v>104.5</v>
      </c>
      <c r="F1661" s="15" t="s">
        <v>8</v>
      </c>
    </row>
    <row r="1662" spans="1:6" ht="17.100000000000001" customHeight="1">
      <c r="A1662" s="11" t="s">
        <v>1668</v>
      </c>
      <c r="B1662" s="12">
        <v>202303073</v>
      </c>
      <c r="C1662" s="12" t="str">
        <f>"202303056010"</f>
        <v>202303056010</v>
      </c>
      <c r="D1662" s="13">
        <v>0</v>
      </c>
      <c r="E1662" s="14">
        <v>0</v>
      </c>
      <c r="F1662" s="15" t="s">
        <v>12</v>
      </c>
    </row>
    <row r="1663" spans="1:6" ht="17.100000000000001" customHeight="1">
      <c r="A1663" s="11" t="s">
        <v>1669</v>
      </c>
      <c r="B1663" s="12">
        <v>202303073</v>
      </c>
      <c r="C1663" s="12" t="str">
        <f>"202303056011"</f>
        <v>202303056011</v>
      </c>
      <c r="D1663" s="13">
        <v>87</v>
      </c>
      <c r="E1663" s="14">
        <v>105.5</v>
      </c>
      <c r="F1663" s="15" t="s">
        <v>8</v>
      </c>
    </row>
    <row r="1664" spans="1:6" ht="17.100000000000001" customHeight="1">
      <c r="A1664" s="11" t="s">
        <v>1670</v>
      </c>
      <c r="B1664" s="12">
        <v>202303073</v>
      </c>
      <c r="C1664" s="12" t="str">
        <f>"202303056012"</f>
        <v>202303056012</v>
      </c>
      <c r="D1664" s="13">
        <v>65.8</v>
      </c>
      <c r="E1664" s="14">
        <v>109.5</v>
      </c>
      <c r="F1664" s="15" t="s">
        <v>8</v>
      </c>
    </row>
    <row r="1665" spans="1:6" ht="17.100000000000001" customHeight="1">
      <c r="A1665" s="11" t="s">
        <v>1671</v>
      </c>
      <c r="B1665" s="12">
        <v>202303073</v>
      </c>
      <c r="C1665" s="12" t="str">
        <f>"202303056013"</f>
        <v>202303056013</v>
      </c>
      <c r="D1665" s="13">
        <v>94.8</v>
      </c>
      <c r="E1665" s="14">
        <v>100</v>
      </c>
      <c r="F1665" s="15" t="s">
        <v>8</v>
      </c>
    </row>
    <row r="1666" spans="1:6" ht="17.100000000000001" customHeight="1">
      <c r="A1666" s="11" t="s">
        <v>1672</v>
      </c>
      <c r="B1666" s="12">
        <v>202303073</v>
      </c>
      <c r="C1666" s="12" t="str">
        <f>"202303056014"</f>
        <v>202303056014</v>
      </c>
      <c r="D1666" s="13">
        <v>91.1</v>
      </c>
      <c r="E1666" s="14">
        <v>108.5</v>
      </c>
      <c r="F1666" s="15" t="s">
        <v>8</v>
      </c>
    </row>
    <row r="1667" spans="1:6" ht="17.100000000000001" customHeight="1">
      <c r="A1667" s="11" t="s">
        <v>1673</v>
      </c>
      <c r="B1667" s="12">
        <v>202303073</v>
      </c>
      <c r="C1667" s="12" t="str">
        <f>"202303056015"</f>
        <v>202303056015</v>
      </c>
      <c r="D1667" s="13">
        <v>83.8</v>
      </c>
      <c r="E1667" s="14">
        <v>104</v>
      </c>
      <c r="F1667" s="15" t="s">
        <v>8</v>
      </c>
    </row>
    <row r="1668" spans="1:6" ht="17.100000000000001" customHeight="1">
      <c r="A1668" s="11" t="s">
        <v>1674</v>
      </c>
      <c r="B1668" s="12">
        <v>202303073</v>
      </c>
      <c r="C1668" s="12" t="str">
        <f>"202303056016"</f>
        <v>202303056016</v>
      </c>
      <c r="D1668" s="13">
        <v>97.3</v>
      </c>
      <c r="E1668" s="14">
        <v>106.5</v>
      </c>
      <c r="F1668" s="15" t="s">
        <v>8</v>
      </c>
    </row>
    <row r="1669" spans="1:6" ht="17.100000000000001" customHeight="1">
      <c r="A1669" s="11" t="s">
        <v>1675</v>
      </c>
      <c r="B1669" s="12">
        <v>202303073</v>
      </c>
      <c r="C1669" s="12" t="str">
        <f>"202303056017"</f>
        <v>202303056017</v>
      </c>
      <c r="D1669" s="13">
        <v>76.400000000000006</v>
      </c>
      <c r="E1669" s="14">
        <v>106.5</v>
      </c>
      <c r="F1669" s="15" t="s">
        <v>8</v>
      </c>
    </row>
    <row r="1670" spans="1:6" ht="17.100000000000001" customHeight="1">
      <c r="A1670" s="11" t="s">
        <v>1676</v>
      </c>
      <c r="B1670" s="12">
        <v>202303073</v>
      </c>
      <c r="C1670" s="12" t="str">
        <f>"202303056018"</f>
        <v>202303056018</v>
      </c>
      <c r="D1670" s="13">
        <v>99.3</v>
      </c>
      <c r="E1670" s="14">
        <v>104.5</v>
      </c>
      <c r="F1670" s="15" t="s">
        <v>8</v>
      </c>
    </row>
    <row r="1671" spans="1:6" ht="17.100000000000001" customHeight="1">
      <c r="A1671" s="11" t="s">
        <v>1677</v>
      </c>
      <c r="B1671" s="12">
        <v>202303073</v>
      </c>
      <c r="C1671" s="12" t="str">
        <f>"202303056019"</f>
        <v>202303056019</v>
      </c>
      <c r="D1671" s="13">
        <v>66.099999999999994</v>
      </c>
      <c r="E1671" s="14">
        <v>91.5</v>
      </c>
      <c r="F1671" s="15" t="s">
        <v>8</v>
      </c>
    </row>
    <row r="1672" spans="1:6" ht="17.100000000000001" customHeight="1">
      <c r="A1672" s="11" t="s">
        <v>1678</v>
      </c>
      <c r="B1672" s="12">
        <v>202303073</v>
      </c>
      <c r="C1672" s="12" t="str">
        <f>"202303056020"</f>
        <v>202303056020</v>
      </c>
      <c r="D1672" s="13">
        <v>60.7</v>
      </c>
      <c r="E1672" s="14">
        <v>94.5</v>
      </c>
      <c r="F1672" s="15" t="s">
        <v>8</v>
      </c>
    </row>
    <row r="1673" spans="1:6" ht="17.100000000000001" customHeight="1">
      <c r="A1673" s="11" t="s">
        <v>1679</v>
      </c>
      <c r="B1673" s="12">
        <v>202303073</v>
      </c>
      <c r="C1673" s="12" t="str">
        <f>"202303056021"</f>
        <v>202303056021</v>
      </c>
      <c r="D1673" s="13">
        <v>101.6</v>
      </c>
      <c r="E1673" s="14">
        <v>101</v>
      </c>
      <c r="F1673" s="15" t="s">
        <v>8</v>
      </c>
    </row>
    <row r="1674" spans="1:6" ht="17.100000000000001" customHeight="1">
      <c r="A1674" s="11" t="s">
        <v>1680</v>
      </c>
      <c r="B1674" s="12">
        <v>202303073</v>
      </c>
      <c r="C1674" s="12" t="str">
        <f>"202303056022"</f>
        <v>202303056022</v>
      </c>
      <c r="D1674" s="13">
        <v>0</v>
      </c>
      <c r="E1674" s="14">
        <v>0</v>
      </c>
      <c r="F1674" s="15" t="s">
        <v>12</v>
      </c>
    </row>
    <row r="1675" spans="1:6" ht="17.100000000000001" customHeight="1">
      <c r="A1675" s="11" t="s">
        <v>1681</v>
      </c>
      <c r="B1675" s="12">
        <v>202303073</v>
      </c>
      <c r="C1675" s="12" t="str">
        <f>"202303056023"</f>
        <v>202303056023</v>
      </c>
      <c r="D1675" s="13">
        <v>0</v>
      </c>
      <c r="E1675" s="14">
        <v>0</v>
      </c>
      <c r="F1675" s="15" t="s">
        <v>12</v>
      </c>
    </row>
    <row r="1676" spans="1:6" ht="17.100000000000001" customHeight="1">
      <c r="A1676" s="11" t="s">
        <v>1682</v>
      </c>
      <c r="B1676" s="12">
        <v>202303073</v>
      </c>
      <c r="C1676" s="12" t="str">
        <f>"202303056024"</f>
        <v>202303056024</v>
      </c>
      <c r="D1676" s="13">
        <v>0</v>
      </c>
      <c r="E1676" s="14">
        <v>0</v>
      </c>
      <c r="F1676" s="15" t="s">
        <v>12</v>
      </c>
    </row>
    <row r="1677" spans="1:6" ht="17.100000000000001" customHeight="1">
      <c r="A1677" s="11" t="s">
        <v>1683</v>
      </c>
      <c r="B1677" s="12">
        <v>202303073</v>
      </c>
      <c r="C1677" s="12" t="str">
        <f>"202303056025"</f>
        <v>202303056025</v>
      </c>
      <c r="D1677" s="13">
        <v>0</v>
      </c>
      <c r="E1677" s="14">
        <v>0</v>
      </c>
      <c r="F1677" s="15" t="s">
        <v>12</v>
      </c>
    </row>
    <row r="1678" spans="1:6" ht="17.100000000000001" customHeight="1">
      <c r="A1678" s="11" t="s">
        <v>1684</v>
      </c>
      <c r="B1678" s="12">
        <v>202303074</v>
      </c>
      <c r="C1678" s="12" t="str">
        <f>"202303056026"</f>
        <v>202303056026</v>
      </c>
      <c r="D1678" s="13">
        <v>96.7</v>
      </c>
      <c r="E1678" s="14">
        <v>94</v>
      </c>
      <c r="F1678" s="15" t="s">
        <v>8</v>
      </c>
    </row>
    <row r="1679" spans="1:6" ht="17.100000000000001" customHeight="1">
      <c r="A1679" s="11" t="s">
        <v>1685</v>
      </c>
      <c r="B1679" s="12">
        <v>202303074</v>
      </c>
      <c r="C1679" s="12" t="str">
        <f>"202303056027"</f>
        <v>202303056027</v>
      </c>
      <c r="D1679" s="13">
        <v>55.3</v>
      </c>
      <c r="E1679" s="14">
        <v>92.5</v>
      </c>
      <c r="F1679" s="15" t="s">
        <v>8</v>
      </c>
    </row>
    <row r="1680" spans="1:6" ht="17.100000000000001" customHeight="1">
      <c r="A1680" s="11" t="s">
        <v>1686</v>
      </c>
      <c r="B1680" s="12">
        <v>202303074</v>
      </c>
      <c r="C1680" s="12" t="str">
        <f>"202303056028"</f>
        <v>202303056028</v>
      </c>
      <c r="D1680" s="13">
        <v>81.400000000000006</v>
      </c>
      <c r="E1680" s="14">
        <v>84.5</v>
      </c>
      <c r="F1680" s="15" t="s">
        <v>8</v>
      </c>
    </row>
    <row r="1681" spans="1:6" ht="17.100000000000001" customHeight="1">
      <c r="A1681" s="11" t="s">
        <v>1687</v>
      </c>
      <c r="B1681" s="12">
        <v>202303074</v>
      </c>
      <c r="C1681" s="12" t="str">
        <f>"202303056029"</f>
        <v>202303056029</v>
      </c>
      <c r="D1681" s="13">
        <v>59.9</v>
      </c>
      <c r="E1681" s="14">
        <v>84</v>
      </c>
      <c r="F1681" s="15" t="s">
        <v>8</v>
      </c>
    </row>
    <row r="1682" spans="1:6" ht="17.100000000000001" customHeight="1">
      <c r="A1682" s="11" t="s">
        <v>1688</v>
      </c>
      <c r="B1682" s="12">
        <v>202303074</v>
      </c>
      <c r="C1682" s="12" t="str">
        <f>"202303056030"</f>
        <v>202303056030</v>
      </c>
      <c r="D1682" s="13">
        <v>0</v>
      </c>
      <c r="E1682" s="14">
        <v>0</v>
      </c>
      <c r="F1682" s="15" t="s">
        <v>12</v>
      </c>
    </row>
    <row r="1683" spans="1:6" ht="17.100000000000001" customHeight="1">
      <c r="A1683" s="11" t="s">
        <v>1689</v>
      </c>
      <c r="B1683" s="12">
        <v>202303074</v>
      </c>
      <c r="C1683" s="12" t="str">
        <f>"202303057001"</f>
        <v>202303057001</v>
      </c>
      <c r="D1683" s="13">
        <v>0</v>
      </c>
      <c r="E1683" s="14">
        <v>0</v>
      </c>
      <c r="F1683" s="15" t="s">
        <v>12</v>
      </c>
    </row>
    <row r="1684" spans="1:6" ht="17.100000000000001" customHeight="1">
      <c r="A1684" s="11" t="s">
        <v>1690</v>
      </c>
      <c r="B1684" s="12">
        <v>202303074</v>
      </c>
      <c r="C1684" s="12" t="str">
        <f>"202303057002"</f>
        <v>202303057002</v>
      </c>
      <c r="D1684" s="13">
        <v>60.7</v>
      </c>
      <c r="E1684" s="14">
        <v>79.5</v>
      </c>
      <c r="F1684" s="15" t="s">
        <v>8</v>
      </c>
    </row>
    <row r="1685" spans="1:6" ht="17.100000000000001" customHeight="1">
      <c r="A1685" s="11" t="s">
        <v>1691</v>
      </c>
      <c r="B1685" s="12">
        <v>202303074</v>
      </c>
      <c r="C1685" s="12" t="str">
        <f>"202303057003"</f>
        <v>202303057003</v>
      </c>
      <c r="D1685" s="13">
        <v>68.3</v>
      </c>
      <c r="E1685" s="14">
        <v>70.5</v>
      </c>
      <c r="F1685" s="15" t="s">
        <v>8</v>
      </c>
    </row>
    <row r="1686" spans="1:6" ht="17.100000000000001" customHeight="1">
      <c r="A1686" s="11" t="s">
        <v>1692</v>
      </c>
      <c r="B1686" s="12">
        <v>202303074</v>
      </c>
      <c r="C1686" s="12" t="str">
        <f>"202303057004"</f>
        <v>202303057004</v>
      </c>
      <c r="D1686" s="13">
        <v>67.8</v>
      </c>
      <c r="E1686" s="14">
        <v>96.5</v>
      </c>
      <c r="F1686" s="15" t="s">
        <v>8</v>
      </c>
    </row>
    <row r="1687" spans="1:6" ht="17.100000000000001" customHeight="1">
      <c r="A1687" s="11" t="s">
        <v>1693</v>
      </c>
      <c r="B1687" s="12">
        <v>202303074</v>
      </c>
      <c r="C1687" s="12" t="str">
        <f>"202303057005"</f>
        <v>202303057005</v>
      </c>
      <c r="D1687" s="13">
        <v>0</v>
      </c>
      <c r="E1687" s="14">
        <v>0</v>
      </c>
      <c r="F1687" s="15" t="s">
        <v>12</v>
      </c>
    </row>
    <row r="1688" spans="1:6" ht="17.100000000000001" customHeight="1">
      <c r="A1688" s="11" t="s">
        <v>1694</v>
      </c>
      <c r="B1688" s="12">
        <v>202303074</v>
      </c>
      <c r="C1688" s="12" t="str">
        <f>"202303057006"</f>
        <v>202303057006</v>
      </c>
      <c r="D1688" s="13">
        <v>93.4</v>
      </c>
      <c r="E1688" s="14">
        <v>94.5</v>
      </c>
      <c r="F1688" s="15" t="s">
        <v>8</v>
      </c>
    </row>
    <row r="1689" spans="1:6" s="1" customFormat="1" ht="17.100000000000001" customHeight="1">
      <c r="A1689" s="16" t="s">
        <v>1695</v>
      </c>
      <c r="B1689" s="17">
        <v>202303074</v>
      </c>
      <c r="C1689" s="17" t="str">
        <f>"202303057007"</f>
        <v>202303057007</v>
      </c>
      <c r="D1689" s="18">
        <v>62.5</v>
      </c>
      <c r="E1689" s="19">
        <v>69.5</v>
      </c>
      <c r="F1689" s="20"/>
    </row>
    <row r="1690" spans="1:6" ht="17.100000000000001" customHeight="1">
      <c r="A1690" s="11" t="s">
        <v>1696</v>
      </c>
      <c r="B1690" s="12">
        <v>202303074</v>
      </c>
      <c r="C1690" s="12" t="str">
        <f>"202303057008"</f>
        <v>202303057008</v>
      </c>
      <c r="D1690" s="13">
        <v>0</v>
      </c>
      <c r="E1690" s="14">
        <v>0</v>
      </c>
      <c r="F1690" s="15" t="s">
        <v>12</v>
      </c>
    </row>
    <row r="1691" spans="1:6" ht="17.100000000000001" customHeight="1">
      <c r="A1691" s="11" t="s">
        <v>1697</v>
      </c>
      <c r="B1691" s="12">
        <v>202303074</v>
      </c>
      <c r="C1691" s="12" t="str">
        <f>"202303057009"</f>
        <v>202303057009</v>
      </c>
      <c r="D1691" s="13">
        <v>70.3</v>
      </c>
      <c r="E1691" s="14">
        <v>83</v>
      </c>
      <c r="F1691" s="15" t="s">
        <v>8</v>
      </c>
    </row>
    <row r="1692" spans="1:6" ht="17.100000000000001" customHeight="1">
      <c r="A1692" s="11" t="s">
        <v>1698</v>
      </c>
      <c r="B1692" s="12">
        <v>202303074</v>
      </c>
      <c r="C1692" s="12" t="str">
        <f>"202303057010"</f>
        <v>202303057010</v>
      </c>
      <c r="D1692" s="13">
        <v>83.6</v>
      </c>
      <c r="E1692" s="14">
        <v>73.5</v>
      </c>
      <c r="F1692" s="15" t="s">
        <v>8</v>
      </c>
    </row>
    <row r="1693" spans="1:6" ht="17.100000000000001" customHeight="1">
      <c r="A1693" s="11" t="s">
        <v>1699</v>
      </c>
      <c r="B1693" s="12">
        <v>202303074</v>
      </c>
      <c r="C1693" s="12" t="str">
        <f>"202303057011"</f>
        <v>202303057011</v>
      </c>
      <c r="D1693" s="13">
        <v>0</v>
      </c>
      <c r="E1693" s="14">
        <v>0</v>
      </c>
      <c r="F1693" s="15" t="s">
        <v>12</v>
      </c>
    </row>
    <row r="1694" spans="1:6" ht="17.100000000000001" customHeight="1">
      <c r="A1694" s="11" t="s">
        <v>1700</v>
      </c>
      <c r="B1694" s="12">
        <v>202303074</v>
      </c>
      <c r="C1694" s="12" t="str">
        <f>"202303057012"</f>
        <v>202303057012</v>
      </c>
      <c r="D1694" s="13">
        <v>95</v>
      </c>
      <c r="E1694" s="14">
        <v>101</v>
      </c>
      <c r="F1694" s="15" t="s">
        <v>8</v>
      </c>
    </row>
    <row r="1695" spans="1:6" ht="17.100000000000001" customHeight="1">
      <c r="A1695" s="11" t="s">
        <v>1701</v>
      </c>
      <c r="B1695" s="12">
        <v>202303074</v>
      </c>
      <c r="C1695" s="12" t="str">
        <f>"202303057013"</f>
        <v>202303057013</v>
      </c>
      <c r="D1695" s="13">
        <v>72.2</v>
      </c>
      <c r="E1695" s="14">
        <v>103</v>
      </c>
      <c r="F1695" s="15" t="s">
        <v>8</v>
      </c>
    </row>
    <row r="1696" spans="1:6" ht="17.100000000000001" customHeight="1">
      <c r="A1696" s="11" t="s">
        <v>1702</v>
      </c>
      <c r="B1696" s="12">
        <v>202303074</v>
      </c>
      <c r="C1696" s="12" t="str">
        <f>"202303057014"</f>
        <v>202303057014</v>
      </c>
      <c r="D1696" s="13">
        <v>59</v>
      </c>
      <c r="E1696" s="14">
        <v>97</v>
      </c>
      <c r="F1696" s="15" t="s">
        <v>8</v>
      </c>
    </row>
    <row r="1697" spans="1:6" ht="17.100000000000001" customHeight="1">
      <c r="A1697" s="11" t="s">
        <v>1703</v>
      </c>
      <c r="B1697" s="12">
        <v>202303075</v>
      </c>
      <c r="C1697" s="12" t="str">
        <f>"202303057015"</f>
        <v>202303057015</v>
      </c>
      <c r="D1697" s="13">
        <v>102.4</v>
      </c>
      <c r="E1697" s="14">
        <v>95</v>
      </c>
      <c r="F1697" s="15" t="s">
        <v>8</v>
      </c>
    </row>
    <row r="1698" spans="1:6" ht="17.100000000000001" customHeight="1">
      <c r="A1698" s="11" t="s">
        <v>1704</v>
      </c>
      <c r="B1698" s="12">
        <v>202303075</v>
      </c>
      <c r="C1698" s="12" t="str">
        <f>"202303057016"</f>
        <v>202303057016</v>
      </c>
      <c r="D1698" s="13">
        <v>0</v>
      </c>
      <c r="E1698" s="14">
        <v>0</v>
      </c>
      <c r="F1698" s="15" t="s">
        <v>12</v>
      </c>
    </row>
    <row r="1699" spans="1:6" ht="17.100000000000001" customHeight="1">
      <c r="A1699" s="11" t="s">
        <v>1705</v>
      </c>
      <c r="B1699" s="12">
        <v>202303075</v>
      </c>
      <c r="C1699" s="12" t="str">
        <f>"202303057017"</f>
        <v>202303057017</v>
      </c>
      <c r="D1699" s="13">
        <v>0</v>
      </c>
      <c r="E1699" s="14">
        <v>0</v>
      </c>
      <c r="F1699" s="15" t="s">
        <v>12</v>
      </c>
    </row>
    <row r="1700" spans="1:6" ht="17.100000000000001" customHeight="1">
      <c r="A1700" s="11" t="s">
        <v>1706</v>
      </c>
      <c r="B1700" s="12">
        <v>202303075</v>
      </c>
      <c r="C1700" s="12" t="str">
        <f>"202303057018"</f>
        <v>202303057018</v>
      </c>
      <c r="D1700" s="13">
        <v>0</v>
      </c>
      <c r="E1700" s="14">
        <v>0</v>
      </c>
      <c r="F1700" s="15" t="s">
        <v>12</v>
      </c>
    </row>
    <row r="1701" spans="1:6" ht="17.100000000000001" customHeight="1">
      <c r="A1701" s="11" t="s">
        <v>1707</v>
      </c>
      <c r="B1701" s="12">
        <v>202303075</v>
      </c>
      <c r="C1701" s="12" t="str">
        <f>"202303057019"</f>
        <v>202303057019</v>
      </c>
      <c r="D1701" s="13">
        <v>65.8</v>
      </c>
      <c r="E1701" s="14">
        <v>96</v>
      </c>
      <c r="F1701" s="15" t="s">
        <v>8</v>
      </c>
    </row>
  </sheetData>
  <mergeCells count="1">
    <mergeCell ref="A1:F1"/>
  </mergeCells>
  <phoneticPr fontId="4" type="noConversion"/>
  <printOptions horizontalCentered="1"/>
  <pageMargins left="0.74803149606299202" right="0.74803149606299202" top="0.59055118110236204" bottom="0.78740157480314998" header="0.511811023622047" footer="0.511811023622047"/>
  <pageSetup paperSize="9" scale="91" fitToHeight="0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笔试成绩</vt:lpstr>
      <vt:lpstr>笔试成绩!Print_Titles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cp:lastPrinted>2023-05-12T07:59:00Z</cp:lastPrinted>
  <dcterms:created xsi:type="dcterms:W3CDTF">2023-04-26T02:41:00Z</dcterms:created>
  <dcterms:modified xsi:type="dcterms:W3CDTF">2023-05-18T02:17:16Z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0C577FE1A8B54A6EAA9A9D5252DABB19_13</vt:lpwstr>
  </property>
  <property fmtid="{D5CDD505-2E9C-101B-9397-08002B2CF9AE}" pid="3" name="KSOProductBuildVer">
    <vt:lpwstr>2052-11.1.0.14309</vt:lpwstr>
  </property>
  <property fmtid="{D5CDD505-2E9C-101B-9397-08002B2CF9AE}" pid="4" name="KSOReadingLayout">
    <vt:bool>false</vt:bool>
  </property>
</Properties>
</file>