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编外幼师\笔试成绩公示\"/>
    </mc:Choice>
  </mc:AlternateContent>
  <bookViews>
    <workbookView xWindow="0" yWindow="0" windowWidth="28800" windowHeight="14340"/>
  </bookViews>
  <sheets>
    <sheet name="Sheet1" sheetId="1" r:id="rId1"/>
  </sheets>
  <definedNames>
    <definedName name="_xlnm._FilterDatabase" localSheetId="0" hidden="1">Sheet1!$3:$1654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H1654" i="1" l="1"/>
  <c r="D1654" i="1"/>
  <c r="C1654" i="1"/>
  <c r="B1654" i="1"/>
  <c r="H1653" i="1"/>
  <c r="D1653" i="1"/>
  <c r="C1653" i="1"/>
  <c r="B1653" i="1"/>
  <c r="H1652" i="1"/>
  <c r="D1652" i="1"/>
  <c r="C1652" i="1"/>
  <c r="B1652" i="1"/>
  <c r="H1651" i="1"/>
  <c r="D1651" i="1"/>
  <c r="C1651" i="1"/>
  <c r="B1651" i="1"/>
  <c r="H1650" i="1"/>
  <c r="D1650" i="1"/>
  <c r="C1650" i="1"/>
  <c r="B1650" i="1"/>
  <c r="H1649" i="1"/>
  <c r="D1649" i="1"/>
  <c r="C1649" i="1"/>
  <c r="B1649" i="1"/>
  <c r="H1648" i="1"/>
  <c r="D1648" i="1"/>
  <c r="C1648" i="1"/>
  <c r="B1648" i="1"/>
  <c r="H1647" i="1"/>
  <c r="D1647" i="1"/>
  <c r="C1647" i="1"/>
  <c r="B1647" i="1"/>
  <c r="H1646" i="1"/>
  <c r="D1646" i="1"/>
  <c r="C1646" i="1"/>
  <c r="B1646" i="1"/>
  <c r="H1645" i="1"/>
  <c r="D1645" i="1"/>
  <c r="C1645" i="1"/>
  <c r="B1645" i="1"/>
  <c r="H1644" i="1"/>
  <c r="D1644" i="1"/>
  <c r="C1644" i="1"/>
  <c r="B1644" i="1"/>
  <c r="H1643" i="1"/>
  <c r="D1643" i="1"/>
  <c r="C1643" i="1"/>
  <c r="B1643" i="1"/>
  <c r="H1642" i="1"/>
  <c r="D1642" i="1"/>
  <c r="C1642" i="1"/>
  <c r="B1642" i="1"/>
  <c r="H1641" i="1"/>
  <c r="D1641" i="1"/>
  <c r="C1641" i="1"/>
  <c r="B1641" i="1"/>
  <c r="H1640" i="1"/>
  <c r="D1640" i="1"/>
  <c r="C1640" i="1"/>
  <c r="B1640" i="1"/>
  <c r="H1639" i="1"/>
  <c r="D1639" i="1"/>
  <c r="C1639" i="1"/>
  <c r="B1639" i="1"/>
  <c r="H1638" i="1"/>
  <c r="D1638" i="1"/>
  <c r="C1638" i="1"/>
  <c r="B1638" i="1"/>
  <c r="H1637" i="1"/>
  <c r="D1637" i="1"/>
  <c r="C1637" i="1"/>
  <c r="B1637" i="1"/>
  <c r="H1636" i="1"/>
  <c r="D1636" i="1"/>
  <c r="C1636" i="1"/>
  <c r="B1636" i="1"/>
  <c r="H1635" i="1"/>
  <c r="D1635" i="1"/>
  <c r="C1635" i="1"/>
  <c r="B1635" i="1"/>
  <c r="H1634" i="1"/>
  <c r="D1634" i="1"/>
  <c r="C1634" i="1"/>
  <c r="B1634" i="1"/>
  <c r="H1633" i="1"/>
  <c r="D1633" i="1"/>
  <c r="C1633" i="1"/>
  <c r="B1633" i="1"/>
  <c r="H1632" i="1"/>
  <c r="D1632" i="1"/>
  <c r="C1632" i="1"/>
  <c r="B1632" i="1"/>
  <c r="H1631" i="1"/>
  <c r="D1631" i="1"/>
  <c r="C1631" i="1"/>
  <c r="B1631" i="1"/>
  <c r="H1630" i="1"/>
  <c r="D1630" i="1"/>
  <c r="C1630" i="1"/>
  <c r="B1630" i="1"/>
  <c r="H1629" i="1"/>
  <c r="D1629" i="1"/>
  <c r="C1629" i="1"/>
  <c r="B1629" i="1"/>
  <c r="H1628" i="1"/>
  <c r="D1628" i="1"/>
  <c r="C1628" i="1"/>
  <c r="B1628" i="1"/>
  <c r="H1627" i="1"/>
  <c r="D1627" i="1"/>
  <c r="C1627" i="1"/>
  <c r="B1627" i="1"/>
  <c r="H1626" i="1"/>
  <c r="D1626" i="1"/>
  <c r="C1626" i="1"/>
  <c r="B1626" i="1"/>
  <c r="H1625" i="1"/>
  <c r="D1625" i="1"/>
  <c r="C1625" i="1"/>
  <c r="B1625" i="1"/>
  <c r="H1624" i="1"/>
  <c r="D1624" i="1"/>
  <c r="C1624" i="1"/>
  <c r="B1624" i="1"/>
  <c r="H1623" i="1"/>
  <c r="D1623" i="1"/>
  <c r="C1623" i="1"/>
  <c r="B1623" i="1"/>
  <c r="H1622" i="1"/>
  <c r="D1622" i="1"/>
  <c r="C1622" i="1"/>
  <c r="B1622" i="1"/>
  <c r="H1621" i="1"/>
  <c r="D1621" i="1"/>
  <c r="C1621" i="1"/>
  <c r="B1621" i="1"/>
  <c r="H1620" i="1"/>
  <c r="D1620" i="1"/>
  <c r="C1620" i="1"/>
  <c r="B1620" i="1"/>
  <c r="H1619" i="1"/>
  <c r="D1619" i="1"/>
  <c r="C1619" i="1"/>
  <c r="B1619" i="1"/>
  <c r="H1618" i="1"/>
  <c r="D1618" i="1"/>
  <c r="C1618" i="1"/>
  <c r="B1618" i="1"/>
  <c r="H1617" i="1"/>
  <c r="D1617" i="1"/>
  <c r="C1617" i="1"/>
  <c r="B1617" i="1"/>
  <c r="H1616" i="1"/>
  <c r="D1616" i="1"/>
  <c r="C1616" i="1"/>
  <c r="B1616" i="1"/>
  <c r="H1615" i="1"/>
  <c r="D1615" i="1"/>
  <c r="C1615" i="1"/>
  <c r="B1615" i="1"/>
  <c r="H1614" i="1"/>
  <c r="D1614" i="1"/>
  <c r="C1614" i="1"/>
  <c r="B1614" i="1"/>
  <c r="H1613" i="1"/>
  <c r="D1613" i="1"/>
  <c r="C1613" i="1"/>
  <c r="B1613" i="1"/>
  <c r="H1612" i="1"/>
  <c r="D1612" i="1"/>
  <c r="C1612" i="1"/>
  <c r="B1612" i="1"/>
  <c r="H1611" i="1"/>
  <c r="D1611" i="1"/>
  <c r="C1611" i="1"/>
  <c r="B1611" i="1"/>
  <c r="H1610" i="1"/>
  <c r="D1610" i="1"/>
  <c r="C1610" i="1"/>
  <c r="B1610" i="1"/>
  <c r="H1609" i="1"/>
  <c r="D1609" i="1"/>
  <c r="C1609" i="1"/>
  <c r="B1609" i="1"/>
  <c r="H1608" i="1"/>
  <c r="D1608" i="1"/>
  <c r="C1608" i="1"/>
  <c r="B1608" i="1"/>
  <c r="H1607" i="1"/>
  <c r="D1607" i="1"/>
  <c r="C1607" i="1"/>
  <c r="B1607" i="1"/>
  <c r="H1606" i="1"/>
  <c r="D1606" i="1"/>
  <c r="C1606" i="1"/>
  <c r="B1606" i="1"/>
  <c r="H1605" i="1"/>
  <c r="D1605" i="1"/>
  <c r="C1605" i="1"/>
  <c r="B1605" i="1"/>
  <c r="H1604" i="1"/>
  <c r="D1604" i="1"/>
  <c r="C1604" i="1"/>
  <c r="B1604" i="1"/>
  <c r="H1603" i="1"/>
  <c r="D1603" i="1"/>
  <c r="C1603" i="1"/>
  <c r="B1603" i="1"/>
  <c r="H1602" i="1"/>
  <c r="D1602" i="1"/>
  <c r="C1602" i="1"/>
  <c r="B1602" i="1"/>
  <c r="H1601" i="1"/>
  <c r="D1601" i="1"/>
  <c r="C1601" i="1"/>
  <c r="B1601" i="1"/>
  <c r="H1600" i="1"/>
  <c r="D1600" i="1"/>
  <c r="C1600" i="1"/>
  <c r="B1600" i="1"/>
  <c r="H1599" i="1"/>
  <c r="D1599" i="1"/>
  <c r="C1599" i="1"/>
  <c r="B1599" i="1"/>
  <c r="H1598" i="1"/>
  <c r="D1598" i="1"/>
  <c r="C1598" i="1"/>
  <c r="B1598" i="1"/>
  <c r="H1597" i="1"/>
  <c r="D1597" i="1"/>
  <c r="C1597" i="1"/>
  <c r="B1597" i="1"/>
  <c r="H1596" i="1"/>
  <c r="D1596" i="1"/>
  <c r="C1596" i="1"/>
  <c r="B1596" i="1"/>
  <c r="H1595" i="1"/>
  <c r="D1595" i="1"/>
  <c r="C1595" i="1"/>
  <c r="B1595" i="1"/>
  <c r="H1594" i="1"/>
  <c r="D1594" i="1"/>
  <c r="C1594" i="1"/>
  <c r="B1594" i="1"/>
  <c r="H1593" i="1"/>
  <c r="D1593" i="1"/>
  <c r="C1593" i="1"/>
  <c r="B1593" i="1"/>
  <c r="H1592" i="1"/>
  <c r="D1592" i="1"/>
  <c r="C1592" i="1"/>
  <c r="B1592" i="1"/>
  <c r="H1591" i="1"/>
  <c r="D1591" i="1"/>
  <c r="C1591" i="1"/>
  <c r="B1591" i="1"/>
  <c r="H1590" i="1"/>
  <c r="D1590" i="1"/>
  <c r="C1590" i="1"/>
  <c r="B1590" i="1"/>
  <c r="H1589" i="1"/>
  <c r="D1589" i="1"/>
  <c r="C1589" i="1"/>
  <c r="B1589" i="1"/>
  <c r="H1588" i="1"/>
  <c r="D1588" i="1"/>
  <c r="C1588" i="1"/>
  <c r="B1588" i="1"/>
  <c r="H1587" i="1"/>
  <c r="D1587" i="1"/>
  <c r="C1587" i="1"/>
  <c r="B1587" i="1"/>
  <c r="H1586" i="1"/>
  <c r="D1586" i="1"/>
  <c r="C1586" i="1"/>
  <c r="B1586" i="1"/>
  <c r="H1585" i="1"/>
  <c r="D1585" i="1"/>
  <c r="C1585" i="1"/>
  <c r="B1585" i="1"/>
  <c r="H1584" i="1"/>
  <c r="D1584" i="1"/>
  <c r="C1584" i="1"/>
  <c r="B1584" i="1"/>
  <c r="H1583" i="1"/>
  <c r="D1583" i="1"/>
  <c r="C1583" i="1"/>
  <c r="B1583" i="1"/>
  <c r="H1582" i="1"/>
  <c r="D1582" i="1"/>
  <c r="C1582" i="1"/>
  <c r="B1582" i="1"/>
  <c r="H1581" i="1"/>
  <c r="D1581" i="1"/>
  <c r="C1581" i="1"/>
  <c r="B1581" i="1"/>
  <c r="H1580" i="1"/>
  <c r="D1580" i="1"/>
  <c r="C1580" i="1"/>
  <c r="B1580" i="1"/>
  <c r="H1579" i="1"/>
  <c r="D1579" i="1"/>
  <c r="C1579" i="1"/>
  <c r="B1579" i="1"/>
  <c r="H1578" i="1"/>
  <c r="D1578" i="1"/>
  <c r="C1578" i="1"/>
  <c r="B1578" i="1"/>
  <c r="H1577" i="1"/>
  <c r="D1577" i="1"/>
  <c r="C1577" i="1"/>
  <c r="B1577" i="1"/>
  <c r="H1576" i="1"/>
  <c r="D1576" i="1"/>
  <c r="C1576" i="1"/>
  <c r="B1576" i="1"/>
  <c r="H1575" i="1"/>
  <c r="D1575" i="1"/>
  <c r="C1575" i="1"/>
  <c r="B1575" i="1"/>
  <c r="H1574" i="1"/>
  <c r="D1574" i="1"/>
  <c r="C1574" i="1"/>
  <c r="B1574" i="1"/>
  <c r="H1573" i="1"/>
  <c r="D1573" i="1"/>
  <c r="C1573" i="1"/>
  <c r="B1573" i="1"/>
  <c r="H1572" i="1"/>
  <c r="D1572" i="1"/>
  <c r="C1572" i="1"/>
  <c r="B1572" i="1"/>
  <c r="H1571" i="1"/>
  <c r="D1571" i="1"/>
  <c r="C1571" i="1"/>
  <c r="B1571" i="1"/>
  <c r="H1570" i="1"/>
  <c r="D1570" i="1"/>
  <c r="C1570" i="1"/>
  <c r="B1570" i="1"/>
  <c r="H1569" i="1"/>
  <c r="D1569" i="1"/>
  <c r="C1569" i="1"/>
  <c r="B1569" i="1"/>
  <c r="H1568" i="1"/>
  <c r="D1568" i="1"/>
  <c r="C1568" i="1"/>
  <c r="B1568" i="1"/>
  <c r="H1567" i="1"/>
  <c r="D1567" i="1"/>
  <c r="C1567" i="1"/>
  <c r="B1567" i="1"/>
  <c r="H1566" i="1"/>
  <c r="D1566" i="1"/>
  <c r="C1566" i="1"/>
  <c r="B1566" i="1"/>
  <c r="H1565" i="1"/>
  <c r="D1565" i="1"/>
  <c r="C1565" i="1"/>
  <c r="B1565" i="1"/>
  <c r="H1564" i="1"/>
  <c r="D1564" i="1"/>
  <c r="C1564" i="1"/>
  <c r="B1564" i="1"/>
  <c r="H1563" i="1"/>
  <c r="D1563" i="1"/>
  <c r="C1563" i="1"/>
  <c r="B1563" i="1"/>
  <c r="H1562" i="1"/>
  <c r="D1562" i="1"/>
  <c r="C1562" i="1"/>
  <c r="B1562" i="1"/>
  <c r="H1561" i="1"/>
  <c r="D1561" i="1"/>
  <c r="C1561" i="1"/>
  <c r="B1561" i="1"/>
  <c r="H1560" i="1"/>
  <c r="D1560" i="1"/>
  <c r="C1560" i="1"/>
  <c r="B1560" i="1"/>
  <c r="H1559" i="1"/>
  <c r="D1559" i="1"/>
  <c r="C1559" i="1"/>
  <c r="B1559" i="1"/>
  <c r="H1558" i="1"/>
  <c r="D1558" i="1"/>
  <c r="C1558" i="1"/>
  <c r="B1558" i="1"/>
  <c r="H1557" i="1"/>
  <c r="D1557" i="1"/>
  <c r="C1557" i="1"/>
  <c r="B1557" i="1"/>
  <c r="H1556" i="1"/>
  <c r="D1556" i="1"/>
  <c r="C1556" i="1"/>
  <c r="B1556" i="1"/>
  <c r="H1555" i="1"/>
  <c r="D1555" i="1"/>
  <c r="C1555" i="1"/>
  <c r="B1555" i="1"/>
  <c r="H1554" i="1"/>
  <c r="D1554" i="1"/>
  <c r="C1554" i="1"/>
  <c r="B1554" i="1"/>
  <c r="H1553" i="1"/>
  <c r="D1553" i="1"/>
  <c r="C1553" i="1"/>
  <c r="B1553" i="1"/>
  <c r="H1552" i="1"/>
  <c r="D1552" i="1"/>
  <c r="C1552" i="1"/>
  <c r="B1552" i="1"/>
  <c r="H1551" i="1"/>
  <c r="D1551" i="1"/>
  <c r="C1551" i="1"/>
  <c r="B1551" i="1"/>
  <c r="H1550" i="1"/>
  <c r="D1550" i="1"/>
  <c r="C1550" i="1"/>
  <c r="B1550" i="1"/>
  <c r="H1549" i="1"/>
  <c r="D1549" i="1"/>
  <c r="C1549" i="1"/>
  <c r="B1549" i="1"/>
  <c r="H1548" i="1"/>
  <c r="D1548" i="1"/>
  <c r="C1548" i="1"/>
  <c r="B1548" i="1"/>
  <c r="H1547" i="1"/>
  <c r="D1547" i="1"/>
  <c r="C1547" i="1"/>
  <c r="B1547" i="1"/>
  <c r="H1546" i="1"/>
  <c r="D1546" i="1"/>
  <c r="C1546" i="1"/>
  <c r="B1546" i="1"/>
  <c r="H1545" i="1"/>
  <c r="D1545" i="1"/>
  <c r="C1545" i="1"/>
  <c r="B1545" i="1"/>
  <c r="H1544" i="1"/>
  <c r="D1544" i="1"/>
  <c r="C1544" i="1"/>
  <c r="B1544" i="1"/>
  <c r="H1543" i="1"/>
  <c r="D1543" i="1"/>
  <c r="C1543" i="1"/>
  <c r="B1543" i="1"/>
  <c r="H1542" i="1"/>
  <c r="D1542" i="1"/>
  <c r="C1542" i="1"/>
  <c r="B1542" i="1"/>
  <c r="H1541" i="1"/>
  <c r="D1541" i="1"/>
  <c r="C1541" i="1"/>
  <c r="B1541" i="1"/>
  <c r="H1540" i="1"/>
  <c r="D1540" i="1"/>
  <c r="C1540" i="1"/>
  <c r="B1540" i="1"/>
  <c r="H1539" i="1"/>
  <c r="D1539" i="1"/>
  <c r="C1539" i="1"/>
  <c r="B1539" i="1"/>
  <c r="H1538" i="1"/>
  <c r="D1538" i="1"/>
  <c r="C1538" i="1"/>
  <c r="B1538" i="1"/>
  <c r="H1537" i="1"/>
  <c r="D1537" i="1"/>
  <c r="C1537" i="1"/>
  <c r="B1537" i="1"/>
  <c r="H1536" i="1"/>
  <c r="D1536" i="1"/>
  <c r="C1536" i="1"/>
  <c r="B1536" i="1"/>
  <c r="H1535" i="1"/>
  <c r="D1535" i="1"/>
  <c r="C1535" i="1"/>
  <c r="B1535" i="1"/>
  <c r="H1534" i="1"/>
  <c r="D1534" i="1"/>
  <c r="C1534" i="1"/>
  <c r="B1534" i="1"/>
  <c r="H1533" i="1"/>
  <c r="D1533" i="1"/>
  <c r="C1533" i="1"/>
  <c r="B1533" i="1"/>
  <c r="H1532" i="1"/>
  <c r="D1532" i="1"/>
  <c r="C1532" i="1"/>
  <c r="B1532" i="1"/>
  <c r="H1531" i="1"/>
  <c r="D1531" i="1"/>
  <c r="C1531" i="1"/>
  <c r="B1531" i="1"/>
  <c r="H1530" i="1"/>
  <c r="D1530" i="1"/>
  <c r="C1530" i="1"/>
  <c r="B1530" i="1"/>
  <c r="H1529" i="1"/>
  <c r="D1529" i="1"/>
  <c r="C1529" i="1"/>
  <c r="B1529" i="1"/>
  <c r="H1528" i="1"/>
  <c r="D1528" i="1"/>
  <c r="C1528" i="1"/>
  <c r="B1528" i="1"/>
  <c r="H1527" i="1"/>
  <c r="D1527" i="1"/>
  <c r="C1527" i="1"/>
  <c r="B1527" i="1"/>
  <c r="H1526" i="1"/>
  <c r="D1526" i="1"/>
  <c r="C1526" i="1"/>
  <c r="B1526" i="1"/>
  <c r="H1525" i="1"/>
  <c r="D1525" i="1"/>
  <c r="C1525" i="1"/>
  <c r="B1525" i="1"/>
  <c r="H1524" i="1"/>
  <c r="D1524" i="1"/>
  <c r="C1524" i="1"/>
  <c r="B1524" i="1"/>
  <c r="H1523" i="1"/>
  <c r="D1523" i="1"/>
  <c r="C1523" i="1"/>
  <c r="B1523" i="1"/>
  <c r="H1522" i="1"/>
  <c r="D1522" i="1"/>
  <c r="C1522" i="1"/>
  <c r="B1522" i="1"/>
  <c r="H1521" i="1"/>
  <c r="D1521" i="1"/>
  <c r="C1521" i="1"/>
  <c r="B1521" i="1"/>
  <c r="H1520" i="1"/>
  <c r="D1520" i="1"/>
  <c r="C1520" i="1"/>
  <c r="B1520" i="1"/>
  <c r="H1519" i="1"/>
  <c r="D1519" i="1"/>
  <c r="C1519" i="1"/>
  <c r="B1519" i="1"/>
  <c r="H1518" i="1"/>
  <c r="D1518" i="1"/>
  <c r="C1518" i="1"/>
  <c r="B1518" i="1"/>
  <c r="H1517" i="1"/>
  <c r="D1517" i="1"/>
  <c r="C1517" i="1"/>
  <c r="B1517" i="1"/>
  <c r="H1516" i="1"/>
  <c r="D1516" i="1"/>
  <c r="C1516" i="1"/>
  <c r="B1516" i="1"/>
  <c r="H1515" i="1"/>
  <c r="D1515" i="1"/>
  <c r="C1515" i="1"/>
  <c r="B1515" i="1"/>
  <c r="H1514" i="1"/>
  <c r="D1514" i="1"/>
  <c r="C1514" i="1"/>
  <c r="B1514" i="1"/>
  <c r="H1513" i="1"/>
  <c r="D1513" i="1"/>
  <c r="C1513" i="1"/>
  <c r="B1513" i="1"/>
  <c r="H1512" i="1"/>
  <c r="D1512" i="1"/>
  <c r="C1512" i="1"/>
  <c r="B1512" i="1"/>
  <c r="H1511" i="1"/>
  <c r="D1511" i="1"/>
  <c r="C1511" i="1"/>
  <c r="B1511" i="1"/>
  <c r="H1510" i="1"/>
  <c r="D1510" i="1"/>
  <c r="C1510" i="1"/>
  <c r="B1510" i="1"/>
  <c r="H1509" i="1"/>
  <c r="D1509" i="1"/>
  <c r="C1509" i="1"/>
  <c r="B1509" i="1"/>
  <c r="H1508" i="1"/>
  <c r="D1508" i="1"/>
  <c r="C1508" i="1"/>
  <c r="B1508" i="1"/>
  <c r="H1507" i="1"/>
  <c r="D1507" i="1"/>
  <c r="C1507" i="1"/>
  <c r="B1507" i="1"/>
  <c r="H1506" i="1"/>
  <c r="D1506" i="1"/>
  <c r="C1506" i="1"/>
  <c r="B1506" i="1"/>
  <c r="H1505" i="1"/>
  <c r="D1505" i="1"/>
  <c r="C1505" i="1"/>
  <c r="B1505" i="1"/>
  <c r="H1504" i="1"/>
  <c r="D1504" i="1"/>
  <c r="C1504" i="1"/>
  <c r="B1504" i="1"/>
  <c r="H1503" i="1"/>
  <c r="D1503" i="1"/>
  <c r="C1503" i="1"/>
  <c r="B1503" i="1"/>
  <c r="H1502" i="1"/>
  <c r="D1502" i="1"/>
  <c r="C1502" i="1"/>
  <c r="B1502" i="1"/>
  <c r="H1501" i="1"/>
  <c r="D1501" i="1"/>
  <c r="C1501" i="1"/>
  <c r="B1501" i="1"/>
  <c r="H1500" i="1"/>
  <c r="D1500" i="1"/>
  <c r="C1500" i="1"/>
  <c r="B1500" i="1"/>
  <c r="H1499" i="1"/>
  <c r="D1499" i="1"/>
  <c r="C1499" i="1"/>
  <c r="B1499" i="1"/>
  <c r="H1498" i="1"/>
  <c r="D1498" i="1"/>
  <c r="C1498" i="1"/>
  <c r="B1498" i="1"/>
  <c r="H1497" i="1"/>
  <c r="D1497" i="1"/>
  <c r="C1497" i="1"/>
  <c r="B1497" i="1"/>
  <c r="H1496" i="1"/>
  <c r="D1496" i="1"/>
  <c r="C1496" i="1"/>
  <c r="B1496" i="1"/>
  <c r="H1495" i="1"/>
  <c r="D1495" i="1"/>
  <c r="C1495" i="1"/>
  <c r="B1495" i="1"/>
  <c r="H1494" i="1"/>
  <c r="D1494" i="1"/>
  <c r="C1494" i="1"/>
  <c r="B1494" i="1"/>
  <c r="H1493" i="1"/>
  <c r="D1493" i="1"/>
  <c r="C1493" i="1"/>
  <c r="B1493" i="1"/>
  <c r="H1492" i="1"/>
  <c r="D1492" i="1"/>
  <c r="C1492" i="1"/>
  <c r="B1492" i="1"/>
  <c r="H1491" i="1"/>
  <c r="D1491" i="1"/>
  <c r="C1491" i="1"/>
  <c r="B1491" i="1"/>
  <c r="H1490" i="1"/>
  <c r="D1490" i="1"/>
  <c r="C1490" i="1"/>
  <c r="B1490" i="1"/>
  <c r="H1489" i="1"/>
  <c r="D1489" i="1"/>
  <c r="C1489" i="1"/>
  <c r="B1489" i="1"/>
  <c r="H1488" i="1"/>
  <c r="D1488" i="1"/>
  <c r="C1488" i="1"/>
  <c r="B1488" i="1"/>
  <c r="H1487" i="1"/>
  <c r="D1487" i="1"/>
  <c r="C1487" i="1"/>
  <c r="B1487" i="1"/>
  <c r="H1486" i="1"/>
  <c r="D1486" i="1"/>
  <c r="C1486" i="1"/>
  <c r="B1486" i="1"/>
  <c r="H1485" i="1"/>
  <c r="D1485" i="1"/>
  <c r="C1485" i="1"/>
  <c r="B1485" i="1"/>
  <c r="H1484" i="1"/>
  <c r="D1484" i="1"/>
  <c r="C1484" i="1"/>
  <c r="B1484" i="1"/>
  <c r="H1483" i="1"/>
  <c r="D1483" i="1"/>
  <c r="C1483" i="1"/>
  <c r="B1483" i="1"/>
  <c r="H1482" i="1"/>
  <c r="D1482" i="1"/>
  <c r="C1482" i="1"/>
  <c r="B1482" i="1"/>
  <c r="H1481" i="1"/>
  <c r="D1481" i="1"/>
  <c r="C1481" i="1"/>
  <c r="B1481" i="1"/>
  <c r="H1480" i="1"/>
  <c r="D1480" i="1"/>
  <c r="C1480" i="1"/>
  <c r="B1480" i="1"/>
  <c r="H1479" i="1"/>
  <c r="D1479" i="1"/>
  <c r="C1479" i="1"/>
  <c r="B1479" i="1"/>
  <c r="H1478" i="1"/>
  <c r="D1478" i="1"/>
  <c r="C1478" i="1"/>
  <c r="B1478" i="1"/>
  <c r="H1477" i="1"/>
  <c r="D1477" i="1"/>
  <c r="C1477" i="1"/>
  <c r="B1477" i="1"/>
  <c r="H1476" i="1"/>
  <c r="D1476" i="1"/>
  <c r="C1476" i="1"/>
  <c r="B1476" i="1"/>
  <c r="H1475" i="1"/>
  <c r="D1475" i="1"/>
  <c r="C1475" i="1"/>
  <c r="B1475" i="1"/>
  <c r="H1474" i="1"/>
  <c r="D1474" i="1"/>
  <c r="C1474" i="1"/>
  <c r="B1474" i="1"/>
  <c r="H1473" i="1"/>
  <c r="D1473" i="1"/>
  <c r="C1473" i="1"/>
  <c r="B1473" i="1"/>
  <c r="H1472" i="1"/>
  <c r="D1472" i="1"/>
  <c r="C1472" i="1"/>
  <c r="B1472" i="1"/>
  <c r="H1471" i="1"/>
  <c r="D1471" i="1"/>
  <c r="C1471" i="1"/>
  <c r="B1471" i="1"/>
  <c r="H1470" i="1"/>
  <c r="D1470" i="1"/>
  <c r="C1470" i="1"/>
  <c r="B1470" i="1"/>
  <c r="H1469" i="1"/>
  <c r="D1469" i="1"/>
  <c r="C1469" i="1"/>
  <c r="B1469" i="1"/>
  <c r="H1468" i="1"/>
  <c r="D1468" i="1"/>
  <c r="C1468" i="1"/>
  <c r="B1468" i="1"/>
  <c r="H1467" i="1"/>
  <c r="D1467" i="1"/>
  <c r="C1467" i="1"/>
  <c r="B1467" i="1"/>
  <c r="H1466" i="1"/>
  <c r="D1466" i="1"/>
  <c r="C1466" i="1"/>
  <c r="B1466" i="1"/>
  <c r="H1465" i="1"/>
  <c r="D1465" i="1"/>
  <c r="C1465" i="1"/>
  <c r="B1465" i="1"/>
  <c r="H1464" i="1"/>
  <c r="D1464" i="1"/>
  <c r="C1464" i="1"/>
  <c r="B1464" i="1"/>
  <c r="H1463" i="1"/>
  <c r="D1463" i="1"/>
  <c r="C1463" i="1"/>
  <c r="B1463" i="1"/>
  <c r="H1462" i="1"/>
  <c r="D1462" i="1"/>
  <c r="C1462" i="1"/>
  <c r="B1462" i="1"/>
  <c r="H1461" i="1"/>
  <c r="D1461" i="1"/>
  <c r="C1461" i="1"/>
  <c r="B1461" i="1"/>
  <c r="H1460" i="1"/>
  <c r="D1460" i="1"/>
  <c r="C1460" i="1"/>
  <c r="B1460" i="1"/>
  <c r="H1459" i="1"/>
  <c r="D1459" i="1"/>
  <c r="C1459" i="1"/>
  <c r="B1459" i="1"/>
  <c r="H1458" i="1"/>
  <c r="D1458" i="1"/>
  <c r="C1458" i="1"/>
  <c r="B1458" i="1"/>
  <c r="H1457" i="1"/>
  <c r="D1457" i="1"/>
  <c r="C1457" i="1"/>
  <c r="B1457" i="1"/>
  <c r="H1456" i="1"/>
  <c r="D1456" i="1"/>
  <c r="C1456" i="1"/>
  <c r="B1456" i="1"/>
  <c r="H1455" i="1"/>
  <c r="D1455" i="1"/>
  <c r="C1455" i="1"/>
  <c r="B1455" i="1"/>
  <c r="H1454" i="1"/>
  <c r="D1454" i="1"/>
  <c r="C1454" i="1"/>
  <c r="B1454" i="1"/>
  <c r="H1453" i="1"/>
  <c r="D1453" i="1"/>
  <c r="C1453" i="1"/>
  <c r="B1453" i="1"/>
  <c r="H1452" i="1"/>
  <c r="D1452" i="1"/>
  <c r="C1452" i="1"/>
  <c r="B1452" i="1"/>
  <c r="H1451" i="1"/>
  <c r="D1451" i="1"/>
  <c r="C1451" i="1"/>
  <c r="B1451" i="1"/>
  <c r="H1450" i="1"/>
  <c r="D1450" i="1"/>
  <c r="C1450" i="1"/>
  <c r="B1450" i="1"/>
  <c r="H1449" i="1"/>
  <c r="D1449" i="1"/>
  <c r="C1449" i="1"/>
  <c r="B1449" i="1"/>
  <c r="H1448" i="1"/>
  <c r="D1448" i="1"/>
  <c r="C1448" i="1"/>
  <c r="B1448" i="1"/>
  <c r="H1447" i="1"/>
  <c r="D1447" i="1"/>
  <c r="C1447" i="1"/>
  <c r="B1447" i="1"/>
  <c r="H1446" i="1"/>
  <c r="D1446" i="1"/>
  <c r="C1446" i="1"/>
  <c r="B1446" i="1"/>
  <c r="H1445" i="1"/>
  <c r="D1445" i="1"/>
  <c r="C1445" i="1"/>
  <c r="B1445" i="1"/>
  <c r="H1444" i="1"/>
  <c r="D1444" i="1"/>
  <c r="C1444" i="1"/>
  <c r="B1444" i="1"/>
  <c r="H1443" i="1"/>
  <c r="D1443" i="1"/>
  <c r="C1443" i="1"/>
  <c r="B1443" i="1"/>
  <c r="H1442" i="1"/>
  <c r="D1442" i="1"/>
  <c r="C1442" i="1"/>
  <c r="B1442" i="1"/>
  <c r="H1441" i="1"/>
  <c r="D1441" i="1"/>
  <c r="C1441" i="1"/>
  <c r="B1441" i="1"/>
  <c r="H1440" i="1"/>
  <c r="D1440" i="1"/>
  <c r="C1440" i="1"/>
  <c r="B1440" i="1"/>
  <c r="H1439" i="1"/>
  <c r="D1439" i="1"/>
  <c r="C1439" i="1"/>
  <c r="B1439" i="1"/>
  <c r="H1438" i="1"/>
  <c r="D1438" i="1"/>
  <c r="C1438" i="1"/>
  <c r="B1438" i="1"/>
  <c r="H1437" i="1"/>
  <c r="D1437" i="1"/>
  <c r="C1437" i="1"/>
  <c r="B1437" i="1"/>
  <c r="H1436" i="1"/>
  <c r="D1436" i="1"/>
  <c r="C1436" i="1"/>
  <c r="B1436" i="1"/>
  <c r="H1435" i="1"/>
  <c r="D1435" i="1"/>
  <c r="C1435" i="1"/>
  <c r="B1435" i="1"/>
  <c r="H1434" i="1"/>
  <c r="D1434" i="1"/>
  <c r="C1434" i="1"/>
  <c r="B1434" i="1"/>
  <c r="H1433" i="1"/>
  <c r="D1433" i="1"/>
  <c r="C1433" i="1"/>
  <c r="B1433" i="1"/>
  <c r="H1432" i="1"/>
  <c r="D1432" i="1"/>
  <c r="C1432" i="1"/>
  <c r="B1432" i="1"/>
  <c r="H1431" i="1"/>
  <c r="D1431" i="1"/>
  <c r="C1431" i="1"/>
  <c r="B1431" i="1"/>
  <c r="H1430" i="1"/>
  <c r="D1430" i="1"/>
  <c r="C1430" i="1"/>
  <c r="B1430" i="1"/>
  <c r="H1429" i="1"/>
  <c r="D1429" i="1"/>
  <c r="C1429" i="1"/>
  <c r="B1429" i="1"/>
  <c r="H1428" i="1"/>
  <c r="D1428" i="1"/>
  <c r="C1428" i="1"/>
  <c r="B1428" i="1"/>
  <c r="H1427" i="1"/>
  <c r="D1427" i="1"/>
  <c r="C1427" i="1"/>
  <c r="B1427" i="1"/>
  <c r="H1426" i="1"/>
  <c r="D1426" i="1"/>
  <c r="C1426" i="1"/>
  <c r="B1426" i="1"/>
  <c r="H1425" i="1"/>
  <c r="D1425" i="1"/>
  <c r="C1425" i="1"/>
  <c r="B1425" i="1"/>
  <c r="H1424" i="1"/>
  <c r="D1424" i="1"/>
  <c r="C1424" i="1"/>
  <c r="B1424" i="1"/>
  <c r="H1423" i="1"/>
  <c r="D1423" i="1"/>
  <c r="C1423" i="1"/>
  <c r="B1423" i="1"/>
  <c r="H1422" i="1"/>
  <c r="D1422" i="1"/>
  <c r="C1422" i="1"/>
  <c r="B1422" i="1"/>
  <c r="H1421" i="1"/>
  <c r="D1421" i="1"/>
  <c r="C1421" i="1"/>
  <c r="B1421" i="1"/>
  <c r="H1420" i="1"/>
  <c r="D1420" i="1"/>
  <c r="C1420" i="1"/>
  <c r="B1420" i="1"/>
  <c r="H1419" i="1"/>
  <c r="D1419" i="1"/>
  <c r="C1419" i="1"/>
  <c r="B1419" i="1"/>
  <c r="H1418" i="1"/>
  <c r="D1418" i="1"/>
  <c r="C1418" i="1"/>
  <c r="B1418" i="1"/>
  <c r="H1417" i="1"/>
  <c r="D1417" i="1"/>
  <c r="C1417" i="1"/>
  <c r="B1417" i="1"/>
  <c r="H1416" i="1"/>
  <c r="D1416" i="1"/>
  <c r="C1416" i="1"/>
  <c r="B1416" i="1"/>
  <c r="H1415" i="1"/>
  <c r="D1415" i="1"/>
  <c r="C1415" i="1"/>
  <c r="B1415" i="1"/>
  <c r="H1414" i="1"/>
  <c r="D1414" i="1"/>
  <c r="C1414" i="1"/>
  <c r="B1414" i="1"/>
  <c r="H1413" i="1"/>
  <c r="D1413" i="1"/>
  <c r="C1413" i="1"/>
  <c r="B1413" i="1"/>
  <c r="H1412" i="1"/>
  <c r="D1412" i="1"/>
  <c r="C1412" i="1"/>
  <c r="B1412" i="1"/>
  <c r="H1411" i="1"/>
  <c r="D1411" i="1"/>
  <c r="C1411" i="1"/>
  <c r="B1411" i="1"/>
  <c r="H1410" i="1"/>
  <c r="D1410" i="1"/>
  <c r="C1410" i="1"/>
  <c r="B1410" i="1"/>
  <c r="H1409" i="1"/>
  <c r="D1409" i="1"/>
  <c r="C1409" i="1"/>
  <c r="B1409" i="1"/>
  <c r="H1408" i="1"/>
  <c r="D1408" i="1"/>
  <c r="C1408" i="1"/>
  <c r="B1408" i="1"/>
  <c r="H1407" i="1"/>
  <c r="D1407" i="1"/>
  <c r="C1407" i="1"/>
  <c r="B1407" i="1"/>
  <c r="H1406" i="1"/>
  <c r="D1406" i="1"/>
  <c r="C1406" i="1"/>
  <c r="B1406" i="1"/>
  <c r="H1405" i="1"/>
  <c r="D1405" i="1"/>
  <c r="C1405" i="1"/>
  <c r="B1405" i="1"/>
  <c r="H1404" i="1"/>
  <c r="D1404" i="1"/>
  <c r="C1404" i="1"/>
  <c r="B1404" i="1"/>
  <c r="H1403" i="1"/>
  <c r="D1403" i="1"/>
  <c r="C1403" i="1"/>
  <c r="B1403" i="1"/>
  <c r="H1402" i="1"/>
  <c r="D1402" i="1"/>
  <c r="C1402" i="1"/>
  <c r="B1402" i="1"/>
  <c r="H1401" i="1"/>
  <c r="D1401" i="1"/>
  <c r="C1401" i="1"/>
  <c r="B1401" i="1"/>
  <c r="H1400" i="1"/>
  <c r="D1400" i="1"/>
  <c r="C1400" i="1"/>
  <c r="B1400" i="1"/>
  <c r="H1399" i="1"/>
  <c r="D1399" i="1"/>
  <c r="C1399" i="1"/>
  <c r="B1399" i="1"/>
  <c r="H1398" i="1"/>
  <c r="D1398" i="1"/>
  <c r="C1398" i="1"/>
  <c r="B1398" i="1"/>
  <c r="H1397" i="1"/>
  <c r="D1397" i="1"/>
  <c r="C1397" i="1"/>
  <c r="B1397" i="1"/>
  <c r="H1396" i="1"/>
  <c r="D1396" i="1"/>
  <c r="C1396" i="1"/>
  <c r="B1396" i="1"/>
  <c r="H1395" i="1"/>
  <c r="D1395" i="1"/>
  <c r="C1395" i="1"/>
  <c r="B1395" i="1"/>
  <c r="H1394" i="1"/>
  <c r="D1394" i="1"/>
  <c r="C1394" i="1"/>
  <c r="B1394" i="1"/>
  <c r="H1393" i="1"/>
  <c r="D1393" i="1"/>
  <c r="C1393" i="1"/>
  <c r="B1393" i="1"/>
  <c r="H1392" i="1"/>
  <c r="D1392" i="1"/>
  <c r="C1392" i="1"/>
  <c r="B1392" i="1"/>
  <c r="H1391" i="1"/>
  <c r="D1391" i="1"/>
  <c r="C1391" i="1"/>
  <c r="B1391" i="1"/>
  <c r="H1390" i="1"/>
  <c r="D1390" i="1"/>
  <c r="C1390" i="1"/>
  <c r="B1390" i="1"/>
  <c r="H1389" i="1"/>
  <c r="D1389" i="1"/>
  <c r="C1389" i="1"/>
  <c r="B1389" i="1"/>
  <c r="H1388" i="1"/>
  <c r="D1388" i="1"/>
  <c r="C1388" i="1"/>
  <c r="B1388" i="1"/>
  <c r="H1387" i="1"/>
  <c r="D1387" i="1"/>
  <c r="C1387" i="1"/>
  <c r="B1387" i="1"/>
  <c r="H1386" i="1"/>
  <c r="D1386" i="1"/>
  <c r="C1386" i="1"/>
  <c r="B1386" i="1"/>
  <c r="H1385" i="1"/>
  <c r="D1385" i="1"/>
  <c r="C1385" i="1"/>
  <c r="B1385" i="1"/>
  <c r="H1384" i="1"/>
  <c r="D1384" i="1"/>
  <c r="C1384" i="1"/>
  <c r="B1384" i="1"/>
  <c r="H1383" i="1"/>
  <c r="D1383" i="1"/>
  <c r="C1383" i="1"/>
  <c r="B1383" i="1"/>
  <c r="H1382" i="1"/>
  <c r="D1382" i="1"/>
  <c r="C1382" i="1"/>
  <c r="B1382" i="1"/>
  <c r="H1381" i="1"/>
  <c r="D1381" i="1"/>
  <c r="C1381" i="1"/>
  <c r="B1381" i="1"/>
  <c r="H1380" i="1"/>
  <c r="D1380" i="1"/>
  <c r="C1380" i="1"/>
  <c r="B1380" i="1"/>
  <c r="H1379" i="1"/>
  <c r="D1379" i="1"/>
  <c r="C1379" i="1"/>
  <c r="B1379" i="1"/>
  <c r="H1378" i="1"/>
  <c r="D1378" i="1"/>
  <c r="C1378" i="1"/>
  <c r="B1378" i="1"/>
  <c r="H1377" i="1"/>
  <c r="D1377" i="1"/>
  <c r="C1377" i="1"/>
  <c r="B1377" i="1"/>
  <c r="H1376" i="1"/>
  <c r="D1376" i="1"/>
  <c r="C1376" i="1"/>
  <c r="B1376" i="1"/>
  <c r="H1375" i="1"/>
  <c r="D1375" i="1"/>
  <c r="C1375" i="1"/>
  <c r="B1375" i="1"/>
  <c r="H1374" i="1"/>
  <c r="D1374" i="1"/>
  <c r="C1374" i="1"/>
  <c r="B1374" i="1"/>
  <c r="H1373" i="1"/>
  <c r="D1373" i="1"/>
  <c r="C1373" i="1"/>
  <c r="B1373" i="1"/>
  <c r="H1372" i="1"/>
  <c r="D1372" i="1"/>
  <c r="C1372" i="1"/>
  <c r="B1372" i="1"/>
  <c r="H1371" i="1"/>
  <c r="D1371" i="1"/>
  <c r="C1371" i="1"/>
  <c r="B1371" i="1"/>
  <c r="H1370" i="1"/>
  <c r="D1370" i="1"/>
  <c r="C1370" i="1"/>
  <c r="B1370" i="1"/>
  <c r="H1369" i="1"/>
  <c r="D1369" i="1"/>
  <c r="C1369" i="1"/>
  <c r="B1369" i="1"/>
  <c r="H1368" i="1"/>
  <c r="D1368" i="1"/>
  <c r="C1368" i="1"/>
  <c r="B1368" i="1"/>
  <c r="H1367" i="1"/>
  <c r="D1367" i="1"/>
  <c r="C1367" i="1"/>
  <c r="B1367" i="1"/>
  <c r="H1366" i="1"/>
  <c r="D1366" i="1"/>
  <c r="C1366" i="1"/>
  <c r="B1366" i="1"/>
  <c r="H1365" i="1"/>
  <c r="D1365" i="1"/>
  <c r="C1365" i="1"/>
  <c r="B1365" i="1"/>
  <c r="H1364" i="1"/>
  <c r="D1364" i="1"/>
  <c r="C1364" i="1"/>
  <c r="B1364" i="1"/>
  <c r="H1363" i="1"/>
  <c r="D1363" i="1"/>
  <c r="C1363" i="1"/>
  <c r="B1363" i="1"/>
  <c r="H1362" i="1"/>
  <c r="D1362" i="1"/>
  <c r="C1362" i="1"/>
  <c r="B1362" i="1"/>
  <c r="H1361" i="1"/>
  <c r="D1361" i="1"/>
  <c r="C1361" i="1"/>
  <c r="B1361" i="1"/>
  <c r="H1360" i="1"/>
  <c r="D1360" i="1"/>
  <c r="C1360" i="1"/>
  <c r="B1360" i="1"/>
  <c r="H1359" i="1"/>
  <c r="D1359" i="1"/>
  <c r="C1359" i="1"/>
  <c r="B1359" i="1"/>
  <c r="H1358" i="1"/>
  <c r="D1358" i="1"/>
  <c r="C1358" i="1"/>
  <c r="B1358" i="1"/>
  <c r="H1357" i="1"/>
  <c r="D1357" i="1"/>
  <c r="C1357" i="1"/>
  <c r="B1357" i="1"/>
  <c r="H1356" i="1"/>
  <c r="D1356" i="1"/>
  <c r="C1356" i="1"/>
  <c r="B1356" i="1"/>
  <c r="H1355" i="1"/>
  <c r="D1355" i="1"/>
  <c r="C1355" i="1"/>
  <c r="B1355" i="1"/>
  <c r="H1354" i="1"/>
  <c r="D1354" i="1"/>
  <c r="C1354" i="1"/>
  <c r="B1354" i="1"/>
  <c r="H1353" i="1"/>
  <c r="D1353" i="1"/>
  <c r="C1353" i="1"/>
  <c r="B1353" i="1"/>
  <c r="H1352" i="1"/>
  <c r="D1352" i="1"/>
  <c r="C1352" i="1"/>
  <c r="B1352" i="1"/>
  <c r="H1351" i="1"/>
  <c r="D1351" i="1"/>
  <c r="C1351" i="1"/>
  <c r="B1351" i="1"/>
  <c r="H1350" i="1"/>
  <c r="D1350" i="1"/>
  <c r="C1350" i="1"/>
  <c r="B1350" i="1"/>
  <c r="H1349" i="1"/>
  <c r="D1349" i="1"/>
  <c r="C1349" i="1"/>
  <c r="B1349" i="1"/>
  <c r="H1348" i="1"/>
  <c r="D1348" i="1"/>
  <c r="C1348" i="1"/>
  <c r="B1348" i="1"/>
  <c r="H1347" i="1"/>
  <c r="D1347" i="1"/>
  <c r="C1347" i="1"/>
  <c r="B1347" i="1"/>
  <c r="H1346" i="1"/>
  <c r="D1346" i="1"/>
  <c r="C1346" i="1"/>
  <c r="B1346" i="1"/>
  <c r="H1345" i="1"/>
  <c r="D1345" i="1"/>
  <c r="C1345" i="1"/>
  <c r="B1345" i="1"/>
  <c r="H1344" i="1"/>
  <c r="D1344" i="1"/>
  <c r="C1344" i="1"/>
  <c r="B1344" i="1"/>
  <c r="H1343" i="1"/>
  <c r="D1343" i="1"/>
  <c r="C1343" i="1"/>
  <c r="B1343" i="1"/>
  <c r="H1342" i="1"/>
  <c r="D1342" i="1"/>
  <c r="C1342" i="1"/>
  <c r="B1342" i="1"/>
  <c r="H1341" i="1"/>
  <c r="D1341" i="1"/>
  <c r="C1341" i="1"/>
  <c r="B1341" i="1"/>
  <c r="H1340" i="1"/>
  <c r="D1340" i="1"/>
  <c r="C1340" i="1"/>
  <c r="B1340" i="1"/>
  <c r="H1339" i="1"/>
  <c r="D1339" i="1"/>
  <c r="C1339" i="1"/>
  <c r="B1339" i="1"/>
  <c r="H1338" i="1"/>
  <c r="D1338" i="1"/>
  <c r="C1338" i="1"/>
  <c r="B1338" i="1"/>
  <c r="H1337" i="1"/>
  <c r="D1337" i="1"/>
  <c r="C1337" i="1"/>
  <c r="B1337" i="1"/>
  <c r="H1336" i="1"/>
  <c r="D1336" i="1"/>
  <c r="C1336" i="1"/>
  <c r="B1336" i="1"/>
  <c r="H1335" i="1"/>
  <c r="D1335" i="1"/>
  <c r="C1335" i="1"/>
  <c r="B1335" i="1"/>
  <c r="H1334" i="1"/>
  <c r="D1334" i="1"/>
  <c r="C1334" i="1"/>
  <c r="B1334" i="1"/>
  <c r="H1333" i="1"/>
  <c r="D1333" i="1"/>
  <c r="C1333" i="1"/>
  <c r="B1333" i="1"/>
  <c r="H1332" i="1"/>
  <c r="D1332" i="1"/>
  <c r="C1332" i="1"/>
  <c r="B1332" i="1"/>
  <c r="H1331" i="1"/>
  <c r="D1331" i="1"/>
  <c r="C1331" i="1"/>
  <c r="B1331" i="1"/>
  <c r="H1330" i="1"/>
  <c r="D1330" i="1"/>
  <c r="C1330" i="1"/>
  <c r="B1330" i="1"/>
  <c r="H1329" i="1"/>
  <c r="D1329" i="1"/>
  <c r="C1329" i="1"/>
  <c r="B1329" i="1"/>
  <c r="H1328" i="1"/>
  <c r="D1328" i="1"/>
  <c r="C1328" i="1"/>
  <c r="B1328" i="1"/>
  <c r="H1327" i="1"/>
  <c r="D1327" i="1"/>
  <c r="C1327" i="1"/>
  <c r="B1327" i="1"/>
  <c r="H1326" i="1"/>
  <c r="D1326" i="1"/>
  <c r="C1326" i="1"/>
  <c r="B1326" i="1"/>
  <c r="H1325" i="1"/>
  <c r="D1325" i="1"/>
  <c r="C1325" i="1"/>
  <c r="B1325" i="1"/>
  <c r="H1324" i="1"/>
  <c r="D1324" i="1"/>
  <c r="C1324" i="1"/>
  <c r="B1324" i="1"/>
  <c r="H1323" i="1"/>
  <c r="D1323" i="1"/>
  <c r="C1323" i="1"/>
  <c r="B1323" i="1"/>
  <c r="H1322" i="1"/>
  <c r="D1322" i="1"/>
  <c r="C1322" i="1"/>
  <c r="B1322" i="1"/>
  <c r="H1321" i="1"/>
  <c r="D1321" i="1"/>
  <c r="C1321" i="1"/>
  <c r="B1321" i="1"/>
  <c r="H1320" i="1"/>
  <c r="D1320" i="1"/>
  <c r="C1320" i="1"/>
  <c r="B1320" i="1"/>
  <c r="H1319" i="1"/>
  <c r="D1319" i="1"/>
  <c r="C1319" i="1"/>
  <c r="B1319" i="1"/>
  <c r="H1318" i="1"/>
  <c r="D1318" i="1"/>
  <c r="C1318" i="1"/>
  <c r="B1318" i="1"/>
  <c r="H1317" i="1"/>
  <c r="D1317" i="1"/>
  <c r="C1317" i="1"/>
  <c r="B1317" i="1"/>
  <c r="H1316" i="1"/>
  <c r="D1316" i="1"/>
  <c r="C1316" i="1"/>
  <c r="B1316" i="1"/>
  <c r="H1315" i="1"/>
  <c r="D1315" i="1"/>
  <c r="C1315" i="1"/>
  <c r="B1315" i="1"/>
  <c r="H1314" i="1"/>
  <c r="D1314" i="1"/>
  <c r="C1314" i="1"/>
  <c r="B1314" i="1"/>
  <c r="H1313" i="1"/>
  <c r="D1313" i="1"/>
  <c r="C1313" i="1"/>
  <c r="B1313" i="1"/>
  <c r="H1312" i="1"/>
  <c r="D1312" i="1"/>
  <c r="C1312" i="1"/>
  <c r="B1312" i="1"/>
  <c r="H1311" i="1"/>
  <c r="D1311" i="1"/>
  <c r="C1311" i="1"/>
  <c r="B1311" i="1"/>
  <c r="H1310" i="1"/>
  <c r="D1310" i="1"/>
  <c r="C1310" i="1"/>
  <c r="B1310" i="1"/>
  <c r="H1309" i="1"/>
  <c r="D1309" i="1"/>
  <c r="C1309" i="1"/>
  <c r="B1309" i="1"/>
  <c r="H1308" i="1"/>
  <c r="D1308" i="1"/>
  <c r="C1308" i="1"/>
  <c r="B1308" i="1"/>
  <c r="H1307" i="1"/>
  <c r="D1307" i="1"/>
  <c r="C1307" i="1"/>
  <c r="B1307" i="1"/>
  <c r="H1306" i="1"/>
  <c r="D1306" i="1"/>
  <c r="C1306" i="1"/>
  <c r="B1306" i="1"/>
  <c r="H1305" i="1"/>
  <c r="D1305" i="1"/>
  <c r="C1305" i="1"/>
  <c r="B1305" i="1"/>
  <c r="H1304" i="1"/>
  <c r="D1304" i="1"/>
  <c r="C1304" i="1"/>
  <c r="B1304" i="1"/>
  <c r="H1303" i="1"/>
  <c r="D1303" i="1"/>
  <c r="C1303" i="1"/>
  <c r="B1303" i="1"/>
  <c r="H1302" i="1"/>
  <c r="D1302" i="1"/>
  <c r="C1302" i="1"/>
  <c r="B1302" i="1"/>
  <c r="H1301" i="1"/>
  <c r="D1301" i="1"/>
  <c r="C1301" i="1"/>
  <c r="B1301" i="1"/>
  <c r="H1300" i="1"/>
  <c r="D1300" i="1"/>
  <c r="C1300" i="1"/>
  <c r="B1300" i="1"/>
  <c r="H1299" i="1"/>
  <c r="D1299" i="1"/>
  <c r="C1299" i="1"/>
  <c r="B1299" i="1"/>
  <c r="H1298" i="1"/>
  <c r="D1298" i="1"/>
  <c r="C1298" i="1"/>
  <c r="B1298" i="1"/>
  <c r="H1297" i="1"/>
  <c r="D1297" i="1"/>
  <c r="C1297" i="1"/>
  <c r="B1297" i="1"/>
  <c r="H1296" i="1"/>
  <c r="D1296" i="1"/>
  <c r="C1296" i="1"/>
  <c r="B1296" i="1"/>
  <c r="H1295" i="1"/>
  <c r="D1295" i="1"/>
  <c r="C1295" i="1"/>
  <c r="B1295" i="1"/>
  <c r="H1294" i="1"/>
  <c r="D1294" i="1"/>
  <c r="C1294" i="1"/>
  <c r="B1294" i="1"/>
  <c r="H1293" i="1"/>
  <c r="D1293" i="1"/>
  <c r="C1293" i="1"/>
  <c r="B1293" i="1"/>
  <c r="H1292" i="1"/>
  <c r="D1292" i="1"/>
  <c r="C1292" i="1"/>
  <c r="B1292" i="1"/>
  <c r="H1291" i="1"/>
  <c r="D1291" i="1"/>
  <c r="C1291" i="1"/>
  <c r="B1291" i="1"/>
  <c r="H1290" i="1"/>
  <c r="D1290" i="1"/>
  <c r="C1290" i="1"/>
  <c r="B1290" i="1"/>
  <c r="H1289" i="1"/>
  <c r="D1289" i="1"/>
  <c r="C1289" i="1"/>
  <c r="B1289" i="1"/>
  <c r="H1288" i="1"/>
  <c r="D1288" i="1"/>
  <c r="C1288" i="1"/>
  <c r="B1288" i="1"/>
  <c r="H1287" i="1"/>
  <c r="D1287" i="1"/>
  <c r="C1287" i="1"/>
  <c r="B1287" i="1"/>
  <c r="H1286" i="1"/>
  <c r="D1286" i="1"/>
  <c r="C1286" i="1"/>
  <c r="B1286" i="1"/>
  <c r="H1285" i="1"/>
  <c r="D1285" i="1"/>
  <c r="C1285" i="1"/>
  <c r="B1285" i="1"/>
  <c r="H1284" i="1"/>
  <c r="D1284" i="1"/>
  <c r="C1284" i="1"/>
  <c r="B1284" i="1"/>
  <c r="H1283" i="1"/>
  <c r="D1283" i="1"/>
  <c r="C1283" i="1"/>
  <c r="B1283" i="1"/>
  <c r="H1282" i="1"/>
  <c r="D1282" i="1"/>
  <c r="C1282" i="1"/>
  <c r="B1282" i="1"/>
  <c r="H1281" i="1"/>
  <c r="D1281" i="1"/>
  <c r="C1281" i="1"/>
  <c r="B1281" i="1"/>
  <c r="H1280" i="1"/>
  <c r="D1280" i="1"/>
  <c r="C1280" i="1"/>
  <c r="B1280" i="1"/>
  <c r="H1279" i="1"/>
  <c r="D1279" i="1"/>
  <c r="C1279" i="1"/>
  <c r="B1279" i="1"/>
  <c r="H1278" i="1"/>
  <c r="D1278" i="1"/>
  <c r="C1278" i="1"/>
  <c r="B1278" i="1"/>
  <c r="H1277" i="1"/>
  <c r="D1277" i="1"/>
  <c r="C1277" i="1"/>
  <c r="B1277" i="1"/>
  <c r="H1276" i="1"/>
  <c r="D1276" i="1"/>
  <c r="C1276" i="1"/>
  <c r="B1276" i="1"/>
  <c r="H1275" i="1"/>
  <c r="D1275" i="1"/>
  <c r="C1275" i="1"/>
  <c r="B1275" i="1"/>
  <c r="H1274" i="1"/>
  <c r="D1274" i="1"/>
  <c r="C1274" i="1"/>
  <c r="B1274" i="1"/>
  <c r="H1273" i="1"/>
  <c r="D1273" i="1"/>
  <c r="C1273" i="1"/>
  <c r="B1273" i="1"/>
  <c r="H1272" i="1"/>
  <c r="D1272" i="1"/>
  <c r="C1272" i="1"/>
  <c r="B1272" i="1"/>
  <c r="H1271" i="1"/>
  <c r="D1271" i="1"/>
  <c r="C1271" i="1"/>
  <c r="B1271" i="1"/>
  <c r="H1270" i="1"/>
  <c r="D1270" i="1"/>
  <c r="C1270" i="1"/>
  <c r="B1270" i="1"/>
  <c r="H1269" i="1"/>
  <c r="D1269" i="1"/>
  <c r="C1269" i="1"/>
  <c r="B1269" i="1"/>
  <c r="H1268" i="1"/>
  <c r="D1268" i="1"/>
  <c r="C1268" i="1"/>
  <c r="B1268" i="1"/>
  <c r="H1267" i="1"/>
  <c r="D1267" i="1"/>
  <c r="C1267" i="1"/>
  <c r="B1267" i="1"/>
  <c r="H1266" i="1"/>
  <c r="D1266" i="1"/>
  <c r="C1266" i="1"/>
  <c r="B1266" i="1"/>
  <c r="H1265" i="1"/>
  <c r="D1265" i="1"/>
  <c r="C1265" i="1"/>
  <c r="B1265" i="1"/>
  <c r="H1264" i="1"/>
  <c r="D1264" i="1"/>
  <c r="C1264" i="1"/>
  <c r="B1264" i="1"/>
  <c r="H1263" i="1"/>
  <c r="D1263" i="1"/>
  <c r="C1263" i="1"/>
  <c r="B1263" i="1"/>
  <c r="H1262" i="1"/>
  <c r="D1262" i="1"/>
  <c r="C1262" i="1"/>
  <c r="B1262" i="1"/>
  <c r="H1261" i="1"/>
  <c r="D1261" i="1"/>
  <c r="C1261" i="1"/>
  <c r="B1261" i="1"/>
  <c r="H1260" i="1"/>
  <c r="D1260" i="1"/>
  <c r="C1260" i="1"/>
  <c r="B1260" i="1"/>
  <c r="H1259" i="1"/>
  <c r="D1259" i="1"/>
  <c r="C1259" i="1"/>
  <c r="B1259" i="1"/>
  <c r="H1258" i="1"/>
  <c r="D1258" i="1"/>
  <c r="C1258" i="1"/>
  <c r="B1258" i="1"/>
  <c r="H1257" i="1"/>
  <c r="D1257" i="1"/>
  <c r="C1257" i="1"/>
  <c r="B1257" i="1"/>
  <c r="H1256" i="1"/>
  <c r="D1256" i="1"/>
  <c r="C1256" i="1"/>
  <c r="B1256" i="1"/>
  <c r="H1255" i="1"/>
  <c r="D1255" i="1"/>
  <c r="C1255" i="1"/>
  <c r="B1255" i="1"/>
  <c r="H1254" i="1"/>
  <c r="D1254" i="1"/>
  <c r="C1254" i="1"/>
  <c r="B1254" i="1"/>
  <c r="H1253" i="1"/>
  <c r="D1253" i="1"/>
  <c r="C1253" i="1"/>
  <c r="B1253" i="1"/>
  <c r="H1252" i="1"/>
  <c r="D1252" i="1"/>
  <c r="C1252" i="1"/>
  <c r="B1252" i="1"/>
  <c r="H1251" i="1"/>
  <c r="D1251" i="1"/>
  <c r="C1251" i="1"/>
  <c r="B1251" i="1"/>
  <c r="H1250" i="1"/>
  <c r="D1250" i="1"/>
  <c r="C1250" i="1"/>
  <c r="B1250" i="1"/>
  <c r="H1249" i="1"/>
  <c r="D1249" i="1"/>
  <c r="C1249" i="1"/>
  <c r="B1249" i="1"/>
  <c r="H1248" i="1"/>
  <c r="D1248" i="1"/>
  <c r="C1248" i="1"/>
  <c r="B1248" i="1"/>
  <c r="H1247" i="1"/>
  <c r="D1247" i="1"/>
  <c r="C1247" i="1"/>
  <c r="B1247" i="1"/>
  <c r="H1246" i="1"/>
  <c r="D1246" i="1"/>
  <c r="C1246" i="1"/>
  <c r="B1246" i="1"/>
  <c r="H1245" i="1"/>
  <c r="D1245" i="1"/>
  <c r="C1245" i="1"/>
  <c r="B1245" i="1"/>
  <c r="H1244" i="1"/>
  <c r="D1244" i="1"/>
  <c r="C1244" i="1"/>
  <c r="B1244" i="1"/>
  <c r="H1243" i="1"/>
  <c r="D1243" i="1"/>
  <c r="C1243" i="1"/>
  <c r="B1243" i="1"/>
  <c r="H1242" i="1"/>
  <c r="D1242" i="1"/>
  <c r="C1242" i="1"/>
  <c r="B1242" i="1"/>
  <c r="H1241" i="1"/>
  <c r="D1241" i="1"/>
  <c r="C1241" i="1"/>
  <c r="B1241" i="1"/>
  <c r="H1240" i="1"/>
  <c r="D1240" i="1"/>
  <c r="C1240" i="1"/>
  <c r="B1240" i="1"/>
  <c r="H1239" i="1"/>
  <c r="D1239" i="1"/>
  <c r="C1239" i="1"/>
  <c r="B1239" i="1"/>
  <c r="H1238" i="1"/>
  <c r="D1238" i="1"/>
  <c r="C1238" i="1"/>
  <c r="B1238" i="1"/>
  <c r="H1237" i="1"/>
  <c r="D1237" i="1"/>
  <c r="C1237" i="1"/>
  <c r="B1237" i="1"/>
  <c r="H1236" i="1"/>
  <c r="D1236" i="1"/>
  <c r="C1236" i="1"/>
  <c r="B1236" i="1"/>
  <c r="H1235" i="1"/>
  <c r="D1235" i="1"/>
  <c r="C1235" i="1"/>
  <c r="B1235" i="1"/>
  <c r="H1234" i="1"/>
  <c r="D1234" i="1"/>
  <c r="C1234" i="1"/>
  <c r="B1234" i="1"/>
  <c r="H1233" i="1"/>
  <c r="D1233" i="1"/>
  <c r="C1233" i="1"/>
  <c r="B1233" i="1"/>
  <c r="H1232" i="1"/>
  <c r="D1232" i="1"/>
  <c r="C1232" i="1"/>
  <c r="B1232" i="1"/>
  <c r="H1231" i="1"/>
  <c r="D1231" i="1"/>
  <c r="C1231" i="1"/>
  <c r="B1231" i="1"/>
  <c r="H1230" i="1"/>
  <c r="D1230" i="1"/>
  <c r="C1230" i="1"/>
  <c r="B1230" i="1"/>
  <c r="H1229" i="1"/>
  <c r="D1229" i="1"/>
  <c r="C1229" i="1"/>
  <c r="B1229" i="1"/>
  <c r="H1228" i="1"/>
  <c r="D1228" i="1"/>
  <c r="C1228" i="1"/>
  <c r="B1228" i="1"/>
  <c r="H1227" i="1"/>
  <c r="D1227" i="1"/>
  <c r="C1227" i="1"/>
  <c r="B1227" i="1"/>
  <c r="H1226" i="1"/>
  <c r="D1226" i="1"/>
  <c r="C1226" i="1"/>
  <c r="B1226" i="1"/>
  <c r="H1225" i="1"/>
  <c r="D1225" i="1"/>
  <c r="C1225" i="1"/>
  <c r="B1225" i="1"/>
  <c r="H1224" i="1"/>
  <c r="D1224" i="1"/>
  <c r="C1224" i="1"/>
  <c r="B1224" i="1"/>
  <c r="H1223" i="1"/>
  <c r="D1223" i="1"/>
  <c r="C1223" i="1"/>
  <c r="B1223" i="1"/>
  <c r="H1222" i="1"/>
  <c r="D1222" i="1"/>
  <c r="C1222" i="1"/>
  <c r="B1222" i="1"/>
  <c r="H1221" i="1"/>
  <c r="D1221" i="1"/>
  <c r="C1221" i="1"/>
  <c r="B1221" i="1"/>
  <c r="H1220" i="1"/>
  <c r="D1220" i="1"/>
  <c r="C1220" i="1"/>
  <c r="B1220" i="1"/>
  <c r="H1219" i="1"/>
  <c r="D1219" i="1"/>
  <c r="C1219" i="1"/>
  <c r="B1219" i="1"/>
  <c r="H1218" i="1"/>
  <c r="D1218" i="1"/>
  <c r="C1218" i="1"/>
  <c r="B1218" i="1"/>
  <c r="H1217" i="1"/>
  <c r="D1217" i="1"/>
  <c r="C1217" i="1"/>
  <c r="B1217" i="1"/>
  <c r="H1216" i="1"/>
  <c r="D1216" i="1"/>
  <c r="C1216" i="1"/>
  <c r="B1216" i="1"/>
  <c r="H1215" i="1"/>
  <c r="D1215" i="1"/>
  <c r="C1215" i="1"/>
  <c r="B1215" i="1"/>
  <c r="H1214" i="1"/>
  <c r="D1214" i="1"/>
  <c r="C1214" i="1"/>
  <c r="B1214" i="1"/>
  <c r="H1213" i="1"/>
  <c r="D1213" i="1"/>
  <c r="C1213" i="1"/>
  <c r="B1213" i="1"/>
  <c r="H1212" i="1"/>
  <c r="D1212" i="1"/>
  <c r="C1212" i="1"/>
  <c r="B1212" i="1"/>
  <c r="H1211" i="1"/>
  <c r="D1211" i="1"/>
  <c r="C1211" i="1"/>
  <c r="B1211" i="1"/>
  <c r="H1210" i="1"/>
  <c r="D1210" i="1"/>
  <c r="C1210" i="1"/>
  <c r="B1210" i="1"/>
  <c r="H1209" i="1"/>
  <c r="D1209" i="1"/>
  <c r="C1209" i="1"/>
  <c r="B1209" i="1"/>
  <c r="H1208" i="1"/>
  <c r="D1208" i="1"/>
  <c r="C1208" i="1"/>
  <c r="B1208" i="1"/>
  <c r="H1207" i="1"/>
  <c r="D1207" i="1"/>
  <c r="C1207" i="1"/>
  <c r="B1207" i="1"/>
  <c r="H1206" i="1"/>
  <c r="D1206" i="1"/>
  <c r="C1206" i="1"/>
  <c r="B1206" i="1"/>
  <c r="H1205" i="1"/>
  <c r="D1205" i="1"/>
  <c r="C1205" i="1"/>
  <c r="B1205" i="1"/>
  <c r="H1204" i="1"/>
  <c r="D1204" i="1"/>
  <c r="C1204" i="1"/>
  <c r="B1204" i="1"/>
  <c r="H1203" i="1"/>
  <c r="D1203" i="1"/>
  <c r="C1203" i="1"/>
  <c r="B1203" i="1"/>
  <c r="H1202" i="1"/>
  <c r="D1202" i="1"/>
  <c r="C1202" i="1"/>
  <c r="B1202" i="1"/>
  <c r="H1201" i="1"/>
  <c r="D1201" i="1"/>
  <c r="C1201" i="1"/>
  <c r="B1201" i="1"/>
  <c r="H1200" i="1"/>
  <c r="D1200" i="1"/>
  <c r="C1200" i="1"/>
  <c r="B1200" i="1"/>
  <c r="H1199" i="1"/>
  <c r="D1199" i="1"/>
  <c r="C1199" i="1"/>
  <c r="B1199" i="1"/>
  <c r="H1198" i="1"/>
  <c r="D1198" i="1"/>
  <c r="C1198" i="1"/>
  <c r="B1198" i="1"/>
  <c r="H1197" i="1"/>
  <c r="D1197" i="1"/>
  <c r="C1197" i="1"/>
  <c r="B1197" i="1"/>
  <c r="H1196" i="1"/>
  <c r="D1196" i="1"/>
  <c r="C1196" i="1"/>
  <c r="B1196" i="1"/>
  <c r="H1195" i="1"/>
  <c r="D1195" i="1"/>
  <c r="C1195" i="1"/>
  <c r="B1195" i="1"/>
  <c r="H1194" i="1"/>
  <c r="D1194" i="1"/>
  <c r="C1194" i="1"/>
  <c r="B1194" i="1"/>
  <c r="H1193" i="1"/>
  <c r="D1193" i="1"/>
  <c r="C1193" i="1"/>
  <c r="B1193" i="1"/>
  <c r="H1192" i="1"/>
  <c r="D1192" i="1"/>
  <c r="C1192" i="1"/>
  <c r="B1192" i="1"/>
  <c r="H1191" i="1"/>
  <c r="D1191" i="1"/>
  <c r="C1191" i="1"/>
  <c r="B1191" i="1"/>
  <c r="H1190" i="1"/>
  <c r="D1190" i="1"/>
  <c r="C1190" i="1"/>
  <c r="B1190" i="1"/>
  <c r="H1189" i="1"/>
  <c r="D1189" i="1"/>
  <c r="C1189" i="1"/>
  <c r="B1189" i="1"/>
  <c r="H1188" i="1"/>
  <c r="D1188" i="1"/>
  <c r="C1188" i="1"/>
  <c r="B1188" i="1"/>
  <c r="H1187" i="1"/>
  <c r="D1187" i="1"/>
  <c r="C1187" i="1"/>
  <c r="B1187" i="1"/>
  <c r="H1186" i="1"/>
  <c r="D1186" i="1"/>
  <c r="C1186" i="1"/>
  <c r="B1186" i="1"/>
  <c r="H1185" i="1"/>
  <c r="D1185" i="1"/>
  <c r="C1185" i="1"/>
  <c r="B1185" i="1"/>
  <c r="H1184" i="1"/>
  <c r="D1184" i="1"/>
  <c r="C1184" i="1"/>
  <c r="B1184" i="1"/>
  <c r="H1183" i="1"/>
  <c r="D1183" i="1"/>
  <c r="C1183" i="1"/>
  <c r="B1183" i="1"/>
  <c r="H1182" i="1"/>
  <c r="D1182" i="1"/>
  <c r="C1182" i="1"/>
  <c r="B1182" i="1"/>
  <c r="H1181" i="1"/>
  <c r="D1181" i="1"/>
  <c r="C1181" i="1"/>
  <c r="B1181" i="1"/>
  <c r="H1180" i="1"/>
  <c r="D1180" i="1"/>
  <c r="C1180" i="1"/>
  <c r="B1180" i="1"/>
  <c r="H1179" i="1"/>
  <c r="D1179" i="1"/>
  <c r="C1179" i="1"/>
  <c r="B1179" i="1"/>
  <c r="H1178" i="1"/>
  <c r="D1178" i="1"/>
  <c r="C1178" i="1"/>
  <c r="B1178" i="1"/>
  <c r="H1177" i="1"/>
  <c r="D1177" i="1"/>
  <c r="C1177" i="1"/>
  <c r="B1177" i="1"/>
  <c r="H1176" i="1"/>
  <c r="D1176" i="1"/>
  <c r="C1176" i="1"/>
  <c r="B1176" i="1"/>
  <c r="H1175" i="1"/>
  <c r="D1175" i="1"/>
  <c r="C1175" i="1"/>
  <c r="B1175" i="1"/>
  <c r="H1174" i="1"/>
  <c r="D1174" i="1"/>
  <c r="C1174" i="1"/>
  <c r="B1174" i="1"/>
  <c r="H1173" i="1"/>
  <c r="D1173" i="1"/>
  <c r="C1173" i="1"/>
  <c r="B1173" i="1"/>
  <c r="H1172" i="1"/>
  <c r="D1172" i="1"/>
  <c r="C1172" i="1"/>
  <c r="B1172" i="1"/>
  <c r="H1171" i="1"/>
  <c r="D1171" i="1"/>
  <c r="C1171" i="1"/>
  <c r="B1171" i="1"/>
  <c r="H1170" i="1"/>
  <c r="D1170" i="1"/>
  <c r="C1170" i="1"/>
  <c r="B1170" i="1"/>
  <c r="H1169" i="1"/>
  <c r="D1169" i="1"/>
  <c r="C1169" i="1"/>
  <c r="B1169" i="1"/>
  <c r="H1168" i="1"/>
  <c r="D1168" i="1"/>
  <c r="C1168" i="1"/>
  <c r="B1168" i="1"/>
  <c r="H1167" i="1"/>
  <c r="D1167" i="1"/>
  <c r="C1167" i="1"/>
  <c r="B1167" i="1"/>
  <c r="H1166" i="1"/>
  <c r="D1166" i="1"/>
  <c r="C1166" i="1"/>
  <c r="B1166" i="1"/>
  <c r="H1165" i="1"/>
  <c r="D1165" i="1"/>
  <c r="C1165" i="1"/>
  <c r="B1165" i="1"/>
  <c r="H1164" i="1"/>
  <c r="D1164" i="1"/>
  <c r="C1164" i="1"/>
  <c r="B1164" i="1"/>
  <c r="H1163" i="1"/>
  <c r="D1163" i="1"/>
  <c r="C1163" i="1"/>
  <c r="B1163" i="1"/>
  <c r="H1162" i="1"/>
  <c r="D1162" i="1"/>
  <c r="C1162" i="1"/>
  <c r="B1162" i="1"/>
  <c r="H1161" i="1"/>
  <c r="D1161" i="1"/>
  <c r="C1161" i="1"/>
  <c r="B1161" i="1"/>
  <c r="H1160" i="1"/>
  <c r="D1160" i="1"/>
  <c r="C1160" i="1"/>
  <c r="B1160" i="1"/>
  <c r="H1159" i="1"/>
  <c r="D1159" i="1"/>
  <c r="C1159" i="1"/>
  <c r="B1159" i="1"/>
  <c r="H1158" i="1"/>
  <c r="D1158" i="1"/>
  <c r="C1158" i="1"/>
  <c r="B1158" i="1"/>
  <c r="H1157" i="1"/>
  <c r="D1157" i="1"/>
  <c r="C1157" i="1"/>
  <c r="B1157" i="1"/>
  <c r="H1156" i="1"/>
  <c r="D1156" i="1"/>
  <c r="C1156" i="1"/>
  <c r="B1156" i="1"/>
  <c r="H1155" i="1"/>
  <c r="D1155" i="1"/>
  <c r="C1155" i="1"/>
  <c r="B1155" i="1"/>
  <c r="H1154" i="1"/>
  <c r="D1154" i="1"/>
  <c r="C1154" i="1"/>
  <c r="B1154" i="1"/>
  <c r="H1153" i="1"/>
  <c r="D1153" i="1"/>
  <c r="C1153" i="1"/>
  <c r="B1153" i="1"/>
  <c r="H1152" i="1"/>
  <c r="D1152" i="1"/>
  <c r="C1152" i="1"/>
  <c r="B1152" i="1"/>
  <c r="H1151" i="1"/>
  <c r="D1151" i="1"/>
  <c r="C1151" i="1"/>
  <c r="B1151" i="1"/>
  <c r="H1150" i="1"/>
  <c r="D1150" i="1"/>
  <c r="C1150" i="1"/>
  <c r="B1150" i="1"/>
  <c r="H1149" i="1"/>
  <c r="D1149" i="1"/>
  <c r="C1149" i="1"/>
  <c r="B1149" i="1"/>
  <c r="H1148" i="1"/>
  <c r="D1148" i="1"/>
  <c r="C1148" i="1"/>
  <c r="B1148" i="1"/>
  <c r="H1147" i="1"/>
  <c r="D1147" i="1"/>
  <c r="C1147" i="1"/>
  <c r="B1147" i="1"/>
  <c r="H1146" i="1"/>
  <c r="D1146" i="1"/>
  <c r="C1146" i="1"/>
  <c r="B1146" i="1"/>
  <c r="H1145" i="1"/>
  <c r="D1145" i="1"/>
  <c r="C1145" i="1"/>
  <c r="B1145" i="1"/>
  <c r="H1144" i="1"/>
  <c r="D1144" i="1"/>
  <c r="C1144" i="1"/>
  <c r="B1144" i="1"/>
  <c r="H1143" i="1"/>
  <c r="D1143" i="1"/>
  <c r="C1143" i="1"/>
  <c r="B1143" i="1"/>
  <c r="H1142" i="1"/>
  <c r="D1142" i="1"/>
  <c r="C1142" i="1"/>
  <c r="B1142" i="1"/>
  <c r="H1141" i="1"/>
  <c r="D1141" i="1"/>
  <c r="C1141" i="1"/>
  <c r="B1141" i="1"/>
  <c r="H1140" i="1"/>
  <c r="D1140" i="1"/>
  <c r="C1140" i="1"/>
  <c r="B1140" i="1"/>
  <c r="H1139" i="1"/>
  <c r="D1139" i="1"/>
  <c r="C1139" i="1"/>
  <c r="B1139" i="1"/>
  <c r="H1138" i="1"/>
  <c r="D1138" i="1"/>
  <c r="C1138" i="1"/>
  <c r="B1138" i="1"/>
  <c r="H1137" i="1"/>
  <c r="D1137" i="1"/>
  <c r="C1137" i="1"/>
  <c r="B1137" i="1"/>
  <c r="H1136" i="1"/>
  <c r="D1136" i="1"/>
  <c r="C1136" i="1"/>
  <c r="B1136" i="1"/>
  <c r="H1135" i="1"/>
  <c r="D1135" i="1"/>
  <c r="C1135" i="1"/>
  <c r="B1135" i="1"/>
  <c r="H1134" i="1"/>
  <c r="D1134" i="1"/>
  <c r="C1134" i="1"/>
  <c r="B1134" i="1"/>
  <c r="H1133" i="1"/>
  <c r="D1133" i="1"/>
  <c r="C1133" i="1"/>
  <c r="B1133" i="1"/>
  <c r="H1132" i="1"/>
  <c r="D1132" i="1"/>
  <c r="C1132" i="1"/>
  <c r="B1132" i="1"/>
  <c r="H1131" i="1"/>
  <c r="D1131" i="1"/>
  <c r="C1131" i="1"/>
  <c r="B1131" i="1"/>
  <c r="H1130" i="1"/>
  <c r="D1130" i="1"/>
  <c r="C1130" i="1"/>
  <c r="B1130" i="1"/>
  <c r="H1129" i="1"/>
  <c r="D1129" i="1"/>
  <c r="C1129" i="1"/>
  <c r="B1129" i="1"/>
  <c r="H1128" i="1"/>
  <c r="D1128" i="1"/>
  <c r="C1128" i="1"/>
  <c r="B1128" i="1"/>
  <c r="H1127" i="1"/>
  <c r="D1127" i="1"/>
  <c r="C1127" i="1"/>
  <c r="B1127" i="1"/>
  <c r="H1126" i="1"/>
  <c r="D1126" i="1"/>
  <c r="C1126" i="1"/>
  <c r="B1126" i="1"/>
  <c r="H1125" i="1"/>
  <c r="D1125" i="1"/>
  <c r="C1125" i="1"/>
  <c r="B1125" i="1"/>
  <c r="H1124" i="1"/>
  <c r="D1124" i="1"/>
  <c r="C1124" i="1"/>
  <c r="B1124" i="1"/>
  <c r="H1123" i="1"/>
  <c r="D1123" i="1"/>
  <c r="C1123" i="1"/>
  <c r="B1123" i="1"/>
  <c r="H1122" i="1"/>
  <c r="D1122" i="1"/>
  <c r="C1122" i="1"/>
  <c r="B1122" i="1"/>
  <c r="H1121" i="1"/>
  <c r="D1121" i="1"/>
  <c r="C1121" i="1"/>
  <c r="B1121" i="1"/>
  <c r="H1120" i="1"/>
  <c r="D1120" i="1"/>
  <c r="C1120" i="1"/>
  <c r="B1120" i="1"/>
  <c r="H1119" i="1"/>
  <c r="D1119" i="1"/>
  <c r="C1119" i="1"/>
  <c r="B1119" i="1"/>
  <c r="H1118" i="1"/>
  <c r="D1118" i="1"/>
  <c r="C1118" i="1"/>
  <c r="B1118" i="1"/>
  <c r="H1117" i="1"/>
  <c r="D1117" i="1"/>
  <c r="C1117" i="1"/>
  <c r="B1117" i="1"/>
  <c r="H1116" i="1"/>
  <c r="D1116" i="1"/>
  <c r="C1116" i="1"/>
  <c r="B1116" i="1"/>
  <c r="H1115" i="1"/>
  <c r="D1115" i="1"/>
  <c r="C1115" i="1"/>
  <c r="B1115" i="1"/>
  <c r="H1114" i="1"/>
  <c r="D1114" i="1"/>
  <c r="C1114" i="1"/>
  <c r="B1114" i="1"/>
  <c r="H1113" i="1"/>
  <c r="D1113" i="1"/>
  <c r="C1113" i="1"/>
  <c r="B1113" i="1"/>
  <c r="H1112" i="1"/>
  <c r="D1112" i="1"/>
  <c r="C1112" i="1"/>
  <c r="B1112" i="1"/>
  <c r="H1111" i="1"/>
  <c r="D1111" i="1"/>
  <c r="C1111" i="1"/>
  <c r="B1111" i="1"/>
  <c r="H1110" i="1"/>
  <c r="D1110" i="1"/>
  <c r="C1110" i="1"/>
  <c r="B1110" i="1"/>
  <c r="H1109" i="1"/>
  <c r="D1109" i="1"/>
  <c r="C1109" i="1"/>
  <c r="B1109" i="1"/>
  <c r="H1108" i="1"/>
  <c r="D1108" i="1"/>
  <c r="C1108" i="1"/>
  <c r="B1108" i="1"/>
  <c r="H1107" i="1"/>
  <c r="D1107" i="1"/>
  <c r="C1107" i="1"/>
  <c r="B1107" i="1"/>
  <c r="H1106" i="1"/>
  <c r="D1106" i="1"/>
  <c r="C1106" i="1"/>
  <c r="B1106" i="1"/>
  <c r="H1105" i="1"/>
  <c r="D1105" i="1"/>
  <c r="C1105" i="1"/>
  <c r="B1105" i="1"/>
  <c r="H1104" i="1"/>
  <c r="D1104" i="1"/>
  <c r="C1104" i="1"/>
  <c r="B1104" i="1"/>
  <c r="H1103" i="1"/>
  <c r="D1103" i="1"/>
  <c r="C1103" i="1"/>
  <c r="B1103" i="1"/>
  <c r="H1102" i="1"/>
  <c r="D1102" i="1"/>
  <c r="C1102" i="1"/>
  <c r="B1102" i="1"/>
  <c r="H1101" i="1"/>
  <c r="D1101" i="1"/>
  <c r="C1101" i="1"/>
  <c r="B1101" i="1"/>
  <c r="H1100" i="1"/>
  <c r="D1100" i="1"/>
  <c r="C1100" i="1"/>
  <c r="B1100" i="1"/>
  <c r="H1099" i="1"/>
  <c r="D1099" i="1"/>
  <c r="C1099" i="1"/>
  <c r="B1099" i="1"/>
  <c r="H1098" i="1"/>
  <c r="D1098" i="1"/>
  <c r="C1098" i="1"/>
  <c r="B1098" i="1"/>
  <c r="H1097" i="1"/>
  <c r="D1097" i="1"/>
  <c r="C1097" i="1"/>
  <c r="B1097" i="1"/>
  <c r="H1096" i="1"/>
  <c r="D1096" i="1"/>
  <c r="C1096" i="1"/>
  <c r="B1096" i="1"/>
  <c r="H1095" i="1"/>
  <c r="D1095" i="1"/>
  <c r="C1095" i="1"/>
  <c r="B1095" i="1"/>
  <c r="H1094" i="1"/>
  <c r="D1094" i="1"/>
  <c r="C1094" i="1"/>
  <c r="B1094" i="1"/>
  <c r="H1093" i="1"/>
  <c r="D1093" i="1"/>
  <c r="C1093" i="1"/>
  <c r="B1093" i="1"/>
  <c r="H1092" i="1"/>
  <c r="D1092" i="1"/>
  <c r="C1092" i="1"/>
  <c r="B1092" i="1"/>
  <c r="H1091" i="1"/>
  <c r="D1091" i="1"/>
  <c r="C1091" i="1"/>
  <c r="B1091" i="1"/>
  <c r="H1090" i="1"/>
  <c r="D1090" i="1"/>
  <c r="C1090" i="1"/>
  <c r="B1090" i="1"/>
  <c r="H1089" i="1"/>
  <c r="D1089" i="1"/>
  <c r="C1089" i="1"/>
  <c r="B1089" i="1"/>
  <c r="H1088" i="1"/>
  <c r="D1088" i="1"/>
  <c r="C1088" i="1"/>
  <c r="B1088" i="1"/>
  <c r="H1087" i="1"/>
  <c r="D1087" i="1"/>
  <c r="C1087" i="1"/>
  <c r="B1087" i="1"/>
  <c r="H1086" i="1"/>
  <c r="D1086" i="1"/>
  <c r="C1086" i="1"/>
  <c r="B1086" i="1"/>
  <c r="H1085" i="1"/>
  <c r="D1085" i="1"/>
  <c r="C1085" i="1"/>
  <c r="B1085" i="1"/>
  <c r="H1084" i="1"/>
  <c r="D1084" i="1"/>
  <c r="C1084" i="1"/>
  <c r="B1084" i="1"/>
  <c r="H1083" i="1"/>
  <c r="D1083" i="1"/>
  <c r="C1083" i="1"/>
  <c r="B1083" i="1"/>
  <c r="H1082" i="1"/>
  <c r="D1082" i="1"/>
  <c r="C1082" i="1"/>
  <c r="B1082" i="1"/>
  <c r="H1081" i="1"/>
  <c r="D1081" i="1"/>
  <c r="C1081" i="1"/>
  <c r="B1081" i="1"/>
  <c r="H1080" i="1"/>
  <c r="D1080" i="1"/>
  <c r="C1080" i="1"/>
  <c r="B1080" i="1"/>
  <c r="H1079" i="1"/>
  <c r="D1079" i="1"/>
  <c r="C1079" i="1"/>
  <c r="B1079" i="1"/>
  <c r="H1078" i="1"/>
  <c r="D1078" i="1"/>
  <c r="C1078" i="1"/>
  <c r="B1078" i="1"/>
  <c r="H1077" i="1"/>
  <c r="D1077" i="1"/>
  <c r="C1077" i="1"/>
  <c r="B1077" i="1"/>
  <c r="H1076" i="1"/>
  <c r="D1076" i="1"/>
  <c r="C1076" i="1"/>
  <c r="B1076" i="1"/>
  <c r="H1075" i="1"/>
  <c r="D1075" i="1"/>
  <c r="C1075" i="1"/>
  <c r="B1075" i="1"/>
  <c r="H1074" i="1"/>
  <c r="D1074" i="1"/>
  <c r="C1074" i="1"/>
  <c r="B1074" i="1"/>
  <c r="H1073" i="1"/>
  <c r="D1073" i="1"/>
  <c r="C1073" i="1"/>
  <c r="B1073" i="1"/>
  <c r="H1072" i="1"/>
  <c r="D1072" i="1"/>
  <c r="C1072" i="1"/>
  <c r="B1072" i="1"/>
  <c r="H1071" i="1"/>
  <c r="D1071" i="1"/>
  <c r="C1071" i="1"/>
  <c r="B1071" i="1"/>
  <c r="H1070" i="1"/>
  <c r="D1070" i="1"/>
  <c r="C1070" i="1"/>
  <c r="B1070" i="1"/>
  <c r="H1069" i="1"/>
  <c r="D1069" i="1"/>
  <c r="C1069" i="1"/>
  <c r="B1069" i="1"/>
  <c r="H1068" i="1"/>
  <c r="D1068" i="1"/>
  <c r="C1068" i="1"/>
  <c r="B1068" i="1"/>
  <c r="H1067" i="1"/>
  <c r="D1067" i="1"/>
  <c r="C1067" i="1"/>
  <c r="B1067" i="1"/>
  <c r="H1066" i="1"/>
  <c r="D1066" i="1"/>
  <c r="C1066" i="1"/>
  <c r="B1066" i="1"/>
  <c r="H1065" i="1"/>
  <c r="D1065" i="1"/>
  <c r="C1065" i="1"/>
  <c r="B1065" i="1"/>
  <c r="H1064" i="1"/>
  <c r="D1064" i="1"/>
  <c r="C1064" i="1"/>
  <c r="B1064" i="1"/>
  <c r="H1063" i="1"/>
  <c r="D1063" i="1"/>
  <c r="C1063" i="1"/>
  <c r="B1063" i="1"/>
  <c r="H1062" i="1"/>
  <c r="D1062" i="1"/>
  <c r="C1062" i="1"/>
  <c r="B1062" i="1"/>
  <c r="H1061" i="1"/>
  <c r="D1061" i="1"/>
  <c r="C1061" i="1"/>
  <c r="B1061" i="1"/>
  <c r="H1060" i="1"/>
  <c r="D1060" i="1"/>
  <c r="C1060" i="1"/>
  <c r="B1060" i="1"/>
  <c r="H1059" i="1"/>
  <c r="D1059" i="1"/>
  <c r="C1059" i="1"/>
  <c r="B1059" i="1"/>
  <c r="H1058" i="1"/>
  <c r="D1058" i="1"/>
  <c r="C1058" i="1"/>
  <c r="B1058" i="1"/>
  <c r="H1057" i="1"/>
  <c r="D1057" i="1"/>
  <c r="C1057" i="1"/>
  <c r="B1057" i="1"/>
  <c r="H1056" i="1"/>
  <c r="D1056" i="1"/>
  <c r="C1056" i="1"/>
  <c r="B1056" i="1"/>
  <c r="H1055" i="1"/>
  <c r="D1055" i="1"/>
  <c r="C1055" i="1"/>
  <c r="B1055" i="1"/>
  <c r="H1054" i="1"/>
  <c r="D1054" i="1"/>
  <c r="C1054" i="1"/>
  <c r="B1054" i="1"/>
  <c r="H1053" i="1"/>
  <c r="D1053" i="1"/>
  <c r="C1053" i="1"/>
  <c r="B1053" i="1"/>
  <c r="H1052" i="1"/>
  <c r="D1052" i="1"/>
  <c r="C1052" i="1"/>
  <c r="B1052" i="1"/>
  <c r="H1051" i="1"/>
  <c r="D1051" i="1"/>
  <c r="C1051" i="1"/>
  <c r="B1051" i="1"/>
  <c r="H1050" i="1"/>
  <c r="D1050" i="1"/>
  <c r="C1050" i="1"/>
  <c r="B1050" i="1"/>
  <c r="H1049" i="1"/>
  <c r="D1049" i="1"/>
  <c r="C1049" i="1"/>
  <c r="B1049" i="1"/>
  <c r="H1048" i="1"/>
  <c r="D1048" i="1"/>
  <c r="C1048" i="1"/>
  <c r="B1048" i="1"/>
  <c r="H1047" i="1"/>
  <c r="D1047" i="1"/>
  <c r="C1047" i="1"/>
  <c r="B1047" i="1"/>
  <c r="H1046" i="1"/>
  <c r="D1046" i="1"/>
  <c r="C1046" i="1"/>
  <c r="B1046" i="1"/>
  <c r="H1045" i="1"/>
  <c r="D1045" i="1"/>
  <c r="C1045" i="1"/>
  <c r="B1045" i="1"/>
  <c r="H1044" i="1"/>
  <c r="D1044" i="1"/>
  <c r="C1044" i="1"/>
  <c r="B1044" i="1"/>
  <c r="H1043" i="1"/>
  <c r="D1043" i="1"/>
  <c r="C1043" i="1"/>
  <c r="B1043" i="1"/>
  <c r="H1042" i="1"/>
  <c r="D1042" i="1"/>
  <c r="C1042" i="1"/>
  <c r="B1042" i="1"/>
  <c r="H1041" i="1"/>
  <c r="D1041" i="1"/>
  <c r="C1041" i="1"/>
  <c r="B1041" i="1"/>
  <c r="H1040" i="1"/>
  <c r="D1040" i="1"/>
  <c r="C1040" i="1"/>
  <c r="B1040" i="1"/>
  <c r="H1039" i="1"/>
  <c r="D1039" i="1"/>
  <c r="C1039" i="1"/>
  <c r="B1039" i="1"/>
  <c r="H1038" i="1"/>
  <c r="D1038" i="1"/>
  <c r="C1038" i="1"/>
  <c r="B1038" i="1"/>
  <c r="H1037" i="1"/>
  <c r="D1037" i="1"/>
  <c r="C1037" i="1"/>
  <c r="B1037" i="1"/>
  <c r="H1036" i="1"/>
  <c r="D1036" i="1"/>
  <c r="C1036" i="1"/>
  <c r="B1036" i="1"/>
  <c r="H1035" i="1"/>
  <c r="D1035" i="1"/>
  <c r="C1035" i="1"/>
  <c r="B1035" i="1"/>
  <c r="H1034" i="1"/>
  <c r="D1034" i="1"/>
  <c r="C1034" i="1"/>
  <c r="B1034" i="1"/>
  <c r="H1033" i="1"/>
  <c r="D1033" i="1"/>
  <c r="C1033" i="1"/>
  <c r="B1033" i="1"/>
  <c r="H1032" i="1"/>
  <c r="D1032" i="1"/>
  <c r="C1032" i="1"/>
  <c r="B1032" i="1"/>
  <c r="H1031" i="1"/>
  <c r="D1031" i="1"/>
  <c r="C1031" i="1"/>
  <c r="B1031" i="1"/>
  <c r="H1030" i="1"/>
  <c r="D1030" i="1"/>
  <c r="C1030" i="1"/>
  <c r="B1030" i="1"/>
  <c r="H1029" i="1"/>
  <c r="D1029" i="1"/>
  <c r="C1029" i="1"/>
  <c r="B1029" i="1"/>
  <c r="H1028" i="1"/>
  <c r="D1028" i="1"/>
  <c r="C1028" i="1"/>
  <c r="B1028" i="1"/>
  <c r="H1027" i="1"/>
  <c r="D1027" i="1"/>
  <c r="C1027" i="1"/>
  <c r="B1027" i="1"/>
  <c r="H1026" i="1"/>
  <c r="D1026" i="1"/>
  <c r="C1026" i="1"/>
  <c r="B1026" i="1"/>
  <c r="H1025" i="1"/>
  <c r="D1025" i="1"/>
  <c r="C1025" i="1"/>
  <c r="B1025" i="1"/>
  <c r="H1024" i="1"/>
  <c r="D1024" i="1"/>
  <c r="C1024" i="1"/>
  <c r="B1024" i="1"/>
  <c r="H1023" i="1"/>
  <c r="D1023" i="1"/>
  <c r="C1023" i="1"/>
  <c r="B1023" i="1"/>
  <c r="H1022" i="1"/>
  <c r="D1022" i="1"/>
  <c r="C1022" i="1"/>
  <c r="B1022" i="1"/>
  <c r="H1021" i="1"/>
  <c r="D1021" i="1"/>
  <c r="C1021" i="1"/>
  <c r="B1021" i="1"/>
  <c r="H1020" i="1"/>
  <c r="D1020" i="1"/>
  <c r="C1020" i="1"/>
  <c r="B1020" i="1"/>
  <c r="H1019" i="1"/>
  <c r="D1019" i="1"/>
  <c r="C1019" i="1"/>
  <c r="B1019" i="1"/>
  <c r="H1018" i="1"/>
  <c r="D1018" i="1"/>
  <c r="C1018" i="1"/>
  <c r="B1018" i="1"/>
  <c r="H1017" i="1"/>
  <c r="D1017" i="1"/>
  <c r="C1017" i="1"/>
  <c r="B1017" i="1"/>
  <c r="H1016" i="1"/>
  <c r="D1016" i="1"/>
  <c r="C1016" i="1"/>
  <c r="B1016" i="1"/>
  <c r="H1015" i="1"/>
  <c r="D1015" i="1"/>
  <c r="C1015" i="1"/>
  <c r="B1015" i="1"/>
  <c r="H1014" i="1"/>
  <c r="D1014" i="1"/>
  <c r="C1014" i="1"/>
  <c r="B1014" i="1"/>
  <c r="H1013" i="1"/>
  <c r="D1013" i="1"/>
  <c r="C1013" i="1"/>
  <c r="B1013" i="1"/>
  <c r="H1012" i="1"/>
  <c r="D1012" i="1"/>
  <c r="C1012" i="1"/>
  <c r="B1012" i="1"/>
  <c r="H1011" i="1"/>
  <c r="D1011" i="1"/>
  <c r="C1011" i="1"/>
  <c r="B1011" i="1"/>
  <c r="H1010" i="1"/>
  <c r="D1010" i="1"/>
  <c r="C1010" i="1"/>
  <c r="B1010" i="1"/>
  <c r="H1009" i="1"/>
  <c r="D1009" i="1"/>
  <c r="C1009" i="1"/>
  <c r="B1009" i="1"/>
  <c r="H1008" i="1"/>
  <c r="D1008" i="1"/>
  <c r="C1008" i="1"/>
  <c r="B1008" i="1"/>
  <c r="H1007" i="1"/>
  <c r="D1007" i="1"/>
  <c r="C1007" i="1"/>
  <c r="B1007" i="1"/>
  <c r="H1006" i="1"/>
  <c r="D1006" i="1"/>
  <c r="C1006" i="1"/>
  <c r="B1006" i="1"/>
  <c r="H1005" i="1"/>
  <c r="D1005" i="1"/>
  <c r="C1005" i="1"/>
  <c r="B1005" i="1"/>
  <c r="H1004" i="1"/>
  <c r="D1004" i="1"/>
  <c r="C1004" i="1"/>
  <c r="B1004" i="1"/>
  <c r="H1003" i="1"/>
  <c r="D1003" i="1"/>
  <c r="C1003" i="1"/>
  <c r="B1003" i="1"/>
  <c r="H1002" i="1"/>
  <c r="D1002" i="1"/>
  <c r="C1002" i="1"/>
  <c r="B1002" i="1"/>
  <c r="H1001" i="1"/>
  <c r="D1001" i="1"/>
  <c r="C1001" i="1"/>
  <c r="B1001" i="1"/>
  <c r="H1000" i="1"/>
  <c r="D1000" i="1"/>
  <c r="C1000" i="1"/>
  <c r="B1000" i="1"/>
  <c r="H999" i="1"/>
  <c r="D999" i="1"/>
  <c r="C999" i="1"/>
  <c r="B999" i="1"/>
  <c r="H998" i="1"/>
  <c r="D998" i="1"/>
  <c r="C998" i="1"/>
  <c r="B998" i="1"/>
  <c r="H997" i="1"/>
  <c r="D997" i="1"/>
  <c r="C997" i="1"/>
  <c r="B997" i="1"/>
  <c r="H996" i="1"/>
  <c r="D996" i="1"/>
  <c r="C996" i="1"/>
  <c r="B996" i="1"/>
  <c r="H995" i="1"/>
  <c r="D995" i="1"/>
  <c r="C995" i="1"/>
  <c r="B995" i="1"/>
  <c r="H994" i="1"/>
  <c r="D994" i="1"/>
  <c r="C994" i="1"/>
  <c r="B994" i="1"/>
  <c r="H993" i="1"/>
  <c r="D993" i="1"/>
  <c r="C993" i="1"/>
  <c r="B993" i="1"/>
  <c r="H992" i="1"/>
  <c r="D992" i="1"/>
  <c r="C992" i="1"/>
  <c r="B992" i="1"/>
  <c r="H991" i="1"/>
  <c r="D991" i="1"/>
  <c r="C991" i="1"/>
  <c r="B991" i="1"/>
  <c r="H990" i="1"/>
  <c r="D990" i="1"/>
  <c r="C990" i="1"/>
  <c r="B990" i="1"/>
  <c r="H989" i="1"/>
  <c r="D989" i="1"/>
  <c r="C989" i="1"/>
  <c r="B989" i="1"/>
  <c r="H988" i="1"/>
  <c r="D988" i="1"/>
  <c r="C988" i="1"/>
  <c r="B988" i="1"/>
  <c r="H987" i="1"/>
  <c r="D987" i="1"/>
  <c r="C987" i="1"/>
  <c r="B987" i="1"/>
  <c r="H986" i="1"/>
  <c r="D986" i="1"/>
  <c r="C986" i="1"/>
  <c r="B986" i="1"/>
  <c r="H985" i="1"/>
  <c r="D985" i="1"/>
  <c r="C985" i="1"/>
  <c r="B985" i="1"/>
  <c r="H984" i="1"/>
  <c r="D984" i="1"/>
  <c r="C984" i="1"/>
  <c r="B984" i="1"/>
  <c r="H983" i="1"/>
  <c r="D983" i="1"/>
  <c r="C983" i="1"/>
  <c r="B983" i="1"/>
  <c r="H982" i="1"/>
  <c r="D982" i="1"/>
  <c r="C982" i="1"/>
  <c r="B982" i="1"/>
  <c r="H981" i="1"/>
  <c r="D981" i="1"/>
  <c r="C981" i="1"/>
  <c r="B981" i="1"/>
  <c r="H980" i="1"/>
  <c r="D980" i="1"/>
  <c r="C980" i="1"/>
  <c r="B980" i="1"/>
  <c r="H979" i="1"/>
  <c r="D979" i="1"/>
  <c r="C979" i="1"/>
  <c r="B979" i="1"/>
  <c r="H978" i="1"/>
  <c r="D978" i="1"/>
  <c r="C978" i="1"/>
  <c r="B978" i="1"/>
  <c r="H977" i="1"/>
  <c r="D977" i="1"/>
  <c r="C977" i="1"/>
  <c r="B977" i="1"/>
  <c r="H976" i="1"/>
  <c r="D976" i="1"/>
  <c r="C976" i="1"/>
  <c r="B976" i="1"/>
  <c r="H975" i="1"/>
  <c r="D975" i="1"/>
  <c r="C975" i="1"/>
  <c r="B975" i="1"/>
  <c r="H974" i="1"/>
  <c r="D974" i="1"/>
  <c r="C974" i="1"/>
  <c r="B974" i="1"/>
  <c r="H973" i="1"/>
  <c r="D973" i="1"/>
  <c r="C973" i="1"/>
  <c r="B973" i="1"/>
  <c r="H972" i="1"/>
  <c r="D972" i="1"/>
  <c r="C972" i="1"/>
  <c r="B972" i="1"/>
  <c r="H971" i="1"/>
  <c r="D971" i="1"/>
  <c r="C971" i="1"/>
  <c r="B971" i="1"/>
  <c r="H970" i="1"/>
  <c r="D970" i="1"/>
  <c r="C970" i="1"/>
  <c r="B970" i="1"/>
  <c r="H969" i="1"/>
  <c r="D969" i="1"/>
  <c r="C969" i="1"/>
  <c r="B969" i="1"/>
  <c r="H968" i="1"/>
  <c r="D968" i="1"/>
  <c r="C968" i="1"/>
  <c r="B968" i="1"/>
  <c r="H967" i="1"/>
  <c r="D967" i="1"/>
  <c r="C967" i="1"/>
  <c r="B967" i="1"/>
  <c r="H966" i="1"/>
  <c r="D966" i="1"/>
  <c r="C966" i="1"/>
  <c r="B966" i="1"/>
  <c r="H965" i="1"/>
  <c r="D965" i="1"/>
  <c r="C965" i="1"/>
  <c r="B965" i="1"/>
  <c r="H964" i="1"/>
  <c r="D964" i="1"/>
  <c r="C964" i="1"/>
  <c r="B964" i="1"/>
  <c r="H963" i="1"/>
  <c r="D963" i="1"/>
  <c r="C963" i="1"/>
  <c r="B963" i="1"/>
  <c r="H962" i="1"/>
  <c r="D962" i="1"/>
  <c r="C962" i="1"/>
  <c r="B962" i="1"/>
  <c r="H961" i="1"/>
  <c r="D961" i="1"/>
  <c r="C961" i="1"/>
  <c r="B961" i="1"/>
  <c r="H960" i="1"/>
  <c r="D960" i="1"/>
  <c r="C960" i="1"/>
  <c r="B960" i="1"/>
  <c r="H959" i="1"/>
  <c r="D959" i="1"/>
  <c r="C959" i="1"/>
  <c r="B959" i="1"/>
  <c r="H958" i="1"/>
  <c r="D958" i="1"/>
  <c r="C958" i="1"/>
  <c r="B958" i="1"/>
  <c r="H957" i="1"/>
  <c r="D957" i="1"/>
  <c r="C957" i="1"/>
  <c r="B957" i="1"/>
  <c r="H956" i="1"/>
  <c r="D956" i="1"/>
  <c r="C956" i="1"/>
  <c r="B956" i="1"/>
  <c r="H955" i="1"/>
  <c r="D955" i="1"/>
  <c r="C955" i="1"/>
  <c r="B955" i="1"/>
  <c r="H954" i="1"/>
  <c r="D954" i="1"/>
  <c r="C954" i="1"/>
  <c r="B954" i="1"/>
  <c r="H953" i="1"/>
  <c r="D953" i="1"/>
  <c r="C953" i="1"/>
  <c r="B953" i="1"/>
  <c r="H952" i="1"/>
  <c r="D952" i="1"/>
  <c r="C952" i="1"/>
  <c r="B952" i="1"/>
  <c r="H951" i="1"/>
  <c r="D951" i="1"/>
  <c r="C951" i="1"/>
  <c r="B951" i="1"/>
  <c r="H950" i="1"/>
  <c r="D950" i="1"/>
  <c r="C950" i="1"/>
  <c r="B950" i="1"/>
  <c r="H949" i="1"/>
  <c r="D949" i="1"/>
  <c r="C949" i="1"/>
  <c r="B949" i="1"/>
  <c r="H948" i="1"/>
  <c r="D948" i="1"/>
  <c r="C948" i="1"/>
  <c r="B948" i="1"/>
  <c r="H947" i="1"/>
  <c r="D947" i="1"/>
  <c r="C947" i="1"/>
  <c r="B947" i="1"/>
  <c r="H946" i="1"/>
  <c r="D946" i="1"/>
  <c r="C946" i="1"/>
  <c r="B946" i="1"/>
  <c r="H945" i="1"/>
  <c r="D945" i="1"/>
  <c r="C945" i="1"/>
  <c r="B945" i="1"/>
  <c r="H944" i="1"/>
  <c r="D944" i="1"/>
  <c r="C944" i="1"/>
  <c r="B944" i="1"/>
  <c r="H943" i="1"/>
  <c r="D943" i="1"/>
  <c r="C943" i="1"/>
  <c r="B943" i="1"/>
  <c r="H942" i="1"/>
  <c r="D942" i="1"/>
  <c r="C942" i="1"/>
  <c r="B942" i="1"/>
  <c r="H941" i="1"/>
  <c r="D941" i="1"/>
  <c r="C941" i="1"/>
  <c r="B941" i="1"/>
  <c r="H940" i="1"/>
  <c r="D940" i="1"/>
  <c r="C940" i="1"/>
  <c r="B940" i="1"/>
  <c r="H939" i="1"/>
  <c r="D939" i="1"/>
  <c r="C939" i="1"/>
  <c r="B939" i="1"/>
  <c r="H938" i="1"/>
  <c r="D938" i="1"/>
  <c r="C938" i="1"/>
  <c r="B938" i="1"/>
  <c r="H937" i="1"/>
  <c r="D937" i="1"/>
  <c r="C937" i="1"/>
  <c r="B937" i="1"/>
  <c r="H936" i="1"/>
  <c r="D936" i="1"/>
  <c r="C936" i="1"/>
  <c r="B936" i="1"/>
  <c r="H935" i="1"/>
  <c r="D935" i="1"/>
  <c r="C935" i="1"/>
  <c r="B935" i="1"/>
  <c r="H934" i="1"/>
  <c r="D934" i="1"/>
  <c r="C934" i="1"/>
  <c r="B934" i="1"/>
  <c r="H933" i="1"/>
  <c r="D933" i="1"/>
  <c r="C933" i="1"/>
  <c r="B933" i="1"/>
  <c r="H932" i="1"/>
  <c r="D932" i="1"/>
  <c r="C932" i="1"/>
  <c r="B932" i="1"/>
  <c r="H931" i="1"/>
  <c r="D931" i="1"/>
  <c r="C931" i="1"/>
  <c r="B931" i="1"/>
  <c r="H930" i="1"/>
  <c r="D930" i="1"/>
  <c r="C930" i="1"/>
  <c r="B930" i="1"/>
  <c r="H929" i="1"/>
  <c r="D929" i="1"/>
  <c r="C929" i="1"/>
  <c r="B929" i="1"/>
  <c r="H928" i="1"/>
  <c r="D928" i="1"/>
  <c r="C928" i="1"/>
  <c r="B928" i="1"/>
  <c r="H927" i="1"/>
  <c r="D927" i="1"/>
  <c r="C927" i="1"/>
  <c r="B927" i="1"/>
  <c r="H926" i="1"/>
  <c r="D926" i="1"/>
  <c r="C926" i="1"/>
  <c r="B926" i="1"/>
  <c r="H925" i="1"/>
  <c r="D925" i="1"/>
  <c r="C925" i="1"/>
  <c r="B925" i="1"/>
  <c r="H924" i="1"/>
  <c r="D924" i="1"/>
  <c r="C924" i="1"/>
  <c r="B924" i="1"/>
  <c r="H923" i="1"/>
  <c r="D923" i="1"/>
  <c r="C923" i="1"/>
  <c r="B923" i="1"/>
  <c r="H922" i="1"/>
  <c r="D922" i="1"/>
  <c r="C922" i="1"/>
  <c r="B922" i="1"/>
  <c r="H921" i="1"/>
  <c r="D921" i="1"/>
  <c r="C921" i="1"/>
  <c r="B921" i="1"/>
  <c r="H920" i="1"/>
  <c r="D920" i="1"/>
  <c r="C920" i="1"/>
  <c r="B920" i="1"/>
  <c r="H919" i="1"/>
  <c r="D919" i="1"/>
  <c r="C919" i="1"/>
  <c r="B919" i="1"/>
  <c r="H918" i="1"/>
  <c r="D918" i="1"/>
  <c r="C918" i="1"/>
  <c r="B918" i="1"/>
  <c r="H917" i="1"/>
  <c r="D917" i="1"/>
  <c r="C917" i="1"/>
  <c r="B917" i="1"/>
  <c r="H916" i="1"/>
  <c r="D916" i="1"/>
  <c r="C916" i="1"/>
  <c r="B916" i="1"/>
  <c r="H915" i="1"/>
  <c r="D915" i="1"/>
  <c r="C915" i="1"/>
  <c r="B915" i="1"/>
  <c r="H914" i="1"/>
  <c r="D914" i="1"/>
  <c r="C914" i="1"/>
  <c r="B914" i="1"/>
  <c r="H913" i="1"/>
  <c r="D913" i="1"/>
  <c r="C913" i="1"/>
  <c r="B913" i="1"/>
  <c r="H912" i="1"/>
  <c r="D912" i="1"/>
  <c r="C912" i="1"/>
  <c r="B912" i="1"/>
  <c r="H911" i="1"/>
  <c r="D911" i="1"/>
  <c r="C911" i="1"/>
  <c r="B911" i="1"/>
  <c r="H910" i="1"/>
  <c r="D910" i="1"/>
  <c r="C910" i="1"/>
  <c r="B910" i="1"/>
  <c r="H909" i="1"/>
  <c r="D909" i="1"/>
  <c r="C909" i="1"/>
  <c r="B909" i="1"/>
  <c r="H908" i="1"/>
  <c r="D908" i="1"/>
  <c r="C908" i="1"/>
  <c r="B908" i="1"/>
  <c r="H907" i="1"/>
  <c r="D907" i="1"/>
  <c r="C907" i="1"/>
  <c r="B907" i="1"/>
  <c r="H906" i="1"/>
  <c r="D906" i="1"/>
  <c r="C906" i="1"/>
  <c r="B906" i="1"/>
  <c r="H905" i="1"/>
  <c r="D905" i="1"/>
  <c r="C905" i="1"/>
  <c r="B905" i="1"/>
  <c r="H904" i="1"/>
  <c r="D904" i="1"/>
  <c r="C904" i="1"/>
  <c r="B904" i="1"/>
  <c r="H903" i="1"/>
  <c r="D903" i="1"/>
  <c r="C903" i="1"/>
  <c r="B903" i="1"/>
  <c r="H902" i="1"/>
  <c r="D902" i="1"/>
  <c r="C902" i="1"/>
  <c r="B902" i="1"/>
  <c r="H901" i="1"/>
  <c r="D901" i="1"/>
  <c r="C901" i="1"/>
  <c r="B901" i="1"/>
  <c r="H900" i="1"/>
  <c r="D900" i="1"/>
  <c r="C900" i="1"/>
  <c r="B900" i="1"/>
  <c r="H899" i="1"/>
  <c r="D899" i="1"/>
  <c r="C899" i="1"/>
  <c r="B899" i="1"/>
  <c r="H898" i="1"/>
  <c r="D898" i="1"/>
  <c r="C898" i="1"/>
  <c r="B898" i="1"/>
  <c r="H897" i="1"/>
  <c r="D897" i="1"/>
  <c r="C897" i="1"/>
  <c r="B897" i="1"/>
  <c r="H896" i="1"/>
  <c r="D896" i="1"/>
  <c r="C896" i="1"/>
  <c r="B896" i="1"/>
  <c r="H895" i="1"/>
  <c r="D895" i="1"/>
  <c r="C895" i="1"/>
  <c r="B895" i="1"/>
  <c r="H894" i="1"/>
  <c r="D894" i="1"/>
  <c r="C894" i="1"/>
  <c r="B894" i="1"/>
  <c r="H893" i="1"/>
  <c r="D893" i="1"/>
  <c r="C893" i="1"/>
  <c r="B893" i="1"/>
  <c r="H892" i="1"/>
  <c r="D892" i="1"/>
  <c r="C892" i="1"/>
  <c r="B892" i="1"/>
  <c r="H891" i="1"/>
  <c r="D891" i="1"/>
  <c r="C891" i="1"/>
  <c r="B891" i="1"/>
  <c r="H890" i="1"/>
  <c r="D890" i="1"/>
  <c r="C890" i="1"/>
  <c r="B890" i="1"/>
  <c r="H889" i="1"/>
  <c r="D889" i="1"/>
  <c r="C889" i="1"/>
  <c r="B889" i="1"/>
  <c r="H888" i="1"/>
  <c r="D888" i="1"/>
  <c r="C888" i="1"/>
  <c r="B888" i="1"/>
  <c r="H887" i="1"/>
  <c r="D887" i="1"/>
  <c r="C887" i="1"/>
  <c r="B887" i="1"/>
  <c r="H886" i="1"/>
  <c r="D886" i="1"/>
  <c r="C886" i="1"/>
  <c r="B886" i="1"/>
  <c r="H885" i="1"/>
  <c r="D885" i="1"/>
  <c r="C885" i="1"/>
  <c r="B885" i="1"/>
  <c r="H884" i="1"/>
  <c r="D884" i="1"/>
  <c r="C884" i="1"/>
  <c r="B884" i="1"/>
  <c r="H883" i="1"/>
  <c r="D883" i="1"/>
  <c r="C883" i="1"/>
  <c r="B883" i="1"/>
  <c r="H882" i="1"/>
  <c r="D882" i="1"/>
  <c r="C882" i="1"/>
  <c r="B882" i="1"/>
  <c r="H881" i="1"/>
  <c r="D881" i="1"/>
  <c r="C881" i="1"/>
  <c r="B881" i="1"/>
  <c r="H880" i="1"/>
  <c r="D880" i="1"/>
  <c r="C880" i="1"/>
  <c r="B880" i="1"/>
  <c r="H879" i="1"/>
  <c r="D879" i="1"/>
  <c r="C879" i="1"/>
  <c r="B879" i="1"/>
  <c r="H878" i="1"/>
  <c r="D878" i="1"/>
  <c r="C878" i="1"/>
  <c r="B878" i="1"/>
  <c r="H877" i="1"/>
  <c r="D877" i="1"/>
  <c r="C877" i="1"/>
  <c r="B877" i="1"/>
  <c r="H876" i="1"/>
  <c r="D876" i="1"/>
  <c r="C876" i="1"/>
  <c r="B876" i="1"/>
  <c r="H875" i="1"/>
  <c r="D875" i="1"/>
  <c r="C875" i="1"/>
  <c r="B875" i="1"/>
  <c r="H874" i="1"/>
  <c r="D874" i="1"/>
  <c r="C874" i="1"/>
  <c r="B874" i="1"/>
  <c r="H873" i="1"/>
  <c r="D873" i="1"/>
  <c r="C873" i="1"/>
  <c r="B873" i="1"/>
  <c r="H872" i="1"/>
  <c r="D872" i="1"/>
  <c r="C872" i="1"/>
  <c r="B872" i="1"/>
  <c r="H871" i="1"/>
  <c r="D871" i="1"/>
  <c r="C871" i="1"/>
  <c r="B871" i="1"/>
  <c r="H870" i="1"/>
  <c r="D870" i="1"/>
  <c r="C870" i="1"/>
  <c r="B870" i="1"/>
  <c r="H869" i="1"/>
  <c r="D869" i="1"/>
  <c r="C869" i="1"/>
  <c r="B869" i="1"/>
  <c r="H868" i="1"/>
  <c r="D868" i="1"/>
  <c r="C868" i="1"/>
  <c r="B868" i="1"/>
  <c r="H867" i="1"/>
  <c r="D867" i="1"/>
  <c r="C867" i="1"/>
  <c r="B867" i="1"/>
  <c r="H866" i="1"/>
  <c r="D866" i="1"/>
  <c r="C866" i="1"/>
  <c r="B866" i="1"/>
  <c r="H865" i="1"/>
  <c r="D865" i="1"/>
  <c r="C865" i="1"/>
  <c r="B865" i="1"/>
  <c r="H864" i="1"/>
  <c r="D864" i="1"/>
  <c r="C864" i="1"/>
  <c r="B864" i="1"/>
  <c r="H863" i="1"/>
  <c r="D863" i="1"/>
  <c r="C863" i="1"/>
  <c r="B863" i="1"/>
  <c r="H862" i="1"/>
  <c r="D862" i="1"/>
  <c r="C862" i="1"/>
  <c r="B862" i="1"/>
  <c r="H861" i="1"/>
  <c r="D861" i="1"/>
  <c r="C861" i="1"/>
  <c r="B861" i="1"/>
  <c r="H860" i="1"/>
  <c r="D860" i="1"/>
  <c r="C860" i="1"/>
  <c r="B860" i="1"/>
  <c r="H859" i="1"/>
  <c r="D859" i="1"/>
  <c r="C859" i="1"/>
  <c r="B859" i="1"/>
  <c r="H858" i="1"/>
  <c r="D858" i="1"/>
  <c r="C858" i="1"/>
  <c r="B858" i="1"/>
  <c r="H857" i="1"/>
  <c r="D857" i="1"/>
  <c r="C857" i="1"/>
  <c r="B857" i="1"/>
  <c r="H856" i="1"/>
  <c r="D856" i="1"/>
  <c r="C856" i="1"/>
  <c r="B856" i="1"/>
  <c r="H855" i="1"/>
  <c r="D855" i="1"/>
  <c r="C855" i="1"/>
  <c r="B855" i="1"/>
  <c r="H854" i="1"/>
  <c r="D854" i="1"/>
  <c r="C854" i="1"/>
  <c r="B854" i="1"/>
  <c r="H853" i="1"/>
  <c r="D853" i="1"/>
  <c r="C853" i="1"/>
  <c r="B853" i="1"/>
  <c r="H852" i="1"/>
  <c r="D852" i="1"/>
  <c r="C852" i="1"/>
  <c r="B852" i="1"/>
  <c r="H851" i="1"/>
  <c r="D851" i="1"/>
  <c r="C851" i="1"/>
  <c r="B851" i="1"/>
  <c r="H850" i="1"/>
  <c r="D850" i="1"/>
  <c r="C850" i="1"/>
  <c r="B850" i="1"/>
  <c r="H849" i="1"/>
  <c r="D849" i="1"/>
  <c r="C849" i="1"/>
  <c r="B849" i="1"/>
  <c r="H848" i="1"/>
  <c r="D848" i="1"/>
  <c r="C848" i="1"/>
  <c r="B848" i="1"/>
  <c r="H847" i="1"/>
  <c r="D847" i="1"/>
  <c r="C847" i="1"/>
  <c r="B847" i="1"/>
  <c r="H846" i="1"/>
  <c r="D846" i="1"/>
  <c r="C846" i="1"/>
  <c r="B846" i="1"/>
  <c r="H845" i="1"/>
  <c r="D845" i="1"/>
  <c r="C845" i="1"/>
  <c r="B845" i="1"/>
  <c r="H844" i="1"/>
  <c r="D844" i="1"/>
  <c r="C844" i="1"/>
  <c r="B844" i="1"/>
  <c r="H843" i="1"/>
  <c r="D843" i="1"/>
  <c r="C843" i="1"/>
  <c r="B843" i="1"/>
  <c r="H842" i="1"/>
  <c r="D842" i="1"/>
  <c r="C842" i="1"/>
  <c r="B842" i="1"/>
  <c r="H841" i="1"/>
  <c r="D841" i="1"/>
  <c r="C841" i="1"/>
  <c r="B841" i="1"/>
  <c r="H840" i="1"/>
  <c r="D840" i="1"/>
  <c r="C840" i="1"/>
  <c r="B840" i="1"/>
  <c r="H839" i="1"/>
  <c r="D839" i="1"/>
  <c r="C839" i="1"/>
  <c r="B839" i="1"/>
  <c r="H838" i="1"/>
  <c r="D838" i="1"/>
  <c r="C838" i="1"/>
  <c r="B838" i="1"/>
  <c r="H837" i="1"/>
  <c r="D837" i="1"/>
  <c r="C837" i="1"/>
  <c r="B837" i="1"/>
  <c r="H836" i="1"/>
  <c r="D836" i="1"/>
  <c r="C836" i="1"/>
  <c r="B836" i="1"/>
  <c r="H835" i="1"/>
  <c r="D835" i="1"/>
  <c r="C835" i="1"/>
  <c r="B835" i="1"/>
  <c r="H834" i="1"/>
  <c r="D834" i="1"/>
  <c r="C834" i="1"/>
  <c r="B834" i="1"/>
  <c r="H833" i="1"/>
  <c r="D833" i="1"/>
  <c r="C833" i="1"/>
  <c r="B833" i="1"/>
  <c r="H832" i="1"/>
  <c r="D832" i="1"/>
  <c r="C832" i="1"/>
  <c r="B832" i="1"/>
  <c r="H831" i="1"/>
  <c r="D831" i="1"/>
  <c r="C831" i="1"/>
  <c r="B831" i="1"/>
  <c r="H830" i="1"/>
  <c r="D830" i="1"/>
  <c r="C830" i="1"/>
  <c r="B830" i="1"/>
  <c r="H829" i="1"/>
  <c r="D829" i="1"/>
  <c r="C829" i="1"/>
  <c r="B829" i="1"/>
  <c r="H828" i="1"/>
  <c r="D828" i="1"/>
  <c r="C828" i="1"/>
  <c r="B828" i="1"/>
  <c r="H827" i="1"/>
  <c r="D827" i="1"/>
  <c r="C827" i="1"/>
  <c r="B827" i="1"/>
  <c r="H826" i="1"/>
  <c r="D826" i="1"/>
  <c r="C826" i="1"/>
  <c r="B826" i="1"/>
  <c r="H825" i="1"/>
  <c r="D825" i="1"/>
  <c r="C825" i="1"/>
  <c r="B825" i="1"/>
  <c r="H824" i="1"/>
  <c r="D824" i="1"/>
  <c r="C824" i="1"/>
  <c r="B824" i="1"/>
  <c r="H823" i="1"/>
  <c r="D823" i="1"/>
  <c r="C823" i="1"/>
  <c r="B823" i="1"/>
  <c r="H822" i="1"/>
  <c r="D822" i="1"/>
  <c r="C822" i="1"/>
  <c r="B822" i="1"/>
  <c r="H821" i="1"/>
  <c r="D821" i="1"/>
  <c r="C821" i="1"/>
  <c r="B821" i="1"/>
  <c r="H820" i="1"/>
  <c r="D820" i="1"/>
  <c r="C820" i="1"/>
  <c r="B820" i="1"/>
  <c r="H819" i="1"/>
  <c r="D819" i="1"/>
  <c r="C819" i="1"/>
  <c r="B819" i="1"/>
  <c r="H818" i="1"/>
  <c r="D818" i="1"/>
  <c r="C818" i="1"/>
  <c r="B818" i="1"/>
  <c r="H817" i="1"/>
  <c r="D817" i="1"/>
  <c r="C817" i="1"/>
  <c r="B817" i="1"/>
  <c r="H816" i="1"/>
  <c r="D816" i="1"/>
  <c r="C816" i="1"/>
  <c r="B816" i="1"/>
  <c r="H815" i="1"/>
  <c r="D815" i="1"/>
  <c r="C815" i="1"/>
  <c r="B815" i="1"/>
  <c r="H814" i="1"/>
  <c r="D814" i="1"/>
  <c r="C814" i="1"/>
  <c r="B814" i="1"/>
  <c r="H813" i="1"/>
  <c r="D813" i="1"/>
  <c r="C813" i="1"/>
  <c r="B813" i="1"/>
  <c r="H812" i="1"/>
  <c r="D812" i="1"/>
  <c r="C812" i="1"/>
  <c r="B812" i="1"/>
  <c r="H811" i="1"/>
  <c r="D811" i="1"/>
  <c r="C811" i="1"/>
  <c r="B811" i="1"/>
  <c r="H810" i="1"/>
  <c r="D810" i="1"/>
  <c r="C810" i="1"/>
  <c r="B810" i="1"/>
  <c r="H809" i="1"/>
  <c r="D809" i="1"/>
  <c r="C809" i="1"/>
  <c r="B809" i="1"/>
  <c r="H808" i="1"/>
  <c r="D808" i="1"/>
  <c r="C808" i="1"/>
  <c r="B808" i="1"/>
  <c r="H807" i="1"/>
  <c r="D807" i="1"/>
  <c r="C807" i="1"/>
  <c r="B807" i="1"/>
  <c r="H806" i="1"/>
  <c r="D806" i="1"/>
  <c r="C806" i="1"/>
  <c r="B806" i="1"/>
  <c r="H805" i="1"/>
  <c r="D805" i="1"/>
  <c r="C805" i="1"/>
  <c r="B805" i="1"/>
  <c r="H804" i="1"/>
  <c r="D804" i="1"/>
  <c r="C804" i="1"/>
  <c r="B804" i="1"/>
  <c r="H803" i="1"/>
  <c r="D803" i="1"/>
  <c r="C803" i="1"/>
  <c r="B803" i="1"/>
  <c r="H802" i="1"/>
  <c r="D802" i="1"/>
  <c r="C802" i="1"/>
  <c r="B802" i="1"/>
  <c r="H801" i="1"/>
  <c r="D801" i="1"/>
  <c r="C801" i="1"/>
  <c r="B801" i="1"/>
  <c r="H800" i="1"/>
  <c r="D800" i="1"/>
  <c r="C800" i="1"/>
  <c r="B800" i="1"/>
  <c r="H799" i="1"/>
  <c r="D799" i="1"/>
  <c r="C799" i="1"/>
  <c r="B799" i="1"/>
  <c r="H798" i="1"/>
  <c r="D798" i="1"/>
  <c r="C798" i="1"/>
  <c r="B798" i="1"/>
  <c r="H797" i="1"/>
  <c r="D797" i="1"/>
  <c r="C797" i="1"/>
  <c r="B797" i="1"/>
  <c r="H796" i="1"/>
  <c r="D796" i="1"/>
  <c r="C796" i="1"/>
  <c r="B796" i="1"/>
  <c r="H795" i="1"/>
  <c r="D795" i="1"/>
  <c r="C795" i="1"/>
  <c r="B795" i="1"/>
  <c r="H794" i="1"/>
  <c r="D794" i="1"/>
  <c r="C794" i="1"/>
  <c r="B794" i="1"/>
  <c r="H793" i="1"/>
  <c r="D793" i="1"/>
  <c r="C793" i="1"/>
  <c r="B793" i="1"/>
  <c r="H792" i="1"/>
  <c r="D792" i="1"/>
  <c r="C792" i="1"/>
  <c r="B792" i="1"/>
  <c r="H791" i="1"/>
  <c r="D791" i="1"/>
  <c r="C791" i="1"/>
  <c r="B791" i="1"/>
  <c r="H790" i="1"/>
  <c r="D790" i="1"/>
  <c r="C790" i="1"/>
  <c r="B790" i="1"/>
  <c r="H789" i="1"/>
  <c r="D789" i="1"/>
  <c r="C789" i="1"/>
  <c r="B789" i="1"/>
  <c r="H788" i="1"/>
  <c r="D788" i="1"/>
  <c r="C788" i="1"/>
  <c r="B788" i="1"/>
  <c r="H787" i="1"/>
  <c r="D787" i="1"/>
  <c r="C787" i="1"/>
  <c r="B787" i="1"/>
  <c r="H786" i="1"/>
  <c r="D786" i="1"/>
  <c r="C786" i="1"/>
  <c r="B786" i="1"/>
  <c r="H785" i="1"/>
  <c r="D785" i="1"/>
  <c r="C785" i="1"/>
  <c r="B785" i="1"/>
  <c r="H784" i="1"/>
  <c r="D784" i="1"/>
  <c r="C784" i="1"/>
  <c r="B784" i="1"/>
  <c r="H783" i="1"/>
  <c r="D783" i="1"/>
  <c r="C783" i="1"/>
  <c r="B783" i="1"/>
  <c r="H782" i="1"/>
  <c r="D782" i="1"/>
  <c r="C782" i="1"/>
  <c r="B782" i="1"/>
  <c r="H781" i="1"/>
  <c r="D781" i="1"/>
  <c r="C781" i="1"/>
  <c r="B781" i="1"/>
  <c r="H780" i="1"/>
  <c r="D780" i="1"/>
  <c r="C780" i="1"/>
  <c r="B780" i="1"/>
  <c r="H779" i="1"/>
  <c r="D779" i="1"/>
  <c r="C779" i="1"/>
  <c r="B779" i="1"/>
  <c r="H778" i="1"/>
  <c r="D778" i="1"/>
  <c r="C778" i="1"/>
  <c r="B778" i="1"/>
  <c r="H777" i="1"/>
  <c r="D777" i="1"/>
  <c r="C777" i="1"/>
  <c r="B777" i="1"/>
  <c r="H776" i="1"/>
  <c r="D776" i="1"/>
  <c r="C776" i="1"/>
  <c r="B776" i="1"/>
  <c r="H775" i="1"/>
  <c r="D775" i="1"/>
  <c r="C775" i="1"/>
  <c r="B775" i="1"/>
  <c r="H774" i="1"/>
  <c r="D774" i="1"/>
  <c r="C774" i="1"/>
  <c r="B774" i="1"/>
  <c r="H773" i="1"/>
  <c r="D773" i="1"/>
  <c r="C773" i="1"/>
  <c r="B773" i="1"/>
  <c r="H772" i="1"/>
  <c r="D772" i="1"/>
  <c r="C772" i="1"/>
  <c r="B772" i="1"/>
  <c r="H771" i="1"/>
  <c r="D771" i="1"/>
  <c r="C771" i="1"/>
  <c r="B771" i="1"/>
  <c r="H770" i="1"/>
  <c r="D770" i="1"/>
  <c r="C770" i="1"/>
  <c r="B770" i="1"/>
  <c r="H769" i="1"/>
  <c r="D769" i="1"/>
  <c r="C769" i="1"/>
  <c r="B769" i="1"/>
  <c r="H768" i="1"/>
  <c r="D768" i="1"/>
  <c r="C768" i="1"/>
  <c r="B768" i="1"/>
  <c r="H767" i="1"/>
  <c r="D767" i="1"/>
  <c r="C767" i="1"/>
  <c r="B767" i="1"/>
  <c r="H766" i="1"/>
  <c r="D766" i="1"/>
  <c r="C766" i="1"/>
  <c r="B766" i="1"/>
  <c r="H765" i="1"/>
  <c r="D765" i="1"/>
  <c r="C765" i="1"/>
  <c r="B765" i="1"/>
  <c r="H764" i="1"/>
  <c r="D764" i="1"/>
  <c r="C764" i="1"/>
  <c r="B764" i="1"/>
  <c r="H763" i="1"/>
  <c r="D763" i="1"/>
  <c r="C763" i="1"/>
  <c r="B763" i="1"/>
  <c r="H762" i="1"/>
  <c r="D762" i="1"/>
  <c r="C762" i="1"/>
  <c r="B762" i="1"/>
  <c r="H761" i="1"/>
  <c r="D761" i="1"/>
  <c r="C761" i="1"/>
  <c r="B761" i="1"/>
  <c r="H760" i="1"/>
  <c r="D760" i="1"/>
  <c r="C760" i="1"/>
  <c r="B760" i="1"/>
  <c r="H759" i="1"/>
  <c r="D759" i="1"/>
  <c r="C759" i="1"/>
  <c r="B759" i="1"/>
  <c r="H758" i="1"/>
  <c r="D758" i="1"/>
  <c r="C758" i="1"/>
  <c r="B758" i="1"/>
  <c r="H757" i="1"/>
  <c r="D757" i="1"/>
  <c r="C757" i="1"/>
  <c r="B757" i="1"/>
  <c r="H756" i="1"/>
  <c r="D756" i="1"/>
  <c r="C756" i="1"/>
  <c r="B756" i="1"/>
  <c r="H755" i="1"/>
  <c r="D755" i="1"/>
  <c r="C755" i="1"/>
  <c r="B755" i="1"/>
  <c r="H754" i="1"/>
  <c r="D754" i="1"/>
  <c r="C754" i="1"/>
  <c r="B754" i="1"/>
  <c r="H753" i="1"/>
  <c r="D753" i="1"/>
  <c r="C753" i="1"/>
  <c r="B753" i="1"/>
  <c r="H752" i="1"/>
  <c r="D752" i="1"/>
  <c r="C752" i="1"/>
  <c r="B752" i="1"/>
  <c r="H751" i="1"/>
  <c r="D751" i="1"/>
  <c r="C751" i="1"/>
  <c r="B751" i="1"/>
  <c r="H750" i="1"/>
  <c r="D750" i="1"/>
  <c r="C750" i="1"/>
  <c r="B750" i="1"/>
  <c r="H749" i="1"/>
  <c r="D749" i="1"/>
  <c r="C749" i="1"/>
  <c r="B749" i="1"/>
  <c r="H748" i="1"/>
  <c r="D748" i="1"/>
  <c r="C748" i="1"/>
  <c r="B748" i="1"/>
  <c r="H747" i="1"/>
  <c r="D747" i="1"/>
  <c r="C747" i="1"/>
  <c r="B747" i="1"/>
  <c r="H746" i="1"/>
  <c r="D746" i="1"/>
  <c r="C746" i="1"/>
  <c r="B746" i="1"/>
  <c r="H745" i="1"/>
  <c r="D745" i="1"/>
  <c r="C745" i="1"/>
  <c r="B745" i="1"/>
  <c r="H744" i="1"/>
  <c r="D744" i="1"/>
  <c r="C744" i="1"/>
  <c r="B744" i="1"/>
  <c r="H743" i="1"/>
  <c r="D743" i="1"/>
  <c r="C743" i="1"/>
  <c r="B743" i="1"/>
  <c r="H742" i="1"/>
  <c r="D742" i="1"/>
  <c r="C742" i="1"/>
  <c r="B742" i="1"/>
  <c r="H741" i="1"/>
  <c r="D741" i="1"/>
  <c r="C741" i="1"/>
  <c r="B741" i="1"/>
  <c r="H740" i="1"/>
  <c r="D740" i="1"/>
  <c r="C740" i="1"/>
  <c r="B740" i="1"/>
  <c r="H739" i="1"/>
  <c r="D739" i="1"/>
  <c r="C739" i="1"/>
  <c r="B739" i="1"/>
  <c r="H738" i="1"/>
  <c r="D738" i="1"/>
  <c r="C738" i="1"/>
  <c r="B738" i="1"/>
  <c r="H737" i="1"/>
  <c r="D737" i="1"/>
  <c r="C737" i="1"/>
  <c r="B737" i="1"/>
  <c r="H736" i="1"/>
  <c r="D736" i="1"/>
  <c r="C736" i="1"/>
  <c r="B736" i="1"/>
  <c r="H735" i="1"/>
  <c r="D735" i="1"/>
  <c r="C735" i="1"/>
  <c r="B735" i="1"/>
  <c r="H734" i="1"/>
  <c r="D734" i="1"/>
  <c r="C734" i="1"/>
  <c r="B734" i="1"/>
  <c r="H733" i="1"/>
  <c r="D733" i="1"/>
  <c r="C733" i="1"/>
  <c r="B733" i="1"/>
  <c r="H732" i="1"/>
  <c r="D732" i="1"/>
  <c r="C732" i="1"/>
  <c r="B732" i="1"/>
  <c r="H731" i="1"/>
  <c r="D731" i="1"/>
  <c r="C731" i="1"/>
  <c r="B731" i="1"/>
  <c r="H730" i="1"/>
  <c r="D730" i="1"/>
  <c r="C730" i="1"/>
  <c r="B730" i="1"/>
  <c r="H729" i="1"/>
  <c r="D729" i="1"/>
  <c r="C729" i="1"/>
  <c r="B729" i="1"/>
  <c r="H728" i="1"/>
  <c r="D728" i="1"/>
  <c r="C728" i="1"/>
  <c r="B728" i="1"/>
  <c r="H727" i="1"/>
  <c r="D727" i="1"/>
  <c r="C727" i="1"/>
  <c r="B727" i="1"/>
  <c r="H726" i="1"/>
  <c r="D726" i="1"/>
  <c r="C726" i="1"/>
  <c r="B726" i="1"/>
  <c r="H725" i="1"/>
  <c r="D725" i="1"/>
  <c r="C725" i="1"/>
  <c r="B725" i="1"/>
  <c r="H724" i="1"/>
  <c r="D724" i="1"/>
  <c r="C724" i="1"/>
  <c r="B724" i="1"/>
  <c r="H723" i="1"/>
  <c r="D723" i="1"/>
  <c r="C723" i="1"/>
  <c r="B723" i="1"/>
  <c r="H722" i="1"/>
  <c r="D722" i="1"/>
  <c r="C722" i="1"/>
  <c r="B722" i="1"/>
  <c r="H721" i="1"/>
  <c r="D721" i="1"/>
  <c r="C721" i="1"/>
  <c r="B721" i="1"/>
  <c r="H720" i="1"/>
  <c r="D720" i="1"/>
  <c r="C720" i="1"/>
  <c r="B720" i="1"/>
  <c r="H719" i="1"/>
  <c r="D719" i="1"/>
  <c r="C719" i="1"/>
  <c r="B719" i="1"/>
  <c r="H718" i="1"/>
  <c r="D718" i="1"/>
  <c r="C718" i="1"/>
  <c r="B718" i="1"/>
  <c r="H717" i="1"/>
  <c r="D717" i="1"/>
  <c r="C717" i="1"/>
  <c r="B717" i="1"/>
  <c r="H716" i="1"/>
  <c r="D716" i="1"/>
  <c r="C716" i="1"/>
  <c r="B716" i="1"/>
  <c r="H715" i="1"/>
  <c r="D715" i="1"/>
  <c r="C715" i="1"/>
  <c r="B715" i="1"/>
  <c r="H714" i="1"/>
  <c r="D714" i="1"/>
  <c r="C714" i="1"/>
  <c r="B714" i="1"/>
  <c r="H713" i="1"/>
  <c r="D713" i="1"/>
  <c r="C713" i="1"/>
  <c r="B713" i="1"/>
  <c r="H712" i="1"/>
  <c r="D712" i="1"/>
  <c r="C712" i="1"/>
  <c r="B712" i="1"/>
  <c r="H711" i="1"/>
  <c r="D711" i="1"/>
  <c r="C711" i="1"/>
  <c r="B711" i="1"/>
  <c r="H710" i="1"/>
  <c r="D710" i="1"/>
  <c r="C710" i="1"/>
  <c r="B710" i="1"/>
  <c r="H709" i="1"/>
  <c r="D709" i="1"/>
  <c r="C709" i="1"/>
  <c r="B709" i="1"/>
  <c r="H708" i="1"/>
  <c r="D708" i="1"/>
  <c r="C708" i="1"/>
  <c r="B708" i="1"/>
  <c r="H707" i="1"/>
  <c r="D707" i="1"/>
  <c r="C707" i="1"/>
  <c r="B707" i="1"/>
  <c r="H706" i="1"/>
  <c r="D706" i="1"/>
  <c r="C706" i="1"/>
  <c r="B706" i="1"/>
  <c r="H705" i="1"/>
  <c r="D705" i="1"/>
  <c r="C705" i="1"/>
  <c r="B705" i="1"/>
  <c r="H704" i="1"/>
  <c r="D704" i="1"/>
  <c r="C704" i="1"/>
  <c r="B704" i="1"/>
  <c r="H703" i="1"/>
  <c r="D703" i="1"/>
  <c r="C703" i="1"/>
  <c r="B703" i="1"/>
  <c r="H702" i="1"/>
  <c r="D702" i="1"/>
  <c r="C702" i="1"/>
  <c r="B702" i="1"/>
  <c r="H701" i="1"/>
  <c r="D701" i="1"/>
  <c r="C701" i="1"/>
  <c r="B701" i="1"/>
  <c r="H700" i="1"/>
  <c r="D700" i="1"/>
  <c r="C700" i="1"/>
  <c r="B700" i="1"/>
  <c r="H699" i="1"/>
  <c r="D699" i="1"/>
  <c r="C699" i="1"/>
  <c r="B699" i="1"/>
  <c r="H698" i="1"/>
  <c r="D698" i="1"/>
  <c r="C698" i="1"/>
  <c r="B698" i="1"/>
  <c r="H697" i="1"/>
  <c r="D697" i="1"/>
  <c r="C697" i="1"/>
  <c r="B697" i="1"/>
  <c r="H696" i="1"/>
  <c r="D696" i="1"/>
  <c r="C696" i="1"/>
  <c r="B696" i="1"/>
  <c r="H695" i="1"/>
  <c r="D695" i="1"/>
  <c r="C695" i="1"/>
  <c r="B695" i="1"/>
  <c r="H694" i="1"/>
  <c r="D694" i="1"/>
  <c r="C694" i="1"/>
  <c r="B694" i="1"/>
  <c r="H693" i="1"/>
  <c r="D693" i="1"/>
  <c r="C693" i="1"/>
  <c r="B693" i="1"/>
  <c r="H692" i="1"/>
  <c r="D692" i="1"/>
  <c r="C692" i="1"/>
  <c r="B692" i="1"/>
  <c r="H691" i="1"/>
  <c r="D691" i="1"/>
  <c r="C691" i="1"/>
  <c r="B691" i="1"/>
  <c r="H690" i="1"/>
  <c r="D690" i="1"/>
  <c r="C690" i="1"/>
  <c r="B690" i="1"/>
  <c r="H689" i="1"/>
  <c r="D689" i="1"/>
  <c r="C689" i="1"/>
  <c r="B689" i="1"/>
  <c r="H688" i="1"/>
  <c r="D688" i="1"/>
  <c r="C688" i="1"/>
  <c r="B688" i="1"/>
  <c r="H687" i="1"/>
  <c r="D687" i="1"/>
  <c r="C687" i="1"/>
  <c r="B687" i="1"/>
  <c r="H686" i="1"/>
  <c r="D686" i="1"/>
  <c r="C686" i="1"/>
  <c r="B686" i="1"/>
  <c r="H685" i="1"/>
  <c r="D685" i="1"/>
  <c r="C685" i="1"/>
  <c r="B685" i="1"/>
  <c r="H684" i="1"/>
  <c r="D684" i="1"/>
  <c r="C684" i="1"/>
  <c r="B684" i="1"/>
  <c r="H683" i="1"/>
  <c r="D683" i="1"/>
  <c r="C683" i="1"/>
  <c r="B683" i="1"/>
  <c r="H682" i="1"/>
  <c r="D682" i="1"/>
  <c r="C682" i="1"/>
  <c r="B682" i="1"/>
  <c r="H681" i="1"/>
  <c r="D681" i="1"/>
  <c r="C681" i="1"/>
  <c r="B681" i="1"/>
  <c r="H680" i="1"/>
  <c r="D680" i="1"/>
  <c r="C680" i="1"/>
  <c r="B680" i="1"/>
  <c r="H679" i="1"/>
  <c r="D679" i="1"/>
  <c r="C679" i="1"/>
  <c r="B679" i="1"/>
  <c r="H678" i="1"/>
  <c r="D678" i="1"/>
  <c r="C678" i="1"/>
  <c r="B678" i="1"/>
  <c r="H677" i="1"/>
  <c r="D677" i="1"/>
  <c r="C677" i="1"/>
  <c r="B677" i="1"/>
  <c r="H676" i="1"/>
  <c r="D676" i="1"/>
  <c r="C676" i="1"/>
  <c r="B676" i="1"/>
  <c r="H675" i="1"/>
  <c r="D675" i="1"/>
  <c r="C675" i="1"/>
  <c r="B675" i="1"/>
  <c r="H674" i="1"/>
  <c r="D674" i="1"/>
  <c r="C674" i="1"/>
  <c r="B674" i="1"/>
  <c r="H673" i="1"/>
  <c r="D673" i="1"/>
  <c r="C673" i="1"/>
  <c r="B673" i="1"/>
  <c r="H672" i="1"/>
  <c r="D672" i="1"/>
  <c r="C672" i="1"/>
  <c r="B672" i="1"/>
  <c r="H671" i="1"/>
  <c r="D671" i="1"/>
  <c r="C671" i="1"/>
  <c r="B671" i="1"/>
  <c r="H670" i="1"/>
  <c r="D670" i="1"/>
  <c r="C670" i="1"/>
  <c r="B670" i="1"/>
  <c r="H669" i="1"/>
  <c r="D669" i="1"/>
  <c r="C669" i="1"/>
  <c r="B669" i="1"/>
  <c r="H668" i="1"/>
  <c r="D668" i="1"/>
  <c r="C668" i="1"/>
  <c r="B668" i="1"/>
  <c r="H667" i="1"/>
  <c r="D667" i="1"/>
  <c r="C667" i="1"/>
  <c r="B667" i="1"/>
  <c r="H666" i="1"/>
  <c r="D666" i="1"/>
  <c r="C666" i="1"/>
  <c r="B666" i="1"/>
  <c r="H665" i="1"/>
  <c r="D665" i="1"/>
  <c r="C665" i="1"/>
  <c r="B665" i="1"/>
  <c r="H664" i="1"/>
  <c r="D664" i="1"/>
  <c r="C664" i="1"/>
  <c r="B664" i="1"/>
  <c r="H663" i="1"/>
  <c r="D663" i="1"/>
  <c r="C663" i="1"/>
  <c r="B663" i="1"/>
  <c r="H662" i="1"/>
  <c r="D662" i="1"/>
  <c r="C662" i="1"/>
  <c r="B662" i="1"/>
  <c r="H661" i="1"/>
  <c r="D661" i="1"/>
  <c r="C661" i="1"/>
  <c r="B661" i="1"/>
  <c r="H660" i="1"/>
  <c r="D660" i="1"/>
  <c r="C660" i="1"/>
  <c r="B660" i="1"/>
  <c r="H659" i="1"/>
  <c r="D659" i="1"/>
  <c r="C659" i="1"/>
  <c r="B659" i="1"/>
  <c r="H658" i="1"/>
  <c r="D658" i="1"/>
  <c r="C658" i="1"/>
  <c r="B658" i="1"/>
  <c r="H657" i="1"/>
  <c r="D657" i="1"/>
  <c r="C657" i="1"/>
  <c r="B657" i="1"/>
  <c r="H656" i="1"/>
  <c r="D656" i="1"/>
  <c r="C656" i="1"/>
  <c r="B656" i="1"/>
  <c r="H655" i="1"/>
  <c r="D655" i="1"/>
  <c r="C655" i="1"/>
  <c r="B655" i="1"/>
  <c r="H654" i="1"/>
  <c r="D654" i="1"/>
  <c r="C654" i="1"/>
  <c r="B654" i="1"/>
  <c r="H653" i="1"/>
  <c r="D653" i="1"/>
  <c r="C653" i="1"/>
  <c r="B653" i="1"/>
  <c r="H652" i="1"/>
  <c r="D652" i="1"/>
  <c r="C652" i="1"/>
  <c r="B652" i="1"/>
  <c r="H651" i="1"/>
  <c r="D651" i="1"/>
  <c r="C651" i="1"/>
  <c r="B651" i="1"/>
  <c r="H650" i="1"/>
  <c r="D650" i="1"/>
  <c r="C650" i="1"/>
  <c r="B650" i="1"/>
  <c r="H649" i="1"/>
  <c r="D649" i="1"/>
  <c r="C649" i="1"/>
  <c r="B649" i="1"/>
  <c r="H648" i="1"/>
  <c r="D648" i="1"/>
  <c r="C648" i="1"/>
  <c r="B648" i="1"/>
  <c r="H647" i="1"/>
  <c r="D647" i="1"/>
  <c r="C647" i="1"/>
  <c r="B647" i="1"/>
  <c r="H646" i="1"/>
  <c r="D646" i="1"/>
  <c r="C646" i="1"/>
  <c r="B646" i="1"/>
  <c r="H645" i="1"/>
  <c r="D645" i="1"/>
  <c r="C645" i="1"/>
  <c r="B645" i="1"/>
  <c r="H644" i="1"/>
  <c r="D644" i="1"/>
  <c r="C644" i="1"/>
  <c r="B644" i="1"/>
  <c r="H643" i="1"/>
  <c r="D643" i="1"/>
  <c r="C643" i="1"/>
  <c r="B643" i="1"/>
  <c r="H642" i="1"/>
  <c r="D642" i="1"/>
  <c r="C642" i="1"/>
  <c r="B642" i="1"/>
  <c r="H641" i="1"/>
  <c r="D641" i="1"/>
  <c r="C641" i="1"/>
  <c r="B641" i="1"/>
  <c r="H640" i="1"/>
  <c r="D640" i="1"/>
  <c r="C640" i="1"/>
  <c r="B640" i="1"/>
  <c r="H639" i="1"/>
  <c r="D639" i="1"/>
  <c r="C639" i="1"/>
  <c r="B639" i="1"/>
  <c r="H638" i="1"/>
  <c r="D638" i="1"/>
  <c r="C638" i="1"/>
  <c r="B638" i="1"/>
  <c r="H637" i="1"/>
  <c r="D637" i="1"/>
  <c r="C637" i="1"/>
  <c r="B637" i="1"/>
  <c r="H636" i="1"/>
  <c r="D636" i="1"/>
  <c r="C636" i="1"/>
  <c r="B636" i="1"/>
  <c r="H635" i="1"/>
  <c r="D635" i="1"/>
  <c r="C635" i="1"/>
  <c r="B635" i="1"/>
  <c r="H634" i="1"/>
  <c r="D634" i="1"/>
  <c r="C634" i="1"/>
  <c r="B634" i="1"/>
  <c r="H633" i="1"/>
  <c r="D633" i="1"/>
  <c r="C633" i="1"/>
  <c r="B633" i="1"/>
  <c r="H632" i="1"/>
  <c r="D632" i="1"/>
  <c r="C632" i="1"/>
  <c r="B632" i="1"/>
  <c r="H631" i="1"/>
  <c r="D631" i="1"/>
  <c r="C631" i="1"/>
  <c r="B631" i="1"/>
  <c r="H630" i="1"/>
  <c r="D630" i="1"/>
  <c r="C630" i="1"/>
  <c r="B630" i="1"/>
  <c r="H629" i="1"/>
  <c r="D629" i="1"/>
  <c r="C629" i="1"/>
  <c r="B629" i="1"/>
  <c r="H628" i="1"/>
  <c r="D628" i="1"/>
  <c r="C628" i="1"/>
  <c r="B628" i="1"/>
  <c r="H627" i="1"/>
  <c r="D627" i="1"/>
  <c r="C627" i="1"/>
  <c r="B627" i="1"/>
  <c r="H626" i="1"/>
  <c r="D626" i="1"/>
  <c r="C626" i="1"/>
  <c r="B626" i="1"/>
  <c r="H625" i="1"/>
  <c r="D625" i="1"/>
  <c r="C625" i="1"/>
  <c r="B625" i="1"/>
  <c r="H624" i="1"/>
  <c r="D624" i="1"/>
  <c r="C624" i="1"/>
  <c r="B624" i="1"/>
  <c r="H623" i="1"/>
  <c r="D623" i="1"/>
  <c r="C623" i="1"/>
  <c r="B623" i="1"/>
  <c r="H622" i="1"/>
  <c r="D622" i="1"/>
  <c r="C622" i="1"/>
  <c r="B622" i="1"/>
  <c r="H621" i="1"/>
  <c r="D621" i="1"/>
  <c r="C621" i="1"/>
  <c r="B621" i="1"/>
  <c r="H620" i="1"/>
  <c r="D620" i="1"/>
  <c r="C620" i="1"/>
  <c r="B620" i="1"/>
  <c r="H619" i="1"/>
  <c r="D619" i="1"/>
  <c r="C619" i="1"/>
  <c r="B619" i="1"/>
  <c r="H618" i="1"/>
  <c r="D618" i="1"/>
  <c r="C618" i="1"/>
  <c r="B618" i="1"/>
  <c r="H617" i="1"/>
  <c r="D617" i="1"/>
  <c r="C617" i="1"/>
  <c r="B617" i="1"/>
  <c r="H616" i="1"/>
  <c r="D616" i="1"/>
  <c r="C616" i="1"/>
  <c r="B616" i="1"/>
  <c r="H615" i="1"/>
  <c r="D615" i="1"/>
  <c r="C615" i="1"/>
  <c r="B615" i="1"/>
  <c r="H614" i="1"/>
  <c r="D614" i="1"/>
  <c r="C614" i="1"/>
  <c r="B614" i="1"/>
  <c r="H613" i="1"/>
  <c r="D613" i="1"/>
  <c r="C613" i="1"/>
  <c r="B613" i="1"/>
  <c r="H612" i="1"/>
  <c r="D612" i="1"/>
  <c r="C612" i="1"/>
  <c r="B612" i="1"/>
  <c r="H611" i="1"/>
  <c r="D611" i="1"/>
  <c r="C611" i="1"/>
  <c r="B611" i="1"/>
  <c r="H610" i="1"/>
  <c r="D610" i="1"/>
  <c r="C610" i="1"/>
  <c r="B610" i="1"/>
  <c r="H609" i="1"/>
  <c r="D609" i="1"/>
  <c r="C609" i="1"/>
  <c r="B609" i="1"/>
  <c r="H608" i="1"/>
  <c r="D608" i="1"/>
  <c r="C608" i="1"/>
  <c r="B608" i="1"/>
  <c r="H607" i="1"/>
  <c r="D607" i="1"/>
  <c r="C607" i="1"/>
  <c r="B607" i="1"/>
  <c r="H606" i="1"/>
  <c r="D606" i="1"/>
  <c r="C606" i="1"/>
  <c r="B606" i="1"/>
  <c r="H605" i="1"/>
  <c r="D605" i="1"/>
  <c r="C605" i="1"/>
  <c r="B605" i="1"/>
  <c r="H604" i="1"/>
  <c r="D604" i="1"/>
  <c r="C604" i="1"/>
  <c r="B604" i="1"/>
  <c r="H603" i="1"/>
  <c r="D603" i="1"/>
  <c r="C603" i="1"/>
  <c r="B603" i="1"/>
  <c r="H602" i="1"/>
  <c r="D602" i="1"/>
  <c r="C602" i="1"/>
  <c r="B602" i="1"/>
  <c r="H601" i="1"/>
  <c r="D601" i="1"/>
  <c r="C601" i="1"/>
  <c r="B601" i="1"/>
  <c r="H600" i="1"/>
  <c r="D600" i="1"/>
  <c r="C600" i="1"/>
  <c r="B600" i="1"/>
  <c r="H599" i="1"/>
  <c r="D599" i="1"/>
  <c r="C599" i="1"/>
  <c r="B599" i="1"/>
  <c r="H598" i="1"/>
  <c r="D598" i="1"/>
  <c r="C598" i="1"/>
  <c r="B598" i="1"/>
  <c r="H597" i="1"/>
  <c r="D597" i="1"/>
  <c r="C597" i="1"/>
  <c r="B597" i="1"/>
  <c r="H596" i="1"/>
  <c r="D596" i="1"/>
  <c r="C596" i="1"/>
  <c r="B596" i="1"/>
  <c r="H595" i="1"/>
  <c r="D595" i="1"/>
  <c r="C595" i="1"/>
  <c r="B595" i="1"/>
  <c r="H594" i="1"/>
  <c r="D594" i="1"/>
  <c r="C594" i="1"/>
  <c r="B594" i="1"/>
  <c r="H593" i="1"/>
  <c r="D593" i="1"/>
  <c r="C593" i="1"/>
  <c r="B593" i="1"/>
  <c r="H592" i="1"/>
  <c r="D592" i="1"/>
  <c r="C592" i="1"/>
  <c r="B592" i="1"/>
  <c r="H591" i="1"/>
  <c r="D591" i="1"/>
  <c r="C591" i="1"/>
  <c r="B591" i="1"/>
  <c r="H590" i="1"/>
  <c r="D590" i="1"/>
  <c r="C590" i="1"/>
  <c r="B590" i="1"/>
  <c r="H589" i="1"/>
  <c r="D589" i="1"/>
  <c r="C589" i="1"/>
  <c r="B589" i="1"/>
  <c r="H588" i="1"/>
  <c r="D588" i="1"/>
  <c r="C588" i="1"/>
  <c r="B588" i="1"/>
  <c r="H587" i="1"/>
  <c r="D587" i="1"/>
  <c r="C587" i="1"/>
  <c r="B587" i="1"/>
  <c r="H586" i="1"/>
  <c r="D586" i="1"/>
  <c r="C586" i="1"/>
  <c r="B586" i="1"/>
  <c r="H585" i="1"/>
  <c r="D585" i="1"/>
  <c r="C585" i="1"/>
  <c r="B585" i="1"/>
  <c r="H584" i="1"/>
  <c r="D584" i="1"/>
  <c r="C584" i="1"/>
  <c r="B584" i="1"/>
  <c r="H583" i="1"/>
  <c r="D583" i="1"/>
  <c r="C583" i="1"/>
  <c r="B583" i="1"/>
  <c r="H582" i="1"/>
  <c r="D582" i="1"/>
  <c r="C582" i="1"/>
  <c r="B582" i="1"/>
  <c r="H581" i="1"/>
  <c r="D581" i="1"/>
  <c r="C581" i="1"/>
  <c r="B581" i="1"/>
  <c r="H580" i="1"/>
  <c r="D580" i="1"/>
  <c r="C580" i="1"/>
  <c r="B580" i="1"/>
  <c r="H579" i="1"/>
  <c r="D579" i="1"/>
  <c r="C579" i="1"/>
  <c r="B579" i="1"/>
  <c r="H578" i="1"/>
  <c r="D578" i="1"/>
  <c r="C578" i="1"/>
  <c r="B578" i="1"/>
  <c r="H577" i="1"/>
  <c r="D577" i="1"/>
  <c r="C577" i="1"/>
  <c r="B577" i="1"/>
  <c r="H576" i="1"/>
  <c r="D576" i="1"/>
  <c r="C576" i="1"/>
  <c r="B576" i="1"/>
  <c r="H575" i="1"/>
  <c r="D575" i="1"/>
  <c r="C575" i="1"/>
  <c r="B575" i="1"/>
  <c r="H574" i="1"/>
  <c r="D574" i="1"/>
  <c r="C574" i="1"/>
  <c r="B574" i="1"/>
  <c r="H573" i="1"/>
  <c r="D573" i="1"/>
  <c r="C573" i="1"/>
  <c r="B573" i="1"/>
  <c r="H572" i="1"/>
  <c r="D572" i="1"/>
  <c r="C572" i="1"/>
  <c r="B572" i="1"/>
  <c r="H571" i="1"/>
  <c r="D571" i="1"/>
  <c r="C571" i="1"/>
  <c r="B571" i="1"/>
  <c r="H570" i="1"/>
  <c r="D570" i="1"/>
  <c r="C570" i="1"/>
  <c r="B570" i="1"/>
  <c r="H569" i="1"/>
  <c r="D569" i="1"/>
  <c r="C569" i="1"/>
  <c r="B569" i="1"/>
  <c r="H568" i="1"/>
  <c r="D568" i="1"/>
  <c r="C568" i="1"/>
  <c r="B568" i="1"/>
  <c r="H567" i="1"/>
  <c r="D567" i="1"/>
  <c r="C567" i="1"/>
  <c r="B567" i="1"/>
  <c r="H566" i="1"/>
  <c r="D566" i="1"/>
  <c r="C566" i="1"/>
  <c r="B566" i="1"/>
  <c r="H565" i="1"/>
  <c r="D565" i="1"/>
  <c r="C565" i="1"/>
  <c r="B565" i="1"/>
  <c r="H564" i="1"/>
  <c r="D564" i="1"/>
  <c r="C564" i="1"/>
  <c r="B564" i="1"/>
  <c r="H563" i="1"/>
  <c r="D563" i="1"/>
  <c r="C563" i="1"/>
  <c r="B563" i="1"/>
  <c r="H562" i="1"/>
  <c r="D562" i="1"/>
  <c r="C562" i="1"/>
  <c r="B562" i="1"/>
  <c r="H561" i="1"/>
  <c r="D561" i="1"/>
  <c r="C561" i="1"/>
  <c r="B561" i="1"/>
  <c r="H560" i="1"/>
  <c r="D560" i="1"/>
  <c r="C560" i="1"/>
  <c r="B560" i="1"/>
  <c r="H559" i="1"/>
  <c r="D559" i="1"/>
  <c r="C559" i="1"/>
  <c r="B559" i="1"/>
  <c r="H558" i="1"/>
  <c r="D558" i="1"/>
  <c r="C558" i="1"/>
  <c r="B558" i="1"/>
  <c r="H557" i="1"/>
  <c r="D557" i="1"/>
  <c r="C557" i="1"/>
  <c r="B557" i="1"/>
  <c r="H556" i="1"/>
  <c r="D556" i="1"/>
  <c r="C556" i="1"/>
  <c r="B556" i="1"/>
  <c r="H555" i="1"/>
  <c r="D555" i="1"/>
  <c r="C555" i="1"/>
  <c r="B555" i="1"/>
  <c r="H554" i="1"/>
  <c r="D554" i="1"/>
  <c r="C554" i="1"/>
  <c r="B554" i="1"/>
  <c r="H553" i="1"/>
  <c r="D553" i="1"/>
  <c r="C553" i="1"/>
  <c r="B553" i="1"/>
  <c r="H552" i="1"/>
  <c r="D552" i="1"/>
  <c r="C552" i="1"/>
  <c r="B552" i="1"/>
  <c r="H551" i="1"/>
  <c r="D551" i="1"/>
  <c r="C551" i="1"/>
  <c r="B551" i="1"/>
  <c r="H550" i="1"/>
  <c r="D550" i="1"/>
  <c r="C550" i="1"/>
  <c r="B550" i="1"/>
  <c r="H549" i="1"/>
  <c r="D549" i="1"/>
  <c r="C549" i="1"/>
  <c r="B549" i="1"/>
  <c r="H548" i="1"/>
  <c r="D548" i="1"/>
  <c r="C548" i="1"/>
  <c r="B548" i="1"/>
  <c r="H547" i="1"/>
  <c r="D547" i="1"/>
  <c r="C547" i="1"/>
  <c r="B547" i="1"/>
  <c r="H546" i="1"/>
  <c r="D546" i="1"/>
  <c r="C546" i="1"/>
  <c r="B546" i="1"/>
  <c r="H545" i="1"/>
  <c r="D545" i="1"/>
  <c r="C545" i="1"/>
  <c r="B545" i="1"/>
  <c r="H544" i="1"/>
  <c r="D544" i="1"/>
  <c r="C544" i="1"/>
  <c r="B544" i="1"/>
  <c r="H543" i="1"/>
  <c r="D543" i="1"/>
  <c r="C543" i="1"/>
  <c r="B543" i="1"/>
  <c r="H542" i="1"/>
  <c r="D542" i="1"/>
  <c r="C542" i="1"/>
  <c r="B542" i="1"/>
  <c r="H541" i="1"/>
  <c r="D541" i="1"/>
  <c r="C541" i="1"/>
  <c r="B541" i="1"/>
  <c r="H540" i="1"/>
  <c r="D540" i="1"/>
  <c r="C540" i="1"/>
  <c r="B540" i="1"/>
  <c r="H539" i="1"/>
  <c r="D539" i="1"/>
  <c r="C539" i="1"/>
  <c r="B539" i="1"/>
  <c r="H538" i="1"/>
  <c r="D538" i="1"/>
  <c r="C538" i="1"/>
  <c r="B538" i="1"/>
  <c r="H537" i="1"/>
  <c r="D537" i="1"/>
  <c r="C537" i="1"/>
  <c r="B537" i="1"/>
  <c r="H536" i="1"/>
  <c r="D536" i="1"/>
  <c r="C536" i="1"/>
  <c r="B536" i="1"/>
  <c r="H535" i="1"/>
  <c r="D535" i="1"/>
  <c r="C535" i="1"/>
  <c r="B535" i="1"/>
  <c r="H534" i="1"/>
  <c r="D534" i="1"/>
  <c r="C534" i="1"/>
  <c r="B534" i="1"/>
  <c r="H533" i="1"/>
  <c r="D533" i="1"/>
  <c r="C533" i="1"/>
  <c r="B533" i="1"/>
  <c r="H532" i="1"/>
  <c r="D532" i="1"/>
  <c r="C532" i="1"/>
  <c r="B532" i="1"/>
  <c r="H531" i="1"/>
  <c r="D531" i="1"/>
  <c r="C531" i="1"/>
  <c r="B531" i="1"/>
  <c r="H530" i="1"/>
  <c r="D530" i="1"/>
  <c r="C530" i="1"/>
  <c r="B530" i="1"/>
  <c r="H529" i="1"/>
  <c r="D529" i="1"/>
  <c r="C529" i="1"/>
  <c r="B529" i="1"/>
  <c r="H528" i="1"/>
  <c r="D528" i="1"/>
  <c r="C528" i="1"/>
  <c r="B528" i="1"/>
  <c r="H527" i="1"/>
  <c r="D527" i="1"/>
  <c r="C527" i="1"/>
  <c r="B527" i="1"/>
  <c r="H526" i="1"/>
  <c r="D526" i="1"/>
  <c r="C526" i="1"/>
  <c r="B526" i="1"/>
  <c r="H525" i="1"/>
  <c r="D525" i="1"/>
  <c r="C525" i="1"/>
  <c r="B525" i="1"/>
  <c r="H524" i="1"/>
  <c r="D524" i="1"/>
  <c r="C524" i="1"/>
  <c r="B524" i="1"/>
  <c r="H523" i="1"/>
  <c r="D523" i="1"/>
  <c r="C523" i="1"/>
  <c r="B523" i="1"/>
  <c r="H522" i="1"/>
  <c r="D522" i="1"/>
  <c r="C522" i="1"/>
  <c r="B522" i="1"/>
  <c r="H521" i="1"/>
  <c r="D521" i="1"/>
  <c r="C521" i="1"/>
  <c r="B521" i="1"/>
  <c r="H520" i="1"/>
  <c r="D520" i="1"/>
  <c r="C520" i="1"/>
  <c r="B520" i="1"/>
  <c r="H519" i="1"/>
  <c r="D519" i="1"/>
  <c r="C519" i="1"/>
  <c r="B519" i="1"/>
  <c r="H518" i="1"/>
  <c r="D518" i="1"/>
  <c r="C518" i="1"/>
  <c r="B518" i="1"/>
  <c r="H517" i="1"/>
  <c r="D517" i="1"/>
  <c r="C517" i="1"/>
  <c r="B517" i="1"/>
  <c r="H516" i="1"/>
  <c r="D516" i="1"/>
  <c r="C516" i="1"/>
  <c r="B516" i="1"/>
  <c r="H515" i="1"/>
  <c r="D515" i="1"/>
  <c r="C515" i="1"/>
  <c r="B515" i="1"/>
  <c r="H514" i="1"/>
  <c r="D514" i="1"/>
  <c r="C514" i="1"/>
  <c r="B514" i="1"/>
  <c r="H513" i="1"/>
  <c r="D513" i="1"/>
  <c r="C513" i="1"/>
  <c r="B513" i="1"/>
  <c r="H512" i="1"/>
  <c r="D512" i="1"/>
  <c r="C512" i="1"/>
  <c r="B512" i="1"/>
  <c r="H511" i="1"/>
  <c r="D511" i="1"/>
  <c r="C511" i="1"/>
  <c r="B511" i="1"/>
  <c r="H510" i="1"/>
  <c r="D510" i="1"/>
  <c r="C510" i="1"/>
  <c r="B510" i="1"/>
  <c r="H509" i="1"/>
  <c r="D509" i="1"/>
  <c r="C509" i="1"/>
  <c r="B509" i="1"/>
  <c r="H508" i="1"/>
  <c r="D508" i="1"/>
  <c r="C508" i="1"/>
  <c r="B508" i="1"/>
  <c r="H507" i="1"/>
  <c r="D507" i="1"/>
  <c r="C507" i="1"/>
  <c r="B507" i="1"/>
  <c r="H506" i="1"/>
  <c r="D506" i="1"/>
  <c r="C506" i="1"/>
  <c r="B506" i="1"/>
  <c r="H505" i="1"/>
  <c r="D505" i="1"/>
  <c r="C505" i="1"/>
  <c r="B505" i="1"/>
  <c r="H504" i="1"/>
  <c r="D504" i="1"/>
  <c r="C504" i="1"/>
  <c r="B504" i="1"/>
  <c r="H503" i="1"/>
  <c r="D503" i="1"/>
  <c r="C503" i="1"/>
  <c r="B503" i="1"/>
  <c r="H502" i="1"/>
  <c r="D502" i="1"/>
  <c r="C502" i="1"/>
  <c r="B502" i="1"/>
  <c r="H501" i="1"/>
  <c r="D501" i="1"/>
  <c r="C501" i="1"/>
  <c r="B501" i="1"/>
  <c r="H500" i="1"/>
  <c r="D500" i="1"/>
  <c r="C500" i="1"/>
  <c r="B500" i="1"/>
  <c r="H499" i="1"/>
  <c r="D499" i="1"/>
  <c r="C499" i="1"/>
  <c r="B499" i="1"/>
  <c r="H498" i="1"/>
  <c r="D498" i="1"/>
  <c r="C498" i="1"/>
  <c r="B498" i="1"/>
  <c r="H497" i="1"/>
  <c r="D497" i="1"/>
  <c r="C497" i="1"/>
  <c r="B497" i="1"/>
  <c r="H496" i="1"/>
  <c r="D496" i="1"/>
  <c r="C496" i="1"/>
  <c r="B496" i="1"/>
  <c r="H495" i="1"/>
  <c r="D495" i="1"/>
  <c r="C495" i="1"/>
  <c r="B495" i="1"/>
  <c r="H494" i="1"/>
  <c r="D494" i="1"/>
  <c r="C494" i="1"/>
  <c r="B494" i="1"/>
  <c r="H493" i="1"/>
  <c r="D493" i="1"/>
  <c r="C493" i="1"/>
  <c r="B493" i="1"/>
  <c r="H492" i="1"/>
  <c r="D492" i="1"/>
  <c r="C492" i="1"/>
  <c r="B492" i="1"/>
  <c r="H491" i="1"/>
  <c r="D491" i="1"/>
  <c r="C491" i="1"/>
  <c r="B491" i="1"/>
  <c r="H490" i="1"/>
  <c r="D490" i="1"/>
  <c r="C490" i="1"/>
  <c r="B490" i="1"/>
  <c r="H489" i="1"/>
  <c r="D489" i="1"/>
  <c r="C489" i="1"/>
  <c r="B489" i="1"/>
  <c r="H488" i="1"/>
  <c r="D488" i="1"/>
  <c r="C488" i="1"/>
  <c r="B488" i="1"/>
  <c r="H487" i="1"/>
  <c r="D487" i="1"/>
  <c r="C487" i="1"/>
  <c r="B487" i="1"/>
  <c r="H486" i="1"/>
  <c r="D486" i="1"/>
  <c r="C486" i="1"/>
  <c r="B486" i="1"/>
  <c r="H485" i="1"/>
  <c r="D485" i="1"/>
  <c r="C485" i="1"/>
  <c r="B485" i="1"/>
  <c r="H484" i="1"/>
  <c r="D484" i="1"/>
  <c r="C484" i="1"/>
  <c r="B484" i="1"/>
  <c r="H483" i="1"/>
  <c r="D483" i="1"/>
  <c r="C483" i="1"/>
  <c r="B483" i="1"/>
  <c r="H482" i="1"/>
  <c r="D482" i="1"/>
  <c r="C482" i="1"/>
  <c r="B482" i="1"/>
  <c r="H481" i="1"/>
  <c r="D481" i="1"/>
  <c r="C481" i="1"/>
  <c r="B481" i="1"/>
  <c r="H480" i="1"/>
  <c r="D480" i="1"/>
  <c r="C480" i="1"/>
  <c r="B480" i="1"/>
  <c r="H479" i="1"/>
  <c r="D479" i="1"/>
  <c r="C479" i="1"/>
  <c r="B479" i="1"/>
  <c r="H478" i="1"/>
  <c r="D478" i="1"/>
  <c r="C478" i="1"/>
  <c r="B478" i="1"/>
  <c r="H477" i="1"/>
  <c r="D477" i="1"/>
  <c r="C477" i="1"/>
  <c r="B477" i="1"/>
  <c r="H476" i="1"/>
  <c r="D476" i="1"/>
  <c r="C476" i="1"/>
  <c r="B476" i="1"/>
  <c r="H475" i="1"/>
  <c r="D475" i="1"/>
  <c r="C475" i="1"/>
  <c r="B475" i="1"/>
  <c r="H474" i="1"/>
  <c r="D474" i="1"/>
  <c r="C474" i="1"/>
  <c r="B474" i="1"/>
  <c r="H473" i="1"/>
  <c r="D473" i="1"/>
  <c r="C473" i="1"/>
  <c r="B473" i="1"/>
  <c r="H472" i="1"/>
  <c r="D472" i="1"/>
  <c r="C472" i="1"/>
  <c r="B472" i="1"/>
  <c r="H471" i="1"/>
  <c r="D471" i="1"/>
  <c r="C471" i="1"/>
  <c r="B471" i="1"/>
  <c r="H470" i="1"/>
  <c r="D470" i="1"/>
  <c r="C470" i="1"/>
  <c r="B470" i="1"/>
  <c r="H469" i="1"/>
  <c r="D469" i="1"/>
  <c r="C469" i="1"/>
  <c r="B469" i="1"/>
  <c r="H468" i="1"/>
  <c r="D468" i="1"/>
  <c r="C468" i="1"/>
  <c r="B468" i="1"/>
  <c r="H467" i="1"/>
  <c r="D467" i="1"/>
  <c r="C467" i="1"/>
  <c r="B467" i="1"/>
  <c r="H466" i="1"/>
  <c r="D466" i="1"/>
  <c r="C466" i="1"/>
  <c r="B466" i="1"/>
  <c r="H465" i="1"/>
  <c r="D465" i="1"/>
  <c r="C465" i="1"/>
  <c r="B465" i="1"/>
  <c r="H464" i="1"/>
  <c r="D464" i="1"/>
  <c r="C464" i="1"/>
  <c r="B464" i="1"/>
  <c r="H463" i="1"/>
  <c r="D463" i="1"/>
  <c r="C463" i="1"/>
  <c r="B463" i="1"/>
  <c r="H462" i="1"/>
  <c r="D462" i="1"/>
  <c r="C462" i="1"/>
  <c r="B462" i="1"/>
  <c r="H461" i="1"/>
  <c r="D461" i="1"/>
  <c r="C461" i="1"/>
  <c r="B461" i="1"/>
  <c r="H460" i="1"/>
  <c r="D460" i="1"/>
  <c r="C460" i="1"/>
  <c r="B460" i="1"/>
  <c r="H459" i="1"/>
  <c r="D459" i="1"/>
  <c r="C459" i="1"/>
  <c r="B459" i="1"/>
  <c r="H458" i="1"/>
  <c r="D458" i="1"/>
  <c r="C458" i="1"/>
  <c r="B458" i="1"/>
  <c r="H457" i="1"/>
  <c r="D457" i="1"/>
  <c r="C457" i="1"/>
  <c r="B457" i="1"/>
  <c r="H456" i="1"/>
  <c r="D456" i="1"/>
  <c r="C456" i="1"/>
  <c r="B456" i="1"/>
  <c r="H455" i="1"/>
  <c r="D455" i="1"/>
  <c r="C455" i="1"/>
  <c r="B455" i="1"/>
  <c r="H454" i="1"/>
  <c r="D454" i="1"/>
  <c r="C454" i="1"/>
  <c r="B454" i="1"/>
  <c r="H453" i="1"/>
  <c r="D453" i="1"/>
  <c r="C453" i="1"/>
  <c r="B453" i="1"/>
  <c r="H452" i="1"/>
  <c r="D452" i="1"/>
  <c r="C452" i="1"/>
  <c r="B452" i="1"/>
  <c r="H451" i="1"/>
  <c r="D451" i="1"/>
  <c r="C451" i="1"/>
  <c r="B451" i="1"/>
  <c r="H450" i="1"/>
  <c r="D450" i="1"/>
  <c r="C450" i="1"/>
  <c r="B450" i="1"/>
  <c r="H449" i="1"/>
  <c r="D449" i="1"/>
  <c r="C449" i="1"/>
  <c r="B449" i="1"/>
  <c r="H448" i="1"/>
  <c r="D448" i="1"/>
  <c r="C448" i="1"/>
  <c r="B448" i="1"/>
  <c r="H447" i="1"/>
  <c r="D447" i="1"/>
  <c r="C447" i="1"/>
  <c r="B447" i="1"/>
  <c r="H446" i="1"/>
  <c r="D446" i="1"/>
  <c r="C446" i="1"/>
  <c r="B446" i="1"/>
  <c r="H445" i="1"/>
  <c r="D445" i="1"/>
  <c r="C445" i="1"/>
  <c r="B445" i="1"/>
  <c r="H444" i="1"/>
  <c r="D444" i="1"/>
  <c r="C444" i="1"/>
  <c r="B444" i="1"/>
  <c r="H443" i="1"/>
  <c r="D443" i="1"/>
  <c r="C443" i="1"/>
  <c r="B443" i="1"/>
  <c r="H442" i="1"/>
  <c r="D442" i="1"/>
  <c r="C442" i="1"/>
  <c r="B442" i="1"/>
  <c r="H441" i="1"/>
  <c r="D441" i="1"/>
  <c r="C441" i="1"/>
  <c r="B441" i="1"/>
  <c r="H440" i="1"/>
  <c r="D440" i="1"/>
  <c r="C440" i="1"/>
  <c r="B440" i="1"/>
  <c r="H439" i="1"/>
  <c r="D439" i="1"/>
  <c r="C439" i="1"/>
  <c r="B439" i="1"/>
  <c r="H438" i="1"/>
  <c r="D438" i="1"/>
  <c r="C438" i="1"/>
  <c r="B438" i="1"/>
  <c r="H437" i="1"/>
  <c r="D437" i="1"/>
  <c r="C437" i="1"/>
  <c r="B437" i="1"/>
  <c r="H436" i="1"/>
  <c r="D436" i="1"/>
  <c r="C436" i="1"/>
  <c r="B436" i="1"/>
  <c r="H435" i="1"/>
  <c r="D435" i="1"/>
  <c r="C435" i="1"/>
  <c r="B435" i="1"/>
  <c r="H434" i="1"/>
  <c r="D434" i="1"/>
  <c r="C434" i="1"/>
  <c r="B434" i="1"/>
  <c r="H433" i="1"/>
  <c r="D433" i="1"/>
  <c r="C433" i="1"/>
  <c r="B433" i="1"/>
  <c r="H432" i="1"/>
  <c r="D432" i="1"/>
  <c r="C432" i="1"/>
  <c r="B432" i="1"/>
  <c r="H431" i="1"/>
  <c r="D431" i="1"/>
  <c r="C431" i="1"/>
  <c r="B431" i="1"/>
  <c r="H430" i="1"/>
  <c r="D430" i="1"/>
  <c r="C430" i="1"/>
  <c r="B430" i="1"/>
  <c r="H429" i="1"/>
  <c r="D429" i="1"/>
  <c r="C429" i="1"/>
  <c r="B429" i="1"/>
  <c r="H428" i="1"/>
  <c r="D428" i="1"/>
  <c r="C428" i="1"/>
  <c r="B428" i="1"/>
  <c r="H427" i="1"/>
  <c r="D427" i="1"/>
  <c r="C427" i="1"/>
  <c r="B427" i="1"/>
  <c r="H426" i="1"/>
  <c r="D426" i="1"/>
  <c r="C426" i="1"/>
  <c r="B426" i="1"/>
  <c r="H425" i="1"/>
  <c r="D425" i="1"/>
  <c r="C425" i="1"/>
  <c r="B425" i="1"/>
  <c r="H424" i="1"/>
  <c r="D424" i="1"/>
  <c r="C424" i="1"/>
  <c r="B424" i="1"/>
  <c r="H423" i="1"/>
  <c r="D423" i="1"/>
  <c r="C423" i="1"/>
  <c r="B423" i="1"/>
  <c r="H422" i="1"/>
  <c r="D422" i="1"/>
  <c r="C422" i="1"/>
  <c r="B422" i="1"/>
  <c r="H421" i="1"/>
  <c r="D421" i="1"/>
  <c r="C421" i="1"/>
  <c r="B421" i="1"/>
  <c r="H420" i="1"/>
  <c r="D420" i="1"/>
  <c r="C420" i="1"/>
  <c r="B420" i="1"/>
  <c r="H419" i="1"/>
  <c r="D419" i="1"/>
  <c r="C419" i="1"/>
  <c r="B419" i="1"/>
  <c r="H418" i="1"/>
  <c r="D418" i="1"/>
  <c r="C418" i="1"/>
  <c r="B418" i="1"/>
  <c r="H417" i="1"/>
  <c r="D417" i="1"/>
  <c r="C417" i="1"/>
  <c r="B417" i="1"/>
  <c r="H416" i="1"/>
  <c r="D416" i="1"/>
  <c r="C416" i="1"/>
  <c r="B416" i="1"/>
  <c r="H415" i="1"/>
  <c r="D415" i="1"/>
  <c r="C415" i="1"/>
  <c r="B415" i="1"/>
  <c r="H414" i="1"/>
  <c r="D414" i="1"/>
  <c r="C414" i="1"/>
  <c r="B414" i="1"/>
  <c r="H413" i="1"/>
  <c r="D413" i="1"/>
  <c r="C413" i="1"/>
  <c r="B413" i="1"/>
  <c r="H412" i="1"/>
  <c r="D412" i="1"/>
  <c r="C412" i="1"/>
  <c r="B412" i="1"/>
  <c r="H411" i="1"/>
  <c r="D411" i="1"/>
  <c r="C411" i="1"/>
  <c r="B411" i="1"/>
  <c r="H410" i="1"/>
  <c r="D410" i="1"/>
  <c r="C410" i="1"/>
  <c r="B410" i="1"/>
  <c r="H409" i="1"/>
  <c r="D409" i="1"/>
  <c r="C409" i="1"/>
  <c r="B409" i="1"/>
  <c r="H408" i="1"/>
  <c r="D408" i="1"/>
  <c r="C408" i="1"/>
  <c r="B408" i="1"/>
  <c r="H407" i="1"/>
  <c r="D407" i="1"/>
  <c r="C407" i="1"/>
  <c r="B407" i="1"/>
  <c r="H406" i="1"/>
  <c r="D406" i="1"/>
  <c r="C406" i="1"/>
  <c r="B406" i="1"/>
  <c r="H405" i="1"/>
  <c r="D405" i="1"/>
  <c r="C405" i="1"/>
  <c r="B405" i="1"/>
  <c r="H404" i="1"/>
  <c r="D404" i="1"/>
  <c r="C404" i="1"/>
  <c r="B404" i="1"/>
  <c r="H403" i="1"/>
  <c r="D403" i="1"/>
  <c r="C403" i="1"/>
  <c r="B403" i="1"/>
  <c r="H402" i="1"/>
  <c r="D402" i="1"/>
  <c r="C402" i="1"/>
  <c r="B402" i="1"/>
  <c r="H401" i="1"/>
  <c r="D401" i="1"/>
  <c r="C401" i="1"/>
  <c r="B401" i="1"/>
  <c r="H400" i="1"/>
  <c r="D400" i="1"/>
  <c r="C400" i="1"/>
  <c r="B400" i="1"/>
  <c r="H399" i="1"/>
  <c r="D399" i="1"/>
  <c r="C399" i="1"/>
  <c r="B399" i="1"/>
  <c r="H398" i="1"/>
  <c r="D398" i="1"/>
  <c r="C398" i="1"/>
  <c r="B398" i="1"/>
  <c r="H397" i="1"/>
  <c r="D397" i="1"/>
  <c r="C397" i="1"/>
  <c r="B397" i="1"/>
  <c r="H396" i="1"/>
  <c r="D396" i="1"/>
  <c r="C396" i="1"/>
  <c r="B396" i="1"/>
  <c r="H395" i="1"/>
  <c r="D395" i="1"/>
  <c r="C395" i="1"/>
  <c r="B395" i="1"/>
  <c r="H394" i="1"/>
  <c r="D394" i="1"/>
  <c r="C394" i="1"/>
  <c r="B394" i="1"/>
  <c r="H393" i="1"/>
  <c r="D393" i="1"/>
  <c r="C393" i="1"/>
  <c r="B393" i="1"/>
  <c r="H392" i="1"/>
  <c r="D392" i="1"/>
  <c r="C392" i="1"/>
  <c r="B392" i="1"/>
  <c r="H391" i="1"/>
  <c r="D391" i="1"/>
  <c r="C391" i="1"/>
  <c r="B391" i="1"/>
  <c r="H390" i="1"/>
  <c r="D390" i="1"/>
  <c r="C390" i="1"/>
  <c r="B390" i="1"/>
  <c r="H389" i="1"/>
  <c r="D389" i="1"/>
  <c r="C389" i="1"/>
  <c r="B389" i="1"/>
  <c r="H388" i="1"/>
  <c r="D388" i="1"/>
  <c r="C388" i="1"/>
  <c r="B388" i="1"/>
  <c r="H387" i="1"/>
  <c r="D387" i="1"/>
  <c r="C387" i="1"/>
  <c r="B387" i="1"/>
  <c r="H386" i="1"/>
  <c r="D386" i="1"/>
  <c r="C386" i="1"/>
  <c r="B386" i="1"/>
  <c r="H385" i="1"/>
  <c r="D385" i="1"/>
  <c r="C385" i="1"/>
  <c r="B385" i="1"/>
  <c r="H384" i="1"/>
  <c r="D384" i="1"/>
  <c r="C384" i="1"/>
  <c r="B384" i="1"/>
  <c r="H383" i="1"/>
  <c r="D383" i="1"/>
  <c r="C383" i="1"/>
  <c r="B383" i="1"/>
  <c r="H382" i="1"/>
  <c r="D382" i="1"/>
  <c r="C382" i="1"/>
  <c r="B382" i="1"/>
  <c r="H381" i="1"/>
  <c r="D381" i="1"/>
  <c r="C381" i="1"/>
  <c r="B381" i="1"/>
  <c r="H380" i="1"/>
  <c r="D380" i="1"/>
  <c r="C380" i="1"/>
  <c r="B380" i="1"/>
  <c r="H379" i="1"/>
  <c r="D379" i="1"/>
  <c r="C379" i="1"/>
  <c r="B379" i="1"/>
  <c r="H378" i="1"/>
  <c r="D378" i="1"/>
  <c r="C378" i="1"/>
  <c r="B378" i="1"/>
  <c r="H377" i="1"/>
  <c r="D377" i="1"/>
  <c r="C377" i="1"/>
  <c r="B377" i="1"/>
  <c r="H376" i="1"/>
  <c r="D376" i="1"/>
  <c r="C376" i="1"/>
  <c r="B376" i="1"/>
  <c r="H375" i="1"/>
  <c r="D375" i="1"/>
  <c r="C375" i="1"/>
  <c r="B375" i="1"/>
  <c r="H374" i="1"/>
  <c r="D374" i="1"/>
  <c r="C374" i="1"/>
  <c r="B374" i="1"/>
  <c r="H373" i="1"/>
  <c r="D373" i="1"/>
  <c r="C373" i="1"/>
  <c r="B373" i="1"/>
  <c r="H372" i="1"/>
  <c r="D372" i="1"/>
  <c r="C372" i="1"/>
  <c r="B372" i="1"/>
  <c r="H371" i="1"/>
  <c r="D371" i="1"/>
  <c r="C371" i="1"/>
  <c r="B371" i="1"/>
  <c r="H370" i="1"/>
  <c r="D370" i="1"/>
  <c r="C370" i="1"/>
  <c r="B370" i="1"/>
  <c r="H369" i="1"/>
  <c r="D369" i="1"/>
  <c r="C369" i="1"/>
  <c r="B369" i="1"/>
  <c r="H368" i="1"/>
  <c r="D368" i="1"/>
  <c r="C368" i="1"/>
  <c r="B368" i="1"/>
  <c r="H367" i="1"/>
  <c r="D367" i="1"/>
  <c r="C367" i="1"/>
  <c r="B367" i="1"/>
  <c r="H366" i="1"/>
  <c r="D366" i="1"/>
  <c r="C366" i="1"/>
  <c r="B366" i="1"/>
  <c r="H365" i="1"/>
  <c r="D365" i="1"/>
  <c r="C365" i="1"/>
  <c r="B365" i="1"/>
  <c r="H364" i="1"/>
  <c r="D364" i="1"/>
  <c r="C364" i="1"/>
  <c r="B364" i="1"/>
  <c r="H363" i="1"/>
  <c r="D363" i="1"/>
  <c r="C363" i="1"/>
  <c r="B363" i="1"/>
  <c r="H362" i="1"/>
  <c r="D362" i="1"/>
  <c r="C362" i="1"/>
  <c r="B362" i="1"/>
  <c r="H361" i="1"/>
  <c r="D361" i="1"/>
  <c r="C361" i="1"/>
  <c r="B361" i="1"/>
  <c r="H360" i="1"/>
  <c r="D360" i="1"/>
  <c r="C360" i="1"/>
  <c r="B360" i="1"/>
  <c r="H359" i="1"/>
  <c r="D359" i="1"/>
  <c r="C359" i="1"/>
  <c r="B359" i="1"/>
  <c r="H358" i="1"/>
  <c r="D358" i="1"/>
  <c r="C358" i="1"/>
  <c r="B358" i="1"/>
  <c r="H357" i="1"/>
  <c r="D357" i="1"/>
  <c r="C357" i="1"/>
  <c r="B357" i="1"/>
  <c r="H356" i="1"/>
  <c r="D356" i="1"/>
  <c r="C356" i="1"/>
  <c r="B356" i="1"/>
  <c r="H355" i="1"/>
  <c r="D355" i="1"/>
  <c r="C355" i="1"/>
  <c r="B355" i="1"/>
  <c r="H354" i="1"/>
  <c r="D354" i="1"/>
  <c r="C354" i="1"/>
  <c r="B354" i="1"/>
  <c r="H353" i="1"/>
  <c r="D353" i="1"/>
  <c r="C353" i="1"/>
  <c r="B353" i="1"/>
  <c r="H352" i="1"/>
  <c r="D352" i="1"/>
  <c r="C352" i="1"/>
  <c r="B352" i="1"/>
  <c r="H351" i="1"/>
  <c r="D351" i="1"/>
  <c r="C351" i="1"/>
  <c r="B351" i="1"/>
  <c r="H350" i="1"/>
  <c r="D350" i="1"/>
  <c r="C350" i="1"/>
  <c r="B350" i="1"/>
  <c r="H349" i="1"/>
  <c r="D349" i="1"/>
  <c r="C349" i="1"/>
  <c r="B349" i="1"/>
  <c r="H348" i="1"/>
  <c r="D348" i="1"/>
  <c r="C348" i="1"/>
  <c r="B348" i="1"/>
  <c r="H347" i="1"/>
  <c r="D347" i="1"/>
  <c r="C347" i="1"/>
  <c r="B347" i="1"/>
  <c r="H346" i="1"/>
  <c r="D346" i="1"/>
  <c r="C346" i="1"/>
  <c r="B346" i="1"/>
  <c r="H345" i="1"/>
  <c r="D345" i="1"/>
  <c r="C345" i="1"/>
  <c r="B345" i="1"/>
  <c r="H344" i="1"/>
  <c r="D344" i="1"/>
  <c r="C344" i="1"/>
  <c r="B344" i="1"/>
  <c r="H343" i="1"/>
  <c r="D343" i="1"/>
  <c r="C343" i="1"/>
  <c r="B343" i="1"/>
  <c r="H342" i="1"/>
  <c r="D342" i="1"/>
  <c r="C342" i="1"/>
  <c r="B342" i="1"/>
  <c r="H341" i="1"/>
  <c r="D341" i="1"/>
  <c r="C341" i="1"/>
  <c r="B341" i="1"/>
  <c r="H340" i="1"/>
  <c r="D340" i="1"/>
  <c r="C340" i="1"/>
  <c r="B340" i="1"/>
  <c r="H339" i="1"/>
  <c r="D339" i="1"/>
  <c r="C339" i="1"/>
  <c r="B339" i="1"/>
  <c r="H338" i="1"/>
  <c r="D338" i="1"/>
  <c r="C338" i="1"/>
  <c r="B338" i="1"/>
  <c r="H337" i="1"/>
  <c r="D337" i="1"/>
  <c r="C337" i="1"/>
  <c r="B337" i="1"/>
  <c r="H336" i="1"/>
  <c r="D336" i="1"/>
  <c r="C336" i="1"/>
  <c r="B336" i="1"/>
  <c r="H335" i="1"/>
  <c r="D335" i="1"/>
  <c r="C335" i="1"/>
  <c r="B335" i="1"/>
  <c r="H334" i="1"/>
  <c r="D334" i="1"/>
  <c r="C334" i="1"/>
  <c r="B334" i="1"/>
  <c r="H333" i="1"/>
  <c r="D333" i="1"/>
  <c r="C333" i="1"/>
  <c r="B333" i="1"/>
  <c r="H332" i="1"/>
  <c r="D332" i="1"/>
  <c r="C332" i="1"/>
  <c r="B332" i="1"/>
  <c r="H331" i="1"/>
  <c r="D331" i="1"/>
  <c r="C331" i="1"/>
  <c r="B331" i="1"/>
  <c r="H330" i="1"/>
  <c r="D330" i="1"/>
  <c r="C330" i="1"/>
  <c r="B330" i="1"/>
  <c r="H329" i="1"/>
  <c r="D329" i="1"/>
  <c r="C329" i="1"/>
  <c r="B329" i="1"/>
  <c r="H328" i="1"/>
  <c r="D328" i="1"/>
  <c r="C328" i="1"/>
  <c r="B328" i="1"/>
  <c r="H327" i="1"/>
  <c r="D327" i="1"/>
  <c r="C327" i="1"/>
  <c r="B327" i="1"/>
  <c r="H326" i="1"/>
  <c r="D326" i="1"/>
  <c r="C326" i="1"/>
  <c r="B326" i="1"/>
  <c r="H325" i="1"/>
  <c r="D325" i="1"/>
  <c r="C325" i="1"/>
  <c r="B325" i="1"/>
  <c r="H324" i="1"/>
  <c r="D324" i="1"/>
  <c r="C324" i="1"/>
  <c r="B324" i="1"/>
  <c r="H323" i="1"/>
  <c r="D323" i="1"/>
  <c r="C323" i="1"/>
  <c r="B323" i="1"/>
  <c r="H322" i="1"/>
  <c r="D322" i="1"/>
  <c r="C322" i="1"/>
  <c r="B322" i="1"/>
  <c r="H321" i="1"/>
  <c r="D321" i="1"/>
  <c r="C321" i="1"/>
  <c r="B321" i="1"/>
  <c r="H320" i="1"/>
  <c r="D320" i="1"/>
  <c r="C320" i="1"/>
  <c r="B320" i="1"/>
  <c r="H319" i="1"/>
  <c r="D319" i="1"/>
  <c r="C319" i="1"/>
  <c r="B319" i="1"/>
  <c r="H318" i="1"/>
  <c r="D318" i="1"/>
  <c r="C318" i="1"/>
  <c r="B318" i="1"/>
  <c r="H317" i="1"/>
  <c r="D317" i="1"/>
  <c r="C317" i="1"/>
  <c r="B317" i="1"/>
  <c r="H316" i="1"/>
  <c r="D316" i="1"/>
  <c r="C316" i="1"/>
  <c r="B316" i="1"/>
  <c r="H315" i="1"/>
  <c r="D315" i="1"/>
  <c r="C315" i="1"/>
  <c r="B315" i="1"/>
  <c r="H314" i="1"/>
  <c r="D314" i="1"/>
  <c r="C314" i="1"/>
  <c r="B314" i="1"/>
  <c r="H313" i="1"/>
  <c r="D313" i="1"/>
  <c r="C313" i="1"/>
  <c r="B313" i="1"/>
  <c r="H312" i="1"/>
  <c r="D312" i="1"/>
  <c r="C312" i="1"/>
  <c r="B312" i="1"/>
  <c r="H311" i="1"/>
  <c r="D311" i="1"/>
  <c r="C311" i="1"/>
  <c r="B311" i="1"/>
  <c r="H310" i="1"/>
  <c r="D310" i="1"/>
  <c r="C310" i="1"/>
  <c r="B310" i="1"/>
  <c r="H309" i="1"/>
  <c r="D309" i="1"/>
  <c r="C309" i="1"/>
  <c r="B309" i="1"/>
  <c r="H308" i="1"/>
  <c r="D308" i="1"/>
  <c r="C308" i="1"/>
  <c r="B308" i="1"/>
  <c r="H307" i="1"/>
  <c r="D307" i="1"/>
  <c r="C307" i="1"/>
  <c r="B307" i="1"/>
  <c r="H306" i="1"/>
  <c r="D306" i="1"/>
  <c r="C306" i="1"/>
  <c r="B306" i="1"/>
  <c r="H305" i="1"/>
  <c r="D305" i="1"/>
  <c r="C305" i="1"/>
  <c r="B305" i="1"/>
  <c r="H304" i="1"/>
  <c r="D304" i="1"/>
  <c r="C304" i="1"/>
  <c r="B304" i="1"/>
  <c r="H303" i="1"/>
  <c r="D303" i="1"/>
  <c r="C303" i="1"/>
  <c r="B303" i="1"/>
  <c r="H302" i="1"/>
  <c r="D302" i="1"/>
  <c r="C302" i="1"/>
  <c r="B302" i="1"/>
  <c r="H301" i="1"/>
  <c r="D301" i="1"/>
  <c r="C301" i="1"/>
  <c r="B301" i="1"/>
  <c r="H300" i="1"/>
  <c r="D300" i="1"/>
  <c r="C300" i="1"/>
  <c r="B300" i="1"/>
  <c r="H299" i="1"/>
  <c r="D299" i="1"/>
  <c r="C299" i="1"/>
  <c r="B299" i="1"/>
  <c r="H298" i="1"/>
  <c r="D298" i="1"/>
  <c r="C298" i="1"/>
  <c r="B298" i="1"/>
  <c r="H297" i="1"/>
  <c r="D297" i="1"/>
  <c r="C297" i="1"/>
  <c r="B297" i="1"/>
  <c r="H296" i="1"/>
  <c r="D296" i="1"/>
  <c r="C296" i="1"/>
  <c r="B296" i="1"/>
  <c r="H295" i="1"/>
  <c r="D295" i="1"/>
  <c r="C295" i="1"/>
  <c r="B295" i="1"/>
  <c r="H294" i="1"/>
  <c r="D294" i="1"/>
  <c r="C294" i="1"/>
  <c r="B294" i="1"/>
  <c r="H293" i="1"/>
  <c r="D293" i="1"/>
  <c r="C293" i="1"/>
  <c r="B293" i="1"/>
  <c r="H292" i="1"/>
  <c r="D292" i="1"/>
  <c r="C292" i="1"/>
  <c r="B292" i="1"/>
  <c r="H291" i="1"/>
  <c r="D291" i="1"/>
  <c r="C291" i="1"/>
  <c r="B291" i="1"/>
  <c r="H290" i="1"/>
  <c r="D290" i="1"/>
  <c r="C290" i="1"/>
  <c r="B290" i="1"/>
  <c r="H289" i="1"/>
  <c r="D289" i="1"/>
  <c r="C289" i="1"/>
  <c r="B289" i="1"/>
  <c r="H288" i="1"/>
  <c r="D288" i="1"/>
  <c r="C288" i="1"/>
  <c r="B288" i="1"/>
  <c r="H287" i="1"/>
  <c r="D287" i="1"/>
  <c r="C287" i="1"/>
  <c r="B287" i="1"/>
  <c r="H286" i="1"/>
  <c r="D286" i="1"/>
  <c r="C286" i="1"/>
  <c r="B286" i="1"/>
  <c r="H285" i="1"/>
  <c r="D285" i="1"/>
  <c r="C285" i="1"/>
  <c r="B285" i="1"/>
  <c r="H284" i="1"/>
  <c r="D284" i="1"/>
  <c r="C284" i="1"/>
  <c r="B284" i="1"/>
  <c r="H283" i="1"/>
  <c r="D283" i="1"/>
  <c r="C283" i="1"/>
  <c r="B283" i="1"/>
  <c r="H282" i="1"/>
  <c r="D282" i="1"/>
  <c r="C282" i="1"/>
  <c r="B282" i="1"/>
  <c r="H281" i="1"/>
  <c r="D281" i="1"/>
  <c r="C281" i="1"/>
  <c r="B281" i="1"/>
  <c r="H280" i="1"/>
  <c r="D280" i="1"/>
  <c r="C280" i="1"/>
  <c r="B280" i="1"/>
  <c r="H279" i="1"/>
  <c r="D279" i="1"/>
  <c r="C279" i="1"/>
  <c r="B279" i="1"/>
  <c r="H278" i="1"/>
  <c r="D278" i="1"/>
  <c r="C278" i="1"/>
  <c r="B278" i="1"/>
  <c r="H277" i="1"/>
  <c r="D277" i="1"/>
  <c r="C277" i="1"/>
  <c r="B277" i="1"/>
  <c r="H276" i="1"/>
  <c r="D276" i="1"/>
  <c r="C276" i="1"/>
  <c r="B276" i="1"/>
  <c r="H275" i="1"/>
  <c r="D275" i="1"/>
  <c r="C275" i="1"/>
  <c r="B275" i="1"/>
  <c r="H274" i="1"/>
  <c r="D274" i="1"/>
  <c r="C274" i="1"/>
  <c r="B274" i="1"/>
  <c r="H273" i="1"/>
  <c r="D273" i="1"/>
  <c r="C273" i="1"/>
  <c r="B273" i="1"/>
  <c r="H272" i="1"/>
  <c r="D272" i="1"/>
  <c r="C272" i="1"/>
  <c r="B272" i="1"/>
  <c r="H271" i="1"/>
  <c r="D271" i="1"/>
  <c r="C271" i="1"/>
  <c r="B271" i="1"/>
  <c r="H270" i="1"/>
  <c r="D270" i="1"/>
  <c r="C270" i="1"/>
  <c r="B270" i="1"/>
  <c r="H269" i="1"/>
  <c r="D269" i="1"/>
  <c r="C269" i="1"/>
  <c r="B269" i="1"/>
  <c r="H268" i="1"/>
  <c r="D268" i="1"/>
  <c r="C268" i="1"/>
  <c r="B268" i="1"/>
  <c r="H267" i="1"/>
  <c r="D267" i="1"/>
  <c r="C267" i="1"/>
  <c r="B267" i="1"/>
  <c r="H266" i="1"/>
  <c r="D266" i="1"/>
  <c r="C266" i="1"/>
  <c r="B266" i="1"/>
  <c r="H265" i="1"/>
  <c r="D265" i="1"/>
  <c r="C265" i="1"/>
  <c r="B265" i="1"/>
  <c r="H264" i="1"/>
  <c r="D264" i="1"/>
  <c r="C264" i="1"/>
  <c r="B264" i="1"/>
  <c r="H263" i="1"/>
  <c r="D263" i="1"/>
  <c r="C263" i="1"/>
  <c r="B263" i="1"/>
  <c r="H262" i="1"/>
  <c r="D262" i="1"/>
  <c r="C262" i="1"/>
  <c r="B262" i="1"/>
  <c r="H261" i="1"/>
  <c r="D261" i="1"/>
  <c r="C261" i="1"/>
  <c r="B261" i="1"/>
  <c r="H260" i="1"/>
  <c r="D260" i="1"/>
  <c r="C260" i="1"/>
  <c r="B260" i="1"/>
  <c r="H259" i="1"/>
  <c r="D259" i="1"/>
  <c r="C259" i="1"/>
  <c r="B259" i="1"/>
  <c r="H258" i="1"/>
  <c r="D258" i="1"/>
  <c r="C258" i="1"/>
  <c r="B258" i="1"/>
  <c r="H257" i="1"/>
  <c r="D257" i="1"/>
  <c r="C257" i="1"/>
  <c r="B257" i="1"/>
  <c r="H256" i="1"/>
  <c r="D256" i="1"/>
  <c r="C256" i="1"/>
  <c r="B256" i="1"/>
  <c r="H255" i="1"/>
  <c r="D255" i="1"/>
  <c r="C255" i="1"/>
  <c r="B255" i="1"/>
  <c r="H254" i="1"/>
  <c r="D254" i="1"/>
  <c r="C254" i="1"/>
  <c r="B254" i="1"/>
  <c r="H253" i="1"/>
  <c r="D253" i="1"/>
  <c r="C253" i="1"/>
  <c r="B253" i="1"/>
  <c r="H252" i="1"/>
  <c r="D252" i="1"/>
  <c r="C252" i="1"/>
  <c r="B252" i="1"/>
  <c r="H251" i="1"/>
  <c r="D251" i="1"/>
  <c r="C251" i="1"/>
  <c r="B251" i="1"/>
  <c r="H250" i="1"/>
  <c r="D250" i="1"/>
  <c r="C250" i="1"/>
  <c r="B250" i="1"/>
  <c r="H249" i="1"/>
  <c r="D249" i="1"/>
  <c r="C249" i="1"/>
  <c r="B249" i="1"/>
  <c r="H248" i="1"/>
  <c r="D248" i="1"/>
  <c r="C248" i="1"/>
  <c r="B248" i="1"/>
  <c r="H247" i="1"/>
  <c r="D247" i="1"/>
  <c r="C247" i="1"/>
  <c r="B247" i="1"/>
  <c r="H246" i="1"/>
  <c r="D246" i="1"/>
  <c r="C246" i="1"/>
  <c r="B246" i="1"/>
  <c r="H245" i="1"/>
  <c r="D245" i="1"/>
  <c r="C245" i="1"/>
  <c r="B245" i="1"/>
  <c r="H244" i="1"/>
  <c r="D244" i="1"/>
  <c r="C244" i="1"/>
  <c r="B244" i="1"/>
  <c r="H243" i="1"/>
  <c r="D243" i="1"/>
  <c r="C243" i="1"/>
  <c r="B243" i="1"/>
  <c r="H242" i="1"/>
  <c r="D242" i="1"/>
  <c r="C242" i="1"/>
  <c r="B242" i="1"/>
  <c r="H241" i="1"/>
  <c r="D241" i="1"/>
  <c r="C241" i="1"/>
  <c r="B241" i="1"/>
  <c r="H240" i="1"/>
  <c r="D240" i="1"/>
  <c r="C240" i="1"/>
  <c r="B240" i="1"/>
  <c r="H239" i="1"/>
  <c r="D239" i="1"/>
  <c r="C239" i="1"/>
  <c r="B239" i="1"/>
  <c r="H238" i="1"/>
  <c r="D238" i="1"/>
  <c r="C238" i="1"/>
  <c r="B238" i="1"/>
  <c r="H237" i="1"/>
  <c r="D237" i="1"/>
  <c r="C237" i="1"/>
  <c r="B237" i="1"/>
  <c r="H236" i="1"/>
  <c r="D236" i="1"/>
  <c r="C236" i="1"/>
  <c r="B236" i="1"/>
  <c r="H235" i="1"/>
  <c r="D235" i="1"/>
  <c r="C235" i="1"/>
  <c r="B235" i="1"/>
  <c r="H234" i="1"/>
  <c r="D234" i="1"/>
  <c r="C234" i="1"/>
  <c r="B234" i="1"/>
  <c r="H233" i="1"/>
  <c r="D233" i="1"/>
  <c r="C233" i="1"/>
  <c r="B233" i="1"/>
  <c r="H232" i="1"/>
  <c r="D232" i="1"/>
  <c r="C232" i="1"/>
  <c r="B232" i="1"/>
  <c r="H231" i="1"/>
  <c r="D231" i="1"/>
  <c r="C231" i="1"/>
  <c r="B231" i="1"/>
  <c r="H230" i="1"/>
  <c r="D230" i="1"/>
  <c r="C230" i="1"/>
  <c r="B230" i="1"/>
  <c r="H229" i="1"/>
  <c r="D229" i="1"/>
  <c r="C229" i="1"/>
  <c r="B229" i="1"/>
  <c r="H228" i="1"/>
  <c r="D228" i="1"/>
  <c r="C228" i="1"/>
  <c r="B228" i="1"/>
  <c r="H227" i="1"/>
  <c r="D227" i="1"/>
  <c r="C227" i="1"/>
  <c r="B227" i="1"/>
  <c r="H226" i="1"/>
  <c r="D226" i="1"/>
  <c r="C226" i="1"/>
  <c r="B226" i="1"/>
  <c r="H225" i="1"/>
  <c r="D225" i="1"/>
  <c r="C225" i="1"/>
  <c r="B225" i="1"/>
  <c r="H224" i="1"/>
  <c r="D224" i="1"/>
  <c r="C224" i="1"/>
  <c r="B224" i="1"/>
  <c r="H223" i="1"/>
  <c r="D223" i="1"/>
  <c r="C223" i="1"/>
  <c r="B223" i="1"/>
  <c r="H222" i="1"/>
  <c r="D222" i="1"/>
  <c r="C222" i="1"/>
  <c r="B222" i="1"/>
  <c r="H221" i="1"/>
  <c r="D221" i="1"/>
  <c r="C221" i="1"/>
  <c r="B221" i="1"/>
  <c r="H220" i="1"/>
  <c r="D220" i="1"/>
  <c r="C220" i="1"/>
  <c r="B220" i="1"/>
  <c r="H219" i="1"/>
  <c r="D219" i="1"/>
  <c r="C219" i="1"/>
  <c r="B219" i="1"/>
  <c r="H218" i="1"/>
  <c r="D218" i="1"/>
  <c r="C218" i="1"/>
  <c r="B218" i="1"/>
  <c r="H217" i="1"/>
  <c r="D217" i="1"/>
  <c r="C217" i="1"/>
  <c r="B217" i="1"/>
  <c r="H216" i="1"/>
  <c r="D216" i="1"/>
  <c r="C216" i="1"/>
  <c r="B216" i="1"/>
  <c r="H215" i="1"/>
  <c r="D215" i="1"/>
  <c r="C215" i="1"/>
  <c r="B215" i="1"/>
  <c r="H214" i="1"/>
  <c r="D214" i="1"/>
  <c r="C214" i="1"/>
  <c r="B214" i="1"/>
  <c r="H213" i="1"/>
  <c r="D213" i="1"/>
  <c r="C213" i="1"/>
  <c r="B213" i="1"/>
  <c r="H212" i="1"/>
  <c r="D212" i="1"/>
  <c r="C212" i="1"/>
  <c r="B212" i="1"/>
  <c r="H211" i="1"/>
  <c r="D211" i="1"/>
  <c r="C211" i="1"/>
  <c r="B211" i="1"/>
  <c r="H210" i="1"/>
  <c r="D210" i="1"/>
  <c r="C210" i="1"/>
  <c r="B210" i="1"/>
  <c r="H209" i="1"/>
  <c r="D209" i="1"/>
  <c r="C209" i="1"/>
  <c r="B209" i="1"/>
  <c r="H208" i="1"/>
  <c r="D208" i="1"/>
  <c r="C208" i="1"/>
  <c r="B208" i="1"/>
  <c r="H207" i="1"/>
  <c r="D207" i="1"/>
  <c r="C207" i="1"/>
  <c r="B207" i="1"/>
  <c r="H206" i="1"/>
  <c r="D206" i="1"/>
  <c r="C206" i="1"/>
  <c r="B206" i="1"/>
  <c r="H205" i="1"/>
  <c r="D205" i="1"/>
  <c r="C205" i="1"/>
  <c r="B205" i="1"/>
  <c r="H204" i="1"/>
  <c r="D204" i="1"/>
  <c r="C204" i="1"/>
  <c r="B204" i="1"/>
  <c r="H203" i="1"/>
  <c r="D203" i="1"/>
  <c r="C203" i="1"/>
  <c r="B203" i="1"/>
  <c r="H202" i="1"/>
  <c r="D202" i="1"/>
  <c r="C202" i="1"/>
  <c r="B202" i="1"/>
  <c r="H201" i="1"/>
  <c r="D201" i="1"/>
  <c r="C201" i="1"/>
  <c r="B201" i="1"/>
  <c r="H200" i="1"/>
  <c r="D200" i="1"/>
  <c r="C200" i="1"/>
  <c r="B200" i="1"/>
  <c r="H199" i="1"/>
  <c r="D199" i="1"/>
  <c r="C199" i="1"/>
  <c r="B199" i="1"/>
  <c r="H198" i="1"/>
  <c r="D198" i="1"/>
  <c r="C198" i="1"/>
  <c r="B198" i="1"/>
  <c r="H197" i="1"/>
  <c r="D197" i="1"/>
  <c r="C197" i="1"/>
  <c r="B197" i="1"/>
  <c r="H196" i="1"/>
  <c r="D196" i="1"/>
  <c r="C196" i="1"/>
  <c r="B196" i="1"/>
  <c r="H195" i="1"/>
  <c r="D195" i="1"/>
  <c r="C195" i="1"/>
  <c r="B195" i="1"/>
  <c r="H194" i="1"/>
  <c r="D194" i="1"/>
  <c r="C194" i="1"/>
  <c r="B194" i="1"/>
  <c r="H193" i="1"/>
  <c r="D193" i="1"/>
  <c r="C193" i="1"/>
  <c r="B193" i="1"/>
  <c r="H192" i="1"/>
  <c r="D192" i="1"/>
  <c r="C192" i="1"/>
  <c r="B192" i="1"/>
  <c r="H191" i="1"/>
  <c r="D191" i="1"/>
  <c r="C191" i="1"/>
  <c r="B191" i="1"/>
  <c r="H190" i="1"/>
  <c r="D190" i="1"/>
  <c r="C190" i="1"/>
  <c r="B190" i="1"/>
  <c r="H189" i="1"/>
  <c r="D189" i="1"/>
  <c r="C189" i="1"/>
  <c r="B189" i="1"/>
  <c r="H188" i="1"/>
  <c r="D188" i="1"/>
  <c r="C188" i="1"/>
  <c r="B188" i="1"/>
  <c r="H187" i="1"/>
  <c r="D187" i="1"/>
  <c r="C187" i="1"/>
  <c r="B187" i="1"/>
  <c r="H186" i="1"/>
  <c r="D186" i="1"/>
  <c r="C186" i="1"/>
  <c r="B186" i="1"/>
  <c r="H185" i="1"/>
  <c r="D185" i="1"/>
  <c r="C185" i="1"/>
  <c r="B185" i="1"/>
  <c r="H184" i="1"/>
  <c r="D184" i="1"/>
  <c r="C184" i="1"/>
  <c r="B184" i="1"/>
  <c r="H183" i="1"/>
  <c r="D183" i="1"/>
  <c r="C183" i="1"/>
  <c r="B183" i="1"/>
  <c r="H182" i="1"/>
  <c r="D182" i="1"/>
  <c r="C182" i="1"/>
  <c r="B182" i="1"/>
  <c r="H181" i="1"/>
  <c r="D181" i="1"/>
  <c r="C181" i="1"/>
  <c r="B181" i="1"/>
  <c r="H180" i="1"/>
  <c r="D180" i="1"/>
  <c r="C180" i="1"/>
  <c r="B180" i="1"/>
  <c r="H179" i="1"/>
  <c r="D179" i="1"/>
  <c r="C179" i="1"/>
  <c r="B179" i="1"/>
  <c r="H178" i="1"/>
  <c r="D178" i="1"/>
  <c r="C178" i="1"/>
  <c r="B178" i="1"/>
  <c r="H177" i="1"/>
  <c r="D177" i="1"/>
  <c r="C177" i="1"/>
  <c r="B177" i="1"/>
  <c r="H176" i="1"/>
  <c r="D176" i="1"/>
  <c r="C176" i="1"/>
  <c r="B176" i="1"/>
  <c r="H175" i="1"/>
  <c r="D175" i="1"/>
  <c r="C175" i="1"/>
  <c r="B175" i="1"/>
  <c r="H174" i="1"/>
  <c r="D174" i="1"/>
  <c r="C174" i="1"/>
  <c r="B174" i="1"/>
  <c r="H173" i="1"/>
  <c r="D173" i="1"/>
  <c r="C173" i="1"/>
  <c r="B173" i="1"/>
  <c r="H172" i="1"/>
  <c r="D172" i="1"/>
  <c r="C172" i="1"/>
  <c r="B172" i="1"/>
  <c r="H171" i="1"/>
  <c r="D171" i="1"/>
  <c r="C171" i="1"/>
  <c r="B171" i="1"/>
  <c r="H170" i="1"/>
  <c r="D170" i="1"/>
  <c r="C170" i="1"/>
  <c r="B170" i="1"/>
  <c r="H169" i="1"/>
  <c r="D169" i="1"/>
  <c r="C169" i="1"/>
  <c r="B169" i="1"/>
  <c r="H168" i="1"/>
  <c r="D168" i="1"/>
  <c r="C168" i="1"/>
  <c r="B168" i="1"/>
  <c r="H167" i="1"/>
  <c r="D167" i="1"/>
  <c r="C167" i="1"/>
  <c r="B167" i="1"/>
  <c r="H166" i="1"/>
  <c r="D166" i="1"/>
  <c r="C166" i="1"/>
  <c r="B166" i="1"/>
  <c r="H165" i="1"/>
  <c r="D165" i="1"/>
  <c r="C165" i="1"/>
  <c r="B165" i="1"/>
  <c r="H164" i="1"/>
  <c r="D164" i="1"/>
  <c r="C164" i="1"/>
  <c r="B164" i="1"/>
  <c r="H163" i="1"/>
  <c r="D163" i="1"/>
  <c r="C163" i="1"/>
  <c r="B163" i="1"/>
  <c r="H162" i="1"/>
  <c r="D162" i="1"/>
  <c r="C162" i="1"/>
  <c r="B162" i="1"/>
  <c r="H161" i="1"/>
  <c r="D161" i="1"/>
  <c r="C161" i="1"/>
  <c r="B161" i="1"/>
  <c r="H160" i="1"/>
  <c r="D160" i="1"/>
  <c r="C160" i="1"/>
  <c r="B160" i="1"/>
  <c r="H159" i="1"/>
  <c r="D159" i="1"/>
  <c r="C159" i="1"/>
  <c r="B159" i="1"/>
  <c r="H158" i="1"/>
  <c r="D158" i="1"/>
  <c r="C158" i="1"/>
  <c r="B158" i="1"/>
  <c r="H157" i="1"/>
  <c r="D157" i="1"/>
  <c r="C157" i="1"/>
  <c r="B157" i="1"/>
  <c r="H156" i="1"/>
  <c r="D156" i="1"/>
  <c r="C156" i="1"/>
  <c r="B156" i="1"/>
  <c r="H155" i="1"/>
  <c r="D155" i="1"/>
  <c r="C155" i="1"/>
  <c r="B155" i="1"/>
  <c r="H154" i="1"/>
  <c r="D154" i="1"/>
  <c r="C154" i="1"/>
  <c r="B154" i="1"/>
  <c r="H153" i="1"/>
  <c r="D153" i="1"/>
  <c r="C153" i="1"/>
  <c r="B153" i="1"/>
  <c r="H152" i="1"/>
  <c r="D152" i="1"/>
  <c r="C152" i="1"/>
  <c r="B152" i="1"/>
  <c r="H151" i="1"/>
  <c r="D151" i="1"/>
  <c r="C151" i="1"/>
  <c r="B151" i="1"/>
  <c r="H150" i="1"/>
  <c r="D150" i="1"/>
  <c r="C150" i="1"/>
  <c r="B150" i="1"/>
  <c r="H149" i="1"/>
  <c r="D149" i="1"/>
  <c r="C149" i="1"/>
  <c r="B149" i="1"/>
  <c r="H148" i="1"/>
  <c r="D148" i="1"/>
  <c r="C148" i="1"/>
  <c r="B148" i="1"/>
  <c r="H147" i="1"/>
  <c r="D147" i="1"/>
  <c r="C147" i="1"/>
  <c r="B147" i="1"/>
  <c r="H146" i="1"/>
  <c r="D146" i="1"/>
  <c r="C146" i="1"/>
  <c r="B146" i="1"/>
  <c r="H145" i="1"/>
  <c r="D145" i="1"/>
  <c r="C145" i="1"/>
  <c r="B145" i="1"/>
  <c r="H144" i="1"/>
  <c r="D144" i="1"/>
  <c r="C144" i="1"/>
  <c r="B144" i="1"/>
  <c r="H143" i="1"/>
  <c r="D143" i="1"/>
  <c r="C143" i="1"/>
  <c r="B143" i="1"/>
  <c r="H142" i="1"/>
  <c r="D142" i="1"/>
  <c r="C142" i="1"/>
  <c r="B142" i="1"/>
  <c r="H141" i="1"/>
  <c r="D141" i="1"/>
  <c r="C141" i="1"/>
  <c r="B141" i="1"/>
  <c r="H140" i="1"/>
  <c r="D140" i="1"/>
  <c r="C140" i="1"/>
  <c r="B140" i="1"/>
  <c r="H139" i="1"/>
  <c r="D139" i="1"/>
  <c r="C139" i="1"/>
  <c r="B139" i="1"/>
  <c r="H138" i="1"/>
  <c r="D138" i="1"/>
  <c r="C138" i="1"/>
  <c r="B138" i="1"/>
  <c r="H137" i="1"/>
  <c r="D137" i="1"/>
  <c r="C137" i="1"/>
  <c r="B137" i="1"/>
  <c r="H136" i="1"/>
  <c r="D136" i="1"/>
  <c r="C136" i="1"/>
  <c r="B136" i="1"/>
  <c r="H135" i="1"/>
  <c r="D135" i="1"/>
  <c r="C135" i="1"/>
  <c r="B135" i="1"/>
  <c r="H134" i="1"/>
  <c r="D134" i="1"/>
  <c r="C134" i="1"/>
  <c r="B134" i="1"/>
  <c r="H133" i="1"/>
  <c r="D133" i="1"/>
  <c r="C133" i="1"/>
  <c r="B133" i="1"/>
  <c r="H132" i="1"/>
  <c r="D132" i="1"/>
  <c r="C132" i="1"/>
  <c r="B132" i="1"/>
  <c r="H131" i="1"/>
  <c r="D131" i="1"/>
  <c r="C131" i="1"/>
  <c r="B131" i="1"/>
  <c r="H130" i="1"/>
  <c r="D130" i="1"/>
  <c r="C130" i="1"/>
  <c r="B130" i="1"/>
  <c r="H129" i="1"/>
  <c r="D129" i="1"/>
  <c r="C129" i="1"/>
  <c r="B129" i="1"/>
  <c r="H128" i="1"/>
  <c r="D128" i="1"/>
  <c r="C128" i="1"/>
  <c r="B128" i="1"/>
  <c r="H127" i="1"/>
  <c r="D127" i="1"/>
  <c r="C127" i="1"/>
  <c r="B127" i="1"/>
  <c r="H126" i="1"/>
  <c r="D126" i="1"/>
  <c r="C126" i="1"/>
  <c r="B126" i="1"/>
  <c r="H125" i="1"/>
  <c r="D125" i="1"/>
  <c r="C125" i="1"/>
  <c r="B125" i="1"/>
  <c r="H124" i="1"/>
  <c r="D124" i="1"/>
  <c r="C124" i="1"/>
  <c r="B124" i="1"/>
  <c r="H123" i="1"/>
  <c r="D123" i="1"/>
  <c r="C123" i="1"/>
  <c r="B123" i="1"/>
  <c r="H122" i="1"/>
  <c r="D122" i="1"/>
  <c r="C122" i="1"/>
  <c r="B122" i="1"/>
  <c r="H121" i="1"/>
  <c r="D121" i="1"/>
  <c r="C121" i="1"/>
  <c r="B121" i="1"/>
  <c r="H120" i="1"/>
  <c r="D120" i="1"/>
  <c r="C120" i="1"/>
  <c r="B120" i="1"/>
  <c r="H119" i="1"/>
  <c r="D119" i="1"/>
  <c r="C119" i="1"/>
  <c r="B119" i="1"/>
  <c r="H118" i="1"/>
  <c r="D118" i="1"/>
  <c r="C118" i="1"/>
  <c r="B118" i="1"/>
  <c r="H117" i="1"/>
  <c r="D117" i="1"/>
  <c r="C117" i="1"/>
  <c r="B117" i="1"/>
  <c r="H116" i="1"/>
  <c r="D116" i="1"/>
  <c r="C116" i="1"/>
  <c r="B116" i="1"/>
  <c r="H115" i="1"/>
  <c r="D115" i="1"/>
  <c r="C115" i="1"/>
  <c r="B115" i="1"/>
  <c r="H114" i="1"/>
  <c r="D114" i="1"/>
  <c r="C114" i="1"/>
  <c r="B114" i="1"/>
  <c r="H113" i="1"/>
  <c r="D113" i="1"/>
  <c r="C113" i="1"/>
  <c r="B113" i="1"/>
  <c r="H112" i="1"/>
  <c r="D112" i="1"/>
  <c r="C112" i="1"/>
  <c r="B112" i="1"/>
  <c r="H111" i="1"/>
  <c r="D111" i="1"/>
  <c r="C111" i="1"/>
  <c r="B111" i="1"/>
  <c r="H110" i="1"/>
  <c r="D110" i="1"/>
  <c r="C110" i="1"/>
  <c r="B110" i="1"/>
  <c r="H109" i="1"/>
  <c r="D109" i="1"/>
  <c r="C109" i="1"/>
  <c r="B109" i="1"/>
  <c r="H108" i="1"/>
  <c r="D108" i="1"/>
  <c r="C108" i="1"/>
  <c r="B108" i="1"/>
  <c r="H107" i="1"/>
  <c r="D107" i="1"/>
  <c r="C107" i="1"/>
  <c r="B107" i="1"/>
  <c r="H106" i="1"/>
  <c r="D106" i="1"/>
  <c r="C106" i="1"/>
  <c r="B106" i="1"/>
  <c r="H105" i="1"/>
  <c r="D105" i="1"/>
  <c r="C105" i="1"/>
  <c r="B105" i="1"/>
  <c r="H104" i="1"/>
  <c r="D104" i="1"/>
  <c r="C104" i="1"/>
  <c r="B104" i="1"/>
  <c r="H103" i="1"/>
  <c r="D103" i="1"/>
  <c r="C103" i="1"/>
  <c r="B103" i="1"/>
  <c r="H102" i="1"/>
  <c r="D102" i="1"/>
  <c r="C102" i="1"/>
  <c r="B102" i="1"/>
  <c r="H101" i="1"/>
  <c r="D101" i="1"/>
  <c r="C101" i="1"/>
  <c r="B101" i="1"/>
  <c r="H100" i="1"/>
  <c r="D100" i="1"/>
  <c r="C100" i="1"/>
  <c r="B100" i="1"/>
  <c r="H99" i="1"/>
  <c r="D99" i="1"/>
  <c r="C99" i="1"/>
  <c r="B99" i="1"/>
  <c r="H98" i="1"/>
  <c r="D98" i="1"/>
  <c r="C98" i="1"/>
  <c r="B98" i="1"/>
  <c r="H97" i="1"/>
  <c r="D97" i="1"/>
  <c r="C97" i="1"/>
  <c r="B97" i="1"/>
  <c r="H96" i="1"/>
  <c r="D96" i="1"/>
  <c r="C96" i="1"/>
  <c r="B96" i="1"/>
  <c r="H95" i="1"/>
  <c r="D95" i="1"/>
  <c r="C95" i="1"/>
  <c r="B95" i="1"/>
  <c r="H94" i="1"/>
  <c r="D94" i="1"/>
  <c r="C94" i="1"/>
  <c r="B94" i="1"/>
  <c r="H93" i="1"/>
  <c r="D93" i="1"/>
  <c r="C93" i="1"/>
  <c r="B93" i="1"/>
  <c r="H92" i="1"/>
  <c r="D92" i="1"/>
  <c r="C92" i="1"/>
  <c r="B92" i="1"/>
  <c r="H91" i="1"/>
  <c r="D91" i="1"/>
  <c r="C91" i="1"/>
  <c r="B91" i="1"/>
  <c r="H90" i="1"/>
  <c r="D90" i="1"/>
  <c r="C90" i="1"/>
  <c r="B90" i="1"/>
  <c r="H89" i="1"/>
  <c r="D89" i="1"/>
  <c r="C89" i="1"/>
  <c r="B89" i="1"/>
  <c r="H88" i="1"/>
  <c r="D88" i="1"/>
  <c r="C88" i="1"/>
  <c r="B88" i="1"/>
  <c r="H87" i="1"/>
  <c r="D87" i="1"/>
  <c r="C87" i="1"/>
  <c r="B87" i="1"/>
  <c r="H86" i="1"/>
  <c r="D86" i="1"/>
  <c r="C86" i="1"/>
  <c r="B86" i="1"/>
  <c r="H85" i="1"/>
  <c r="D85" i="1"/>
  <c r="C85" i="1"/>
  <c r="B85" i="1"/>
  <c r="H84" i="1"/>
  <c r="D84" i="1"/>
  <c r="C84" i="1"/>
  <c r="B84" i="1"/>
  <c r="H83" i="1"/>
  <c r="D83" i="1"/>
  <c r="C83" i="1"/>
  <c r="B83" i="1"/>
  <c r="H82" i="1"/>
  <c r="D82" i="1"/>
  <c r="C82" i="1"/>
  <c r="B82" i="1"/>
  <c r="H81" i="1"/>
  <c r="D81" i="1"/>
  <c r="C81" i="1"/>
  <c r="B81" i="1"/>
  <c r="H80" i="1"/>
  <c r="D80" i="1"/>
  <c r="C80" i="1"/>
  <c r="B80" i="1"/>
  <c r="H79" i="1"/>
  <c r="D79" i="1"/>
  <c r="C79" i="1"/>
  <c r="B79" i="1"/>
  <c r="H78" i="1"/>
  <c r="D78" i="1"/>
  <c r="C78" i="1"/>
  <c r="B78" i="1"/>
  <c r="H77" i="1"/>
  <c r="D77" i="1"/>
  <c r="C77" i="1"/>
  <c r="B77" i="1"/>
  <c r="H76" i="1"/>
  <c r="D76" i="1"/>
  <c r="C76" i="1"/>
  <c r="B76" i="1"/>
  <c r="H75" i="1"/>
  <c r="D75" i="1"/>
  <c r="C75" i="1"/>
  <c r="B75" i="1"/>
  <c r="H74" i="1"/>
  <c r="D74" i="1"/>
  <c r="C74" i="1"/>
  <c r="B74" i="1"/>
  <c r="H73" i="1"/>
  <c r="D73" i="1"/>
  <c r="C73" i="1"/>
  <c r="B73" i="1"/>
  <c r="H72" i="1"/>
  <c r="D72" i="1"/>
  <c r="C72" i="1"/>
  <c r="B72" i="1"/>
  <c r="H71" i="1"/>
  <c r="D71" i="1"/>
  <c r="C71" i="1"/>
  <c r="B71" i="1"/>
  <c r="H70" i="1"/>
  <c r="D70" i="1"/>
  <c r="C70" i="1"/>
  <c r="B70" i="1"/>
  <c r="H69" i="1"/>
  <c r="D69" i="1"/>
  <c r="C69" i="1"/>
  <c r="B69" i="1"/>
  <c r="H68" i="1"/>
  <c r="D68" i="1"/>
  <c r="C68" i="1"/>
  <c r="B68" i="1"/>
  <c r="H67" i="1"/>
  <c r="D67" i="1"/>
  <c r="C67" i="1"/>
  <c r="B67" i="1"/>
  <c r="H66" i="1"/>
  <c r="D66" i="1"/>
  <c r="C66" i="1"/>
  <c r="B66" i="1"/>
  <c r="H65" i="1"/>
  <c r="D65" i="1"/>
  <c r="C65" i="1"/>
  <c r="B65" i="1"/>
  <c r="H64" i="1"/>
  <c r="D64" i="1"/>
  <c r="C64" i="1"/>
  <c r="B64" i="1"/>
  <c r="H63" i="1"/>
  <c r="D63" i="1"/>
  <c r="C63" i="1"/>
  <c r="B63" i="1"/>
  <c r="H62" i="1"/>
  <c r="D62" i="1"/>
  <c r="C62" i="1"/>
  <c r="B62" i="1"/>
  <c r="H61" i="1"/>
  <c r="D61" i="1"/>
  <c r="C61" i="1"/>
  <c r="B61" i="1"/>
  <c r="H60" i="1"/>
  <c r="D60" i="1"/>
  <c r="C60" i="1"/>
  <c r="B60" i="1"/>
  <c r="H59" i="1"/>
  <c r="D59" i="1"/>
  <c r="C59" i="1"/>
  <c r="B59" i="1"/>
  <c r="H58" i="1"/>
  <c r="D58" i="1"/>
  <c r="C58" i="1"/>
  <c r="B58" i="1"/>
  <c r="H57" i="1"/>
  <c r="D57" i="1"/>
  <c r="C57" i="1"/>
  <c r="B57" i="1"/>
  <c r="H56" i="1"/>
  <c r="D56" i="1"/>
  <c r="C56" i="1"/>
  <c r="B56" i="1"/>
  <c r="H55" i="1"/>
  <c r="D55" i="1"/>
  <c r="C55" i="1"/>
  <c r="B55" i="1"/>
  <c r="H54" i="1"/>
  <c r="D54" i="1"/>
  <c r="C54" i="1"/>
  <c r="B54" i="1"/>
  <c r="H53" i="1"/>
  <c r="D53" i="1"/>
  <c r="C53" i="1"/>
  <c r="B53" i="1"/>
  <c r="H52" i="1"/>
  <c r="D52" i="1"/>
  <c r="C52" i="1"/>
  <c r="B52" i="1"/>
  <c r="H51" i="1"/>
  <c r="D51" i="1"/>
  <c r="C51" i="1"/>
  <c r="B51" i="1"/>
  <c r="H50" i="1"/>
  <c r="D50" i="1"/>
  <c r="C50" i="1"/>
  <c r="B50" i="1"/>
  <c r="H49" i="1"/>
  <c r="D49" i="1"/>
  <c r="C49" i="1"/>
  <c r="B49" i="1"/>
  <c r="H48" i="1"/>
  <c r="D48" i="1"/>
  <c r="C48" i="1"/>
  <c r="B48" i="1"/>
  <c r="H47" i="1"/>
  <c r="D47" i="1"/>
  <c r="C47" i="1"/>
  <c r="B47" i="1"/>
  <c r="H46" i="1"/>
  <c r="D46" i="1"/>
  <c r="C46" i="1"/>
  <c r="B46" i="1"/>
  <c r="H45" i="1"/>
  <c r="D45" i="1"/>
  <c r="C45" i="1"/>
  <c r="B45" i="1"/>
  <c r="H44" i="1"/>
  <c r="D44" i="1"/>
  <c r="C44" i="1"/>
  <c r="B44" i="1"/>
  <c r="H43" i="1"/>
  <c r="D43" i="1"/>
  <c r="C43" i="1"/>
  <c r="B43" i="1"/>
  <c r="H42" i="1"/>
  <c r="D42" i="1"/>
  <c r="C42" i="1"/>
  <c r="B42" i="1"/>
  <c r="H41" i="1"/>
  <c r="D41" i="1"/>
  <c r="C41" i="1"/>
  <c r="B41" i="1"/>
  <c r="H40" i="1"/>
  <c r="D40" i="1"/>
  <c r="C40" i="1"/>
  <c r="B40" i="1"/>
  <c r="H39" i="1"/>
  <c r="D39" i="1"/>
  <c r="C39" i="1"/>
  <c r="B39" i="1"/>
  <c r="H38" i="1"/>
  <c r="D38" i="1"/>
  <c r="C38" i="1"/>
  <c r="B38" i="1"/>
  <c r="H37" i="1"/>
  <c r="D37" i="1"/>
  <c r="C37" i="1"/>
  <c r="B37" i="1"/>
  <c r="H36" i="1"/>
  <c r="D36" i="1"/>
  <c r="C36" i="1"/>
  <c r="B36" i="1"/>
  <c r="H35" i="1"/>
  <c r="D35" i="1"/>
  <c r="C35" i="1"/>
  <c r="B35" i="1"/>
  <c r="H34" i="1"/>
  <c r="D34" i="1"/>
  <c r="C34" i="1"/>
  <c r="B34" i="1"/>
  <c r="H33" i="1"/>
  <c r="D33" i="1"/>
  <c r="C33" i="1"/>
  <c r="B33" i="1"/>
  <c r="H32" i="1"/>
  <c r="D32" i="1"/>
  <c r="C32" i="1"/>
  <c r="B32" i="1"/>
  <c r="H31" i="1"/>
  <c r="D31" i="1"/>
  <c r="C31" i="1"/>
  <c r="B31" i="1"/>
  <c r="H30" i="1"/>
  <c r="D30" i="1"/>
  <c r="C30" i="1"/>
  <c r="B30" i="1"/>
  <c r="H29" i="1"/>
  <c r="D29" i="1"/>
  <c r="C29" i="1"/>
  <c r="B29" i="1"/>
  <c r="H28" i="1"/>
  <c r="D28" i="1"/>
  <c r="C28" i="1"/>
  <c r="B28" i="1"/>
  <c r="H27" i="1"/>
  <c r="D27" i="1"/>
  <c r="C27" i="1"/>
  <c r="B27" i="1"/>
  <c r="H26" i="1"/>
  <c r="D26" i="1"/>
  <c r="C26" i="1"/>
  <c r="B26" i="1"/>
  <c r="H25" i="1"/>
  <c r="D25" i="1"/>
  <c r="C25" i="1"/>
  <c r="B25" i="1"/>
  <c r="H24" i="1"/>
  <c r="D24" i="1"/>
  <c r="C24" i="1"/>
  <c r="B24" i="1"/>
  <c r="H23" i="1"/>
  <c r="D23" i="1"/>
  <c r="C23" i="1"/>
  <c r="B23" i="1"/>
  <c r="H22" i="1"/>
  <c r="D22" i="1"/>
  <c r="C22" i="1"/>
  <c r="B22" i="1"/>
  <c r="H21" i="1"/>
  <c r="D21" i="1"/>
  <c r="C21" i="1"/>
  <c r="B21" i="1"/>
  <c r="H20" i="1"/>
  <c r="D20" i="1"/>
  <c r="C20" i="1"/>
  <c r="B20" i="1"/>
  <c r="H19" i="1"/>
  <c r="D19" i="1"/>
  <c r="C19" i="1"/>
  <c r="B19" i="1"/>
  <c r="H18" i="1"/>
  <c r="D18" i="1"/>
  <c r="C18" i="1"/>
  <c r="B18" i="1"/>
  <c r="H17" i="1"/>
  <c r="D17" i="1"/>
  <c r="C17" i="1"/>
  <c r="B17" i="1"/>
  <c r="H16" i="1"/>
  <c r="D16" i="1"/>
  <c r="C16" i="1"/>
  <c r="B16" i="1"/>
  <c r="H15" i="1"/>
  <c r="D15" i="1"/>
  <c r="C15" i="1"/>
  <c r="B15" i="1"/>
  <c r="H14" i="1"/>
  <c r="D14" i="1"/>
  <c r="C14" i="1"/>
  <c r="B14" i="1"/>
  <c r="H13" i="1"/>
  <c r="D13" i="1"/>
  <c r="C13" i="1"/>
  <c r="B13" i="1"/>
  <c r="H12" i="1"/>
  <c r="D12" i="1"/>
  <c r="C12" i="1"/>
  <c r="B12" i="1"/>
  <c r="H11" i="1"/>
  <c r="D11" i="1"/>
  <c r="C11" i="1"/>
  <c r="B11" i="1"/>
  <c r="H10" i="1"/>
  <c r="D10" i="1"/>
  <c r="C10" i="1"/>
  <c r="B10" i="1"/>
  <c r="H9" i="1"/>
  <c r="D9" i="1"/>
  <c r="C9" i="1"/>
  <c r="B9" i="1"/>
  <c r="H8" i="1"/>
  <c r="D8" i="1"/>
  <c r="C8" i="1"/>
  <c r="B8" i="1"/>
  <c r="H7" i="1"/>
  <c r="D7" i="1"/>
  <c r="C7" i="1"/>
  <c r="B7" i="1"/>
  <c r="H6" i="1"/>
  <c r="D6" i="1"/>
  <c r="C6" i="1"/>
  <c r="B6" i="1"/>
  <c r="H5" i="1"/>
  <c r="D5" i="1"/>
  <c r="C5" i="1"/>
  <c r="B5" i="1"/>
  <c r="H4" i="1"/>
  <c r="D4" i="1"/>
  <c r="C4" i="1"/>
  <c r="B4" i="1"/>
  <c r="H3" i="1"/>
  <c r="D3" i="1"/>
  <c r="C3" i="1"/>
  <c r="B3" i="1"/>
</calcChain>
</file>

<file path=xl/sharedStrings.xml><?xml version="1.0" encoding="utf-8"?>
<sst xmlns="http://schemas.openxmlformats.org/spreadsheetml/2006/main" count="3312" uniqueCount="1607">
  <si>
    <t>报考岗位</t>
  </si>
  <si>
    <t>考场号</t>
  </si>
  <si>
    <t>座位号</t>
  </si>
  <si>
    <t>准考证号</t>
  </si>
  <si>
    <t>姓名</t>
  </si>
  <si>
    <t>学前教育专业知识成绩</t>
  </si>
  <si>
    <t>教育公共基础知识成绩</t>
  </si>
  <si>
    <t>笔试合成成绩</t>
  </si>
  <si>
    <t>2021001</t>
  </si>
  <si>
    <t>胡雪勤</t>
  </si>
  <si>
    <t>韩欢欢</t>
  </si>
  <si>
    <t>马倩倩</t>
  </si>
  <si>
    <t>姚方方</t>
  </si>
  <si>
    <t>巴文婧</t>
  </si>
  <si>
    <t>董梦佳</t>
  </si>
  <si>
    <t>范中巧</t>
  </si>
  <si>
    <t>吴美婷</t>
  </si>
  <si>
    <t>朱静静</t>
  </si>
  <si>
    <t>欧林澍</t>
  </si>
  <si>
    <t>徐文宝</t>
  </si>
  <si>
    <t>赵凡</t>
  </si>
  <si>
    <t>任小雪</t>
  </si>
  <si>
    <t>李梦蝶</t>
  </si>
  <si>
    <t>王难南</t>
  </si>
  <si>
    <t>马淼</t>
  </si>
  <si>
    <t>韦潇潇</t>
  </si>
  <si>
    <t>李雪</t>
  </si>
  <si>
    <t>吴诗茹</t>
  </si>
  <si>
    <t>邓明利</t>
  </si>
  <si>
    <t>李双睛</t>
  </si>
  <si>
    <t>周园园</t>
  </si>
  <si>
    <t>吴一平</t>
  </si>
  <si>
    <t>孙文妹</t>
  </si>
  <si>
    <t>陈盈盈</t>
  </si>
  <si>
    <t>孟贞</t>
  </si>
  <si>
    <t>谭国庆</t>
  </si>
  <si>
    <t>张娜娟</t>
  </si>
  <si>
    <t>纪微娜</t>
  </si>
  <si>
    <t>胡海洋</t>
  </si>
  <si>
    <t>张家宜</t>
  </si>
  <si>
    <t>巩梦晴</t>
  </si>
  <si>
    <t>周欣雨</t>
  </si>
  <si>
    <t>张雨梦</t>
  </si>
  <si>
    <t>刘博易</t>
  </si>
  <si>
    <t>陈巧敏</t>
  </si>
  <si>
    <t>陈静</t>
  </si>
  <si>
    <t>刘杰</t>
  </si>
  <si>
    <t>曹晶晶</t>
  </si>
  <si>
    <t xml:space="preserve">吴会新 </t>
  </si>
  <si>
    <t>段艺雯</t>
  </si>
  <si>
    <t>孟雪</t>
  </si>
  <si>
    <t>宋明慧</t>
  </si>
  <si>
    <t>郭东林</t>
  </si>
  <si>
    <t>赵甲滨</t>
  </si>
  <si>
    <t>盛晓梅</t>
  </si>
  <si>
    <t>王梦婷</t>
  </si>
  <si>
    <t>马慧慧</t>
  </si>
  <si>
    <t>任道影</t>
  </si>
  <si>
    <t>魏凤仙</t>
  </si>
  <si>
    <t>赵小凤</t>
  </si>
  <si>
    <t>杨柳</t>
  </si>
  <si>
    <t>卢子青</t>
  </si>
  <si>
    <t>汪静静</t>
  </si>
  <si>
    <t>陈肖肖</t>
  </si>
  <si>
    <t>丁宁</t>
  </si>
  <si>
    <t>谢云</t>
  </si>
  <si>
    <t>李晓娣</t>
  </si>
  <si>
    <t>闫青青</t>
  </si>
  <si>
    <t>郭芹</t>
  </si>
  <si>
    <t>曹赛玉</t>
  </si>
  <si>
    <t>李萌萌</t>
  </si>
  <si>
    <t>万勤</t>
  </si>
  <si>
    <t>周桂芳</t>
  </si>
  <si>
    <t>张越男</t>
  </si>
  <si>
    <t>2021002</t>
  </si>
  <si>
    <t>姚方</t>
  </si>
  <si>
    <t>王颖泽</t>
  </si>
  <si>
    <t>侯田田</t>
  </si>
  <si>
    <t>江玉凤</t>
  </si>
  <si>
    <t>刘梅</t>
  </si>
  <si>
    <t>张梦雅</t>
  </si>
  <si>
    <t>张平平</t>
  </si>
  <si>
    <t>沈梦娇</t>
  </si>
  <si>
    <t>孙慧慧</t>
  </si>
  <si>
    <t>刘瑞婷</t>
  </si>
  <si>
    <t>陈晨</t>
  </si>
  <si>
    <t>徐潇娣</t>
  </si>
  <si>
    <t>修晓红</t>
  </si>
  <si>
    <t>庞永芳</t>
  </si>
  <si>
    <t>李静</t>
  </si>
  <si>
    <t>赵晴晴</t>
  </si>
  <si>
    <t>周媛媛</t>
  </si>
  <si>
    <t>葛思洁</t>
  </si>
  <si>
    <t>李静静</t>
  </si>
  <si>
    <t>谭文静</t>
  </si>
  <si>
    <t>朱雨晨</t>
  </si>
  <si>
    <t>刘玉</t>
  </si>
  <si>
    <t>张启月</t>
  </si>
  <si>
    <t>郭亚男</t>
  </si>
  <si>
    <t>沈金金</t>
  </si>
  <si>
    <t>徐保瑞</t>
  </si>
  <si>
    <t>杨梅</t>
  </si>
  <si>
    <t>丁青青</t>
  </si>
  <si>
    <t>吴梦梦</t>
  </si>
  <si>
    <t>黄梦晴</t>
  </si>
  <si>
    <t>刘畅</t>
  </si>
  <si>
    <t>马冰冰</t>
  </si>
  <si>
    <t>蒋文静</t>
  </si>
  <si>
    <t>张咏春</t>
  </si>
  <si>
    <t>王晴晴</t>
  </si>
  <si>
    <t>余佳璟</t>
  </si>
  <si>
    <t>李单单</t>
  </si>
  <si>
    <t>刘小莹</t>
  </si>
  <si>
    <t>储倩倩</t>
  </si>
  <si>
    <t>曹文娜</t>
  </si>
  <si>
    <t>许小丽</t>
  </si>
  <si>
    <t>谷丽君</t>
  </si>
  <si>
    <t>王平</t>
  </si>
  <si>
    <t>赵琦</t>
  </si>
  <si>
    <t>关梦婷</t>
  </si>
  <si>
    <t>王可云</t>
  </si>
  <si>
    <t>王俊雯</t>
  </si>
  <si>
    <t>郭文婷</t>
  </si>
  <si>
    <t>杨莹</t>
  </si>
  <si>
    <t>吕敏捷</t>
  </si>
  <si>
    <t>黄孟婷</t>
  </si>
  <si>
    <t>周雅倩</t>
  </si>
  <si>
    <t>谢娜</t>
  </si>
  <si>
    <t>纪雪荣</t>
  </si>
  <si>
    <t>刘冰洁</t>
  </si>
  <si>
    <t>张瀚水</t>
  </si>
  <si>
    <t>薛晶晶</t>
  </si>
  <si>
    <t>袁贝贝</t>
  </si>
  <si>
    <t>王希源</t>
  </si>
  <si>
    <t>牛方方</t>
  </si>
  <si>
    <t>梁乐瑶</t>
  </si>
  <si>
    <t>孟梅</t>
  </si>
  <si>
    <t>李文惠</t>
  </si>
  <si>
    <t>冷丝雨</t>
  </si>
  <si>
    <t>何雯雯</t>
  </si>
  <si>
    <t>霍凯妮</t>
  </si>
  <si>
    <t>丁雯洁</t>
  </si>
  <si>
    <t>杨静</t>
  </si>
  <si>
    <t>张艳</t>
  </si>
  <si>
    <t>李晶</t>
  </si>
  <si>
    <t>2021003</t>
  </si>
  <si>
    <t>温晓慧</t>
  </si>
  <si>
    <t>尚恩点</t>
  </si>
  <si>
    <t>夏莉</t>
  </si>
  <si>
    <t>李千姿</t>
  </si>
  <si>
    <t>徐晨</t>
  </si>
  <si>
    <t>袁琳琳</t>
  </si>
  <si>
    <t>刘雅洁</t>
  </si>
  <si>
    <t>王丹丹</t>
  </si>
  <si>
    <t>武停停</t>
  </si>
  <si>
    <t>李思杭</t>
  </si>
  <si>
    <t>马乐梅</t>
  </si>
  <si>
    <t>王静静</t>
  </si>
  <si>
    <t>赵黎娜</t>
  </si>
  <si>
    <t>陆慧慧</t>
  </si>
  <si>
    <t>王漫漫</t>
  </si>
  <si>
    <t>张端端</t>
  </si>
  <si>
    <t>潘格格</t>
  </si>
  <si>
    <t>韩雪</t>
  </si>
  <si>
    <t>冯锦文</t>
  </si>
  <si>
    <t>徐倩倩</t>
  </si>
  <si>
    <t>李夏夏</t>
  </si>
  <si>
    <t>吴艳</t>
  </si>
  <si>
    <t>胡越</t>
  </si>
  <si>
    <t>王艳艳</t>
  </si>
  <si>
    <t>刘彭娜</t>
  </si>
  <si>
    <t>刘怡诺</t>
  </si>
  <si>
    <t>颜孟雪</t>
  </si>
  <si>
    <t>曹宇婷</t>
  </si>
  <si>
    <t>袁艳梅</t>
  </si>
  <si>
    <t>李雪花</t>
  </si>
  <si>
    <t>杜莉莉</t>
  </si>
  <si>
    <t>李钦钦</t>
  </si>
  <si>
    <t>张雨琪</t>
  </si>
  <si>
    <t>陶胜男</t>
  </si>
  <si>
    <t>朱德凤</t>
  </si>
  <si>
    <t>庞晓庆</t>
  </si>
  <si>
    <t>闫倍倍</t>
  </si>
  <si>
    <t>任春梦</t>
  </si>
  <si>
    <t>蔡云慧</t>
  </si>
  <si>
    <t>闫超英</t>
  </si>
  <si>
    <t>李靖雯</t>
  </si>
  <si>
    <t>张文静</t>
  </si>
  <si>
    <t>胡姗姗</t>
  </si>
  <si>
    <t>齐倩</t>
  </si>
  <si>
    <t>叶妞妞</t>
  </si>
  <si>
    <t>程雪</t>
  </si>
  <si>
    <t>蔡梦婷</t>
  </si>
  <si>
    <t>刘雪燕</t>
  </si>
  <si>
    <t>侯田</t>
  </si>
  <si>
    <t>郭小娅</t>
  </si>
  <si>
    <t>卢娜娜</t>
  </si>
  <si>
    <t>李婉莹</t>
  </si>
  <si>
    <t>时杨</t>
  </si>
  <si>
    <t>牛楠楠</t>
  </si>
  <si>
    <t>姚思文</t>
  </si>
  <si>
    <t>赵思如</t>
  </si>
  <si>
    <t>代瑞瑞</t>
  </si>
  <si>
    <t>王梦慧</t>
  </si>
  <si>
    <t>毛皎皎</t>
  </si>
  <si>
    <t>夏雨</t>
  </si>
  <si>
    <t>储晴晴</t>
  </si>
  <si>
    <t>杨晓敏</t>
  </si>
  <si>
    <t>张晓玉</t>
  </si>
  <si>
    <t>梅梦燕</t>
  </si>
  <si>
    <t>王尹</t>
  </si>
  <si>
    <t>李珊珊</t>
  </si>
  <si>
    <t>罗莹</t>
  </si>
  <si>
    <t>金香</t>
  </si>
  <si>
    <t>丁鑫悦</t>
  </si>
  <si>
    <t>杨苗淼</t>
  </si>
  <si>
    <t>杨冰青</t>
  </si>
  <si>
    <t>周家雪</t>
  </si>
  <si>
    <t>郑秀慧</t>
  </si>
  <si>
    <t>2021004</t>
  </si>
  <si>
    <t>龚莹莹</t>
  </si>
  <si>
    <t>齐淼</t>
  </si>
  <si>
    <t>李文杰</t>
  </si>
  <si>
    <t>康庆</t>
  </si>
  <si>
    <t>张利娟</t>
  </si>
  <si>
    <t>白青醒</t>
  </si>
  <si>
    <t>刘慢华</t>
  </si>
  <si>
    <t>刘陶利</t>
  </si>
  <si>
    <t>李孝燕</t>
  </si>
  <si>
    <t>李升慧</t>
  </si>
  <si>
    <t>王赛雅</t>
  </si>
  <si>
    <t>王凤梅</t>
  </si>
  <si>
    <t>刘欣</t>
  </si>
  <si>
    <t>谭萍萍</t>
  </si>
  <si>
    <t>潘婕茹</t>
  </si>
  <si>
    <t>李硕</t>
  </si>
  <si>
    <t>任文萍</t>
  </si>
  <si>
    <t>张阿珍</t>
  </si>
  <si>
    <t>牛小如</t>
  </si>
  <si>
    <t>钱丽嫚</t>
  </si>
  <si>
    <t>沈静</t>
  </si>
  <si>
    <t>王英</t>
  </si>
  <si>
    <t>郝南南</t>
  </si>
  <si>
    <t>刘菊</t>
  </si>
  <si>
    <t>张雨</t>
  </si>
  <si>
    <t>冯秀秀</t>
  </si>
  <si>
    <t>王慧文</t>
  </si>
  <si>
    <t>张梦雪</t>
  </si>
  <si>
    <t>徐藤藤</t>
  </si>
  <si>
    <t>邵浩冉</t>
  </si>
  <si>
    <t>黄宇晨</t>
  </si>
  <si>
    <t>张娜娜</t>
  </si>
  <si>
    <t>罗玉婷</t>
  </si>
  <si>
    <t>李文慧</t>
  </si>
  <si>
    <t>刘文娟</t>
  </si>
  <si>
    <t>罗专专</t>
  </si>
  <si>
    <t>祝冰冰</t>
  </si>
  <si>
    <t>张晶晶</t>
  </si>
  <si>
    <t>丁利南</t>
  </si>
  <si>
    <t>赵蒙蒙</t>
  </si>
  <si>
    <t>王婷婷</t>
  </si>
  <si>
    <t>孙雨婷</t>
  </si>
  <si>
    <t>刘玉凤</t>
  </si>
  <si>
    <t>程亚如</t>
  </si>
  <si>
    <t>杨鑫</t>
  </si>
  <si>
    <t>赵利芹</t>
  </si>
  <si>
    <t>谢嫚廸</t>
  </si>
  <si>
    <t>刘小亭</t>
  </si>
  <si>
    <t>钱梦洁</t>
  </si>
  <si>
    <t>候利华</t>
  </si>
  <si>
    <t>许玲</t>
  </si>
  <si>
    <t>房方园</t>
  </si>
  <si>
    <t>马如如</t>
  </si>
  <si>
    <t>孙陈陈</t>
  </si>
  <si>
    <t>秦玉丽</t>
  </si>
  <si>
    <t>董紫薇</t>
  </si>
  <si>
    <t>蒋思琪</t>
  </si>
  <si>
    <t>祝佳佳</t>
  </si>
  <si>
    <t>刘苗苗</t>
  </si>
  <si>
    <t>母梦如</t>
  </si>
  <si>
    <t>骆海云</t>
  </si>
  <si>
    <t>姜慧慧</t>
  </si>
  <si>
    <t>张婷婷</t>
  </si>
  <si>
    <t>李晓晨</t>
  </si>
  <si>
    <t>朱文瑞</t>
  </si>
  <si>
    <t>张停停</t>
  </si>
  <si>
    <t>姚晓宇</t>
  </si>
  <si>
    <t>饶利娜</t>
  </si>
  <si>
    <t>2021005</t>
  </si>
  <si>
    <t>张梦媛</t>
  </si>
  <si>
    <t>王雪芹</t>
  </si>
  <si>
    <t>于小妮</t>
  </si>
  <si>
    <t>郭云凤</t>
  </si>
  <si>
    <t>杨露露</t>
  </si>
  <si>
    <t>徐海宁</t>
  </si>
  <si>
    <t>王玉茂</t>
  </si>
  <si>
    <t>米娜</t>
  </si>
  <si>
    <t>韩慧</t>
  </si>
  <si>
    <t>程懿</t>
  </si>
  <si>
    <t>张梦梦</t>
  </si>
  <si>
    <t>吴鑫</t>
  </si>
  <si>
    <t>吴倩茹</t>
  </si>
  <si>
    <t>李玉凤</t>
  </si>
  <si>
    <t>高倩</t>
  </si>
  <si>
    <t>绳东梅</t>
  </si>
  <si>
    <t>范慧慧</t>
  </si>
  <si>
    <t>侯洁</t>
  </si>
  <si>
    <t>孙文杰</t>
  </si>
  <si>
    <t>贾凡</t>
  </si>
  <si>
    <t>张梦男</t>
  </si>
  <si>
    <t>余琼</t>
  </si>
  <si>
    <t>王倩倩</t>
  </si>
  <si>
    <t>王楠楠</t>
  </si>
  <si>
    <t>王静雯</t>
  </si>
  <si>
    <t>曹萍</t>
  </si>
  <si>
    <t>张睦晗</t>
  </si>
  <si>
    <t>任思懿</t>
  </si>
  <si>
    <t>韩敏</t>
  </si>
  <si>
    <t>刘雨晴</t>
  </si>
  <si>
    <t>杜晓静</t>
  </si>
  <si>
    <t>姜曼曼</t>
  </si>
  <si>
    <t>苗秋香</t>
  </si>
  <si>
    <t>刘敏</t>
  </si>
  <si>
    <t>闫爽</t>
  </si>
  <si>
    <t>张雪迪</t>
  </si>
  <si>
    <t>陈乐乐</t>
  </si>
  <si>
    <t>马飞鹰</t>
  </si>
  <si>
    <t>孙梦辰</t>
  </si>
  <si>
    <t>刘晓岚</t>
  </si>
  <si>
    <t>魏倩文</t>
  </si>
  <si>
    <t>徐若勤</t>
  </si>
  <si>
    <t>马亚丽</t>
  </si>
  <si>
    <t>张书宁</t>
  </si>
  <si>
    <t>王娜</t>
  </si>
  <si>
    <t>刘梦茹</t>
  </si>
  <si>
    <t>黄景梅</t>
  </si>
  <si>
    <t>李娜</t>
  </si>
  <si>
    <t>张亚菲</t>
  </si>
  <si>
    <t>程梦梦</t>
  </si>
  <si>
    <t>李晓冉</t>
  </si>
  <si>
    <t>张雅迪</t>
  </si>
  <si>
    <t>安婷</t>
  </si>
  <si>
    <t>刘亚茹</t>
  </si>
  <si>
    <t>尤晴晴</t>
  </si>
  <si>
    <t>马红</t>
  </si>
  <si>
    <t>刘晴晴</t>
  </si>
  <si>
    <t>张珈硕</t>
  </si>
  <si>
    <t>葛雪玉</t>
  </si>
  <si>
    <t>张澳萍</t>
  </si>
  <si>
    <t>邵雪</t>
  </si>
  <si>
    <t>王琼琼</t>
  </si>
  <si>
    <t>曹雅雅</t>
  </si>
  <si>
    <t>张亚男</t>
  </si>
  <si>
    <t>唐艳利</t>
  </si>
  <si>
    <t>李彤</t>
  </si>
  <si>
    <t>马利华</t>
  </si>
  <si>
    <t>徐文艳</t>
  </si>
  <si>
    <t>杨雨婷</t>
  </si>
  <si>
    <t>马雪静</t>
  </si>
  <si>
    <t>鹿廷</t>
  </si>
  <si>
    <t>2021006</t>
  </si>
  <si>
    <t>李梦雅</t>
  </si>
  <si>
    <t>张万杰</t>
  </si>
  <si>
    <t>吴圆</t>
  </si>
  <si>
    <t>李晓晴</t>
  </si>
  <si>
    <t>王瑜琦</t>
  </si>
  <si>
    <t>庄梦凡</t>
  </si>
  <si>
    <t>郭美婷</t>
  </si>
  <si>
    <t>郭梦丽</t>
  </si>
  <si>
    <t>纪诚雪</t>
  </si>
  <si>
    <t>张闰闰</t>
  </si>
  <si>
    <t>李成成</t>
  </si>
  <si>
    <t>崔梦洁</t>
  </si>
  <si>
    <t>孙甜甜</t>
  </si>
  <si>
    <t>王满丽</t>
  </si>
  <si>
    <t>张薇</t>
  </si>
  <si>
    <t>段小晴</t>
  </si>
  <si>
    <t>黄翠翠</t>
  </si>
  <si>
    <t>陈琳</t>
  </si>
  <si>
    <t>闫思航</t>
  </si>
  <si>
    <t>屈梦雨</t>
  </si>
  <si>
    <t>魏姗姗</t>
  </si>
  <si>
    <t>周琦红</t>
  </si>
  <si>
    <t>李宝妹</t>
  </si>
  <si>
    <t>王若彤</t>
  </si>
  <si>
    <t>陈志婉</t>
  </si>
  <si>
    <t>盛夏</t>
  </si>
  <si>
    <t>张晓晴</t>
  </si>
  <si>
    <t>连鹏英</t>
  </si>
  <si>
    <t>于欣悦</t>
  </si>
  <si>
    <t>刘梦鸽</t>
  </si>
  <si>
    <t>李笑雅</t>
  </si>
  <si>
    <t>高贝贝</t>
  </si>
  <si>
    <t>王旭</t>
  </si>
  <si>
    <t>丁雪情</t>
  </si>
  <si>
    <t>董莉苹</t>
  </si>
  <si>
    <t>周聪聪</t>
  </si>
  <si>
    <t>徐克会</t>
  </si>
  <si>
    <t>康蕾</t>
  </si>
  <si>
    <t>郜梦婷</t>
  </si>
  <si>
    <t>郭傲然</t>
  </si>
  <si>
    <t>张悦</t>
  </si>
  <si>
    <t>陈闻闻</t>
  </si>
  <si>
    <t>丁蕊蕊</t>
  </si>
  <si>
    <t>时蕊</t>
  </si>
  <si>
    <t>殷晓钰</t>
  </si>
  <si>
    <t>张雨晴</t>
  </si>
  <si>
    <t>丁情情</t>
  </si>
  <si>
    <t>高玉玉</t>
  </si>
  <si>
    <t>张静云</t>
  </si>
  <si>
    <t>宋雨晴</t>
  </si>
  <si>
    <t>叶文园</t>
  </si>
  <si>
    <t>杜婵婵</t>
  </si>
  <si>
    <t>郑亚昕</t>
  </si>
  <si>
    <t>翁玉倩</t>
  </si>
  <si>
    <t>房雪晴</t>
  </si>
  <si>
    <t>杨梦迪</t>
  </si>
  <si>
    <t>谢欣雨</t>
  </si>
  <si>
    <t>刘梦琴</t>
  </si>
  <si>
    <t>钱醒醒</t>
  </si>
  <si>
    <t>叶云云</t>
  </si>
  <si>
    <t>龚梦婷</t>
  </si>
  <si>
    <t>王倩楠</t>
  </si>
  <si>
    <t>常梦凡</t>
  </si>
  <si>
    <t>韩京玲</t>
  </si>
  <si>
    <t>王曼丽</t>
  </si>
  <si>
    <t>徐哪哪</t>
  </si>
  <si>
    <t>刘翠</t>
  </si>
  <si>
    <t>刘娟</t>
  </si>
  <si>
    <t>韩颖颖</t>
  </si>
  <si>
    <t>姜杰利</t>
  </si>
  <si>
    <t>李秋红</t>
  </si>
  <si>
    <t>闫丹丹</t>
  </si>
  <si>
    <t>2021007</t>
  </si>
  <si>
    <t>吴方梅</t>
  </si>
  <si>
    <t>张梦楠</t>
  </si>
  <si>
    <t>余苗苗</t>
  </si>
  <si>
    <t>方彤</t>
  </si>
  <si>
    <t>齐琦</t>
  </si>
  <si>
    <t>高雪华</t>
  </si>
  <si>
    <t>吕慧佺</t>
  </si>
  <si>
    <t>郑玉琴</t>
  </si>
  <si>
    <t>李晓凤</t>
  </si>
  <si>
    <t>李家双</t>
  </si>
  <si>
    <t>张欢欢</t>
  </si>
  <si>
    <t>韩孟娟</t>
  </si>
  <si>
    <t>纪雪晴</t>
  </si>
  <si>
    <t>方玉青</t>
  </si>
  <si>
    <t>陆玉玉</t>
  </si>
  <si>
    <t>李孟亭</t>
  </si>
  <si>
    <t>常静茹</t>
  </si>
  <si>
    <t>胡芽菲</t>
  </si>
  <si>
    <t>孙静</t>
  </si>
  <si>
    <t>王秋歌</t>
  </si>
  <si>
    <t>王盼盼</t>
  </si>
  <si>
    <t>杨萍</t>
  </si>
  <si>
    <t>朱金玲</t>
  </si>
  <si>
    <t>祁祥越</t>
  </si>
  <si>
    <t>武慢慢</t>
  </si>
  <si>
    <t>吕贝贝</t>
  </si>
  <si>
    <t>孟凡影</t>
  </si>
  <si>
    <t>周鑫雨</t>
  </si>
  <si>
    <t>贾秀荣</t>
  </si>
  <si>
    <t>朱天奇</t>
  </si>
  <si>
    <t>陈宁</t>
  </si>
  <si>
    <t>林双双</t>
  </si>
  <si>
    <t>曹璐璐</t>
  </si>
  <si>
    <t>张珂雯</t>
  </si>
  <si>
    <t>刘叮叮</t>
  </si>
  <si>
    <t>陈雅文</t>
  </si>
  <si>
    <t>张伊娜</t>
  </si>
  <si>
    <t>张婉君</t>
  </si>
  <si>
    <t>林娇</t>
  </si>
  <si>
    <t>张丽娟</t>
  </si>
  <si>
    <t>李梦缘</t>
  </si>
  <si>
    <t>陈圆圆</t>
  </si>
  <si>
    <t>唐娟</t>
  </si>
  <si>
    <t>李思琦</t>
  </si>
  <si>
    <t>代静如</t>
  </si>
  <si>
    <t>陈梦梦</t>
  </si>
  <si>
    <t>张少文</t>
  </si>
  <si>
    <t>王静玲</t>
  </si>
  <si>
    <t>李梦楠</t>
  </si>
  <si>
    <t>张焕文</t>
  </si>
  <si>
    <t>张欣雨</t>
  </si>
  <si>
    <t>陈晓洁</t>
  </si>
  <si>
    <t>魏琪琪</t>
  </si>
  <si>
    <t>李利萍</t>
  </si>
  <si>
    <t>吴传芳</t>
  </si>
  <si>
    <t>吕鹏</t>
  </si>
  <si>
    <t>杨华丽</t>
  </si>
  <si>
    <t>孙玉婷</t>
  </si>
  <si>
    <t>韩方</t>
  </si>
  <si>
    <t>蒋雪</t>
  </si>
  <si>
    <t>沈欢欢</t>
  </si>
  <si>
    <t>范艺艺</t>
  </si>
  <si>
    <t>2021008</t>
  </si>
  <si>
    <t>樊婷婷</t>
  </si>
  <si>
    <t>王如梦</t>
  </si>
  <si>
    <t>朱文慧</t>
  </si>
  <si>
    <t>许桃</t>
  </si>
  <si>
    <t>韩晓嫚</t>
  </si>
  <si>
    <t>姜晴晴</t>
  </si>
  <si>
    <t>李瑞雪</t>
  </si>
  <si>
    <t>吴骄骄</t>
  </si>
  <si>
    <t>付紫蕊</t>
  </si>
  <si>
    <t>司苗苗</t>
  </si>
  <si>
    <t>刘逦帆</t>
  </si>
  <si>
    <t>周臣臣</t>
  </si>
  <si>
    <t>宋若楠</t>
  </si>
  <si>
    <t>刘晓雅</t>
  </si>
  <si>
    <t>王丽杰</t>
  </si>
  <si>
    <t>管洁洁</t>
  </si>
  <si>
    <t>韦双环</t>
  </si>
  <si>
    <t>王利萍</t>
  </si>
  <si>
    <t>刘艳飞</t>
  </si>
  <si>
    <t>郭东艳</t>
  </si>
  <si>
    <t>吴春梅</t>
  </si>
  <si>
    <t>徐丽</t>
  </si>
  <si>
    <t>董梦婷</t>
  </si>
  <si>
    <t>於倩雯</t>
  </si>
  <si>
    <t>黄雪</t>
  </si>
  <si>
    <t>吕雪晴</t>
  </si>
  <si>
    <t>吴家静</t>
  </si>
  <si>
    <t>胡紫徽</t>
  </si>
  <si>
    <t>吴梦瑶</t>
  </si>
  <si>
    <t>赵凌娜</t>
  </si>
  <si>
    <t>巩新兰</t>
  </si>
  <si>
    <t>王思慧</t>
  </si>
  <si>
    <t>刘素娟</t>
  </si>
  <si>
    <t>王娜娜</t>
  </si>
  <si>
    <t>蒋小东</t>
  </si>
  <si>
    <t>李胜平</t>
  </si>
  <si>
    <t>王倩文</t>
  </si>
  <si>
    <t>张静</t>
  </si>
  <si>
    <t>杨悦</t>
  </si>
  <si>
    <t>曾婷婷</t>
  </si>
  <si>
    <t>李雪梅</t>
  </si>
  <si>
    <t>亓文婷</t>
  </si>
  <si>
    <t>张辛欣</t>
  </si>
  <si>
    <t>王明敬</t>
  </si>
  <si>
    <t>毛西茹</t>
  </si>
  <si>
    <t>崔梦帆</t>
  </si>
  <si>
    <t>李梦婷</t>
  </si>
  <si>
    <t>周瑞</t>
  </si>
  <si>
    <t>刘丽</t>
  </si>
  <si>
    <t>陈小盼</t>
  </si>
  <si>
    <t>崔灿</t>
  </si>
  <si>
    <t>范广娟</t>
  </si>
  <si>
    <t>祝萍</t>
  </si>
  <si>
    <t>宋燕婷</t>
  </si>
  <si>
    <t>王文静</t>
  </si>
  <si>
    <t>兰胜男</t>
  </si>
  <si>
    <t>陈伟勤</t>
  </si>
  <si>
    <t>董欢欢</t>
  </si>
  <si>
    <t>陈璐</t>
  </si>
  <si>
    <t>王中勤</t>
  </si>
  <si>
    <t>崔媛媛</t>
  </si>
  <si>
    <t>王紫嫣</t>
  </si>
  <si>
    <t>杨可可</t>
  </si>
  <si>
    <t>李若彤</t>
  </si>
  <si>
    <t>甄悦</t>
  </si>
  <si>
    <t>董会会</t>
  </si>
  <si>
    <t>王雨云</t>
  </si>
  <si>
    <t>张燕</t>
  </si>
  <si>
    <t>徐淼</t>
  </si>
  <si>
    <t>刘春艳</t>
  </si>
  <si>
    <t>2021009</t>
  </si>
  <si>
    <t>潘洁</t>
  </si>
  <si>
    <t>张朋彦</t>
  </si>
  <si>
    <t>韩夏夏</t>
  </si>
  <si>
    <t>江影</t>
  </si>
  <si>
    <t>张梦晴</t>
  </si>
  <si>
    <t>王静文</t>
  </si>
  <si>
    <t>王茜</t>
  </si>
  <si>
    <t>姚金花</t>
  </si>
  <si>
    <t>陈雯雯</t>
  </si>
  <si>
    <t>徐雪亭</t>
  </si>
  <si>
    <t>高晓红</t>
  </si>
  <si>
    <t>任静</t>
  </si>
  <si>
    <t>王倩</t>
  </si>
  <si>
    <t>冯诗桐</t>
  </si>
  <si>
    <t>史红慈</t>
  </si>
  <si>
    <t>赵东盼</t>
  </si>
  <si>
    <t>王玉儿</t>
  </si>
  <si>
    <t>储继娟</t>
  </si>
  <si>
    <t>王小雨</t>
  </si>
  <si>
    <t>丁锐</t>
  </si>
  <si>
    <t>魏启月</t>
  </si>
  <si>
    <t>张庆文</t>
  </si>
  <si>
    <t>王伟莉</t>
  </si>
  <si>
    <t>苗慧慧</t>
  </si>
  <si>
    <t>朱仙丽</t>
  </si>
  <si>
    <t>王梦云</t>
  </si>
  <si>
    <t>程翠平</t>
  </si>
  <si>
    <t>何雨晴</t>
  </si>
  <si>
    <t>李娜娜</t>
  </si>
  <si>
    <t>黄磊</t>
  </si>
  <si>
    <t>魏芹</t>
  </si>
  <si>
    <t>李志茹</t>
  </si>
  <si>
    <t>张梦圆</t>
  </si>
  <si>
    <t>朱琳琳</t>
  </si>
  <si>
    <t>蒋婉璐</t>
  </si>
  <si>
    <t>刘娇娇</t>
  </si>
  <si>
    <t>张倩</t>
  </si>
  <si>
    <t>付若文</t>
  </si>
  <si>
    <t>张雨桐</t>
  </si>
  <si>
    <t>刘超楠</t>
  </si>
  <si>
    <t>武明侠</t>
  </si>
  <si>
    <t>付梦婷</t>
  </si>
  <si>
    <t>周娜娜</t>
  </si>
  <si>
    <t>刘梦洁</t>
  </si>
  <si>
    <t>方雪</t>
  </si>
  <si>
    <t>郝梅</t>
  </si>
  <si>
    <t>孟晓雅</t>
  </si>
  <si>
    <t>韦双聂</t>
  </si>
  <si>
    <t>李慧园</t>
  </si>
  <si>
    <t>黄飞燕</t>
  </si>
  <si>
    <t>陈慧慧</t>
  </si>
  <si>
    <t>2021010</t>
  </si>
  <si>
    <t>余新于</t>
  </si>
  <si>
    <t>段楠楠</t>
  </si>
  <si>
    <t>王沙沙</t>
  </si>
  <si>
    <t>于凯丽</t>
  </si>
  <si>
    <t>孟燕婷</t>
  </si>
  <si>
    <t>杨甜甜</t>
  </si>
  <si>
    <t>杨玉</t>
  </si>
  <si>
    <t>董荣荣</t>
  </si>
  <si>
    <t>程杨柳</t>
  </si>
  <si>
    <t>李明侠</t>
  </si>
  <si>
    <t>姚蕾</t>
  </si>
  <si>
    <t>李顶珍</t>
  </si>
  <si>
    <t>赵梦琪</t>
  </si>
  <si>
    <t>夏思雅</t>
  </si>
  <si>
    <t>钱晨宇</t>
  </si>
  <si>
    <t>刘薇薇</t>
  </si>
  <si>
    <t>武曼曼</t>
  </si>
  <si>
    <t>盛雨晴</t>
  </si>
  <si>
    <t>王丽楠</t>
  </si>
  <si>
    <t>颜盼盼</t>
  </si>
  <si>
    <t>汝静怡</t>
  </si>
  <si>
    <t>李侠</t>
  </si>
  <si>
    <t>袁威威</t>
  </si>
  <si>
    <t>张佳丽</t>
  </si>
  <si>
    <t>李雪倩</t>
  </si>
  <si>
    <t>李梅</t>
  </si>
  <si>
    <t>张荣荣</t>
  </si>
  <si>
    <t>张雅</t>
  </si>
  <si>
    <t>韩泽云</t>
  </si>
  <si>
    <t>董冬方</t>
  </si>
  <si>
    <t>温梦情</t>
  </si>
  <si>
    <t>孔莹莹</t>
  </si>
  <si>
    <t>姜雨婷</t>
  </si>
  <si>
    <t>任冯利</t>
  </si>
  <si>
    <t>侯文静</t>
  </si>
  <si>
    <t>袁利娟</t>
  </si>
  <si>
    <t>金巧玉</t>
  </si>
  <si>
    <t>李冰</t>
  </si>
  <si>
    <t>杨影</t>
  </si>
  <si>
    <t>云心茹</t>
  </si>
  <si>
    <t>吴洁</t>
  </si>
  <si>
    <t>侯馨蕊</t>
  </si>
  <si>
    <t>赵晓慧</t>
  </si>
  <si>
    <t>牛梦博</t>
  </si>
  <si>
    <t>彭欣</t>
  </si>
  <si>
    <t>孟欣</t>
  </si>
  <si>
    <t>王雪苓</t>
  </si>
  <si>
    <t>段梦真</t>
  </si>
  <si>
    <t>谢梦雅</t>
  </si>
  <si>
    <t>武小灵</t>
  </si>
  <si>
    <t>辛佳齐</t>
  </si>
  <si>
    <t>梁丹阳</t>
  </si>
  <si>
    <t>高娜</t>
  </si>
  <si>
    <t>李若晴</t>
  </si>
  <si>
    <t>锁雨婷</t>
  </si>
  <si>
    <t>徐利雯</t>
  </si>
  <si>
    <t>常佳慧</t>
  </si>
  <si>
    <t>陈晴晴</t>
  </si>
  <si>
    <t>杨梦文</t>
  </si>
  <si>
    <t>马燕</t>
  </si>
  <si>
    <t>秦倩</t>
  </si>
  <si>
    <t>宋宜燃</t>
  </si>
  <si>
    <t>杨悦悦</t>
  </si>
  <si>
    <t>王利</t>
  </si>
  <si>
    <t>邵迪迪</t>
  </si>
  <si>
    <t>张慈</t>
  </si>
  <si>
    <t>曹丽梅</t>
  </si>
  <si>
    <t>吴露雨</t>
  </si>
  <si>
    <t>2021011</t>
  </si>
  <si>
    <t>赵单</t>
  </si>
  <si>
    <t>连静文</t>
  </si>
  <si>
    <t>张晓瑞</t>
  </si>
  <si>
    <t>孙冰冰</t>
  </si>
  <si>
    <t>纪晗慈</t>
  </si>
  <si>
    <t>黄芳</t>
  </si>
  <si>
    <t>程巧南</t>
  </si>
  <si>
    <t>高凯玲</t>
  </si>
  <si>
    <t>王紫雪</t>
  </si>
  <si>
    <t>张春</t>
  </si>
  <si>
    <t>潘姣姣</t>
  </si>
  <si>
    <t>谢兰迎</t>
  </si>
  <si>
    <t>李晓燕</t>
  </si>
  <si>
    <t>于勤</t>
  </si>
  <si>
    <t>李梦源</t>
  </si>
  <si>
    <t>徐梦巧</t>
  </si>
  <si>
    <t>汪君淼</t>
  </si>
  <si>
    <t>郭文静</t>
  </si>
  <si>
    <t>田宇婕</t>
  </si>
  <si>
    <t>胡暇彬</t>
  </si>
  <si>
    <t>姚贝贝</t>
  </si>
  <si>
    <t>郝孟如</t>
  </si>
  <si>
    <t>李萍萍</t>
  </si>
  <si>
    <t>刘淑美</t>
  </si>
  <si>
    <t>刘国庆</t>
  </si>
  <si>
    <t>陈飞</t>
  </si>
  <si>
    <t>张梦贤</t>
  </si>
  <si>
    <t>刘南南</t>
  </si>
  <si>
    <t>韩红</t>
  </si>
  <si>
    <t>赵秋香</t>
  </si>
  <si>
    <t>李静文</t>
  </si>
  <si>
    <t>范伟楠</t>
  </si>
  <si>
    <t>王珍</t>
  </si>
  <si>
    <t>范青青</t>
  </si>
  <si>
    <t>芮娜</t>
  </si>
  <si>
    <t>姜维娜</t>
  </si>
  <si>
    <t>毛沙沙</t>
  </si>
  <si>
    <t>张新臣</t>
  </si>
  <si>
    <t>王素英</t>
  </si>
  <si>
    <t>冯玉莹</t>
  </si>
  <si>
    <t>梁思雨</t>
  </si>
  <si>
    <t>张静娴</t>
  </si>
  <si>
    <t>姜晴</t>
  </si>
  <si>
    <t>赵蕊蕊</t>
  </si>
  <si>
    <t>白雪</t>
  </si>
  <si>
    <t>张晴晴</t>
  </si>
  <si>
    <t>相星星</t>
  </si>
  <si>
    <t>和梦雅</t>
  </si>
  <si>
    <t>赵滨甲</t>
  </si>
  <si>
    <t>霍新英</t>
  </si>
  <si>
    <t>李同洁</t>
  </si>
  <si>
    <t>程孟娜</t>
  </si>
  <si>
    <t>胡敏杰</t>
  </si>
  <si>
    <t>沈嫚嫚</t>
  </si>
  <si>
    <t>张雪艳</t>
  </si>
  <si>
    <t>肖亚楠</t>
  </si>
  <si>
    <t>刘小雯</t>
  </si>
  <si>
    <t>胡晴晴</t>
  </si>
  <si>
    <t>乔海文</t>
  </si>
  <si>
    <t>姚玄玄</t>
  </si>
  <si>
    <t>王忍霞</t>
  </si>
  <si>
    <t>吴小芹</t>
  </si>
  <si>
    <t>顾伟娜</t>
  </si>
  <si>
    <t>刘越</t>
  </si>
  <si>
    <t>王腾腾</t>
  </si>
  <si>
    <t>霍飒飒</t>
  </si>
  <si>
    <t>郑阿情</t>
  </si>
  <si>
    <t>徐丹丹</t>
  </si>
  <si>
    <t>戴婉玉</t>
  </si>
  <si>
    <t>2021012</t>
  </si>
  <si>
    <t>王莎莎</t>
  </si>
  <si>
    <t>康雯露</t>
  </si>
  <si>
    <t>范星荣</t>
  </si>
  <si>
    <t>苏悦</t>
  </si>
  <si>
    <t>耿畅</t>
  </si>
  <si>
    <t>李盈盈</t>
  </si>
  <si>
    <t>李婷婷</t>
  </si>
  <si>
    <t>魏飞</t>
  </si>
  <si>
    <t>丁雨欣</t>
  </si>
  <si>
    <t>屈阿慧</t>
  </si>
  <si>
    <t>侯雪利</t>
  </si>
  <si>
    <t>郭云云</t>
  </si>
  <si>
    <t>孙齐齐</t>
  </si>
  <si>
    <t>唐倩楠</t>
  </si>
  <si>
    <t>刘小兰</t>
  </si>
  <si>
    <t>黄苗苗</t>
  </si>
  <si>
    <t>聂秋月</t>
  </si>
  <si>
    <t>巩常常</t>
  </si>
  <si>
    <t>李彦增</t>
  </si>
  <si>
    <t>王梦</t>
  </si>
  <si>
    <t>张娟</t>
  </si>
  <si>
    <t>张梦茹</t>
  </si>
  <si>
    <t>陈敏</t>
  </si>
  <si>
    <t>王冬梅</t>
  </si>
  <si>
    <t>朱慧敏</t>
  </si>
  <si>
    <t>从晓</t>
  </si>
  <si>
    <t>李梦</t>
  </si>
  <si>
    <t>杨盼盼</t>
  </si>
  <si>
    <t>李梦燕</t>
  </si>
  <si>
    <t>孙文</t>
  </si>
  <si>
    <t>李凡妹</t>
  </si>
  <si>
    <t>侯浩文</t>
  </si>
  <si>
    <t>韩丽萍</t>
  </si>
  <si>
    <t>柳甜甜</t>
  </si>
  <si>
    <t>陈佳奇</t>
  </si>
  <si>
    <t>杜雯</t>
  </si>
  <si>
    <t>鹿庆</t>
  </si>
  <si>
    <t>李瑶慧</t>
  </si>
  <si>
    <t>杨一凡</t>
  </si>
  <si>
    <t>徐诗颖</t>
  </si>
  <si>
    <t>张旭</t>
  </si>
  <si>
    <t>陈苏云</t>
  </si>
  <si>
    <t>陈蓓蓓</t>
  </si>
  <si>
    <t>余会会</t>
  </si>
  <si>
    <t>任玉洁</t>
  </si>
  <si>
    <t>周如</t>
  </si>
  <si>
    <t>王杉杉</t>
  </si>
  <si>
    <t>解苛苛</t>
  </si>
  <si>
    <t>王阿瑞</t>
  </si>
  <si>
    <t>李唱唱</t>
  </si>
  <si>
    <t>丁树咪</t>
  </si>
  <si>
    <t>李文玉</t>
  </si>
  <si>
    <t>许恩荣</t>
  </si>
  <si>
    <t>刘羽</t>
  </si>
  <si>
    <t>李娟娟</t>
  </si>
  <si>
    <t>2021013</t>
  </si>
  <si>
    <t>贺新悦</t>
  </si>
  <si>
    <t>冯婉婉</t>
  </si>
  <si>
    <t>朱梅梅</t>
  </si>
  <si>
    <t>孙梦</t>
  </si>
  <si>
    <t>刘赛雅</t>
  </si>
  <si>
    <t>吕笑笑</t>
  </si>
  <si>
    <t>杨宁</t>
  </si>
  <si>
    <t>范梦情</t>
  </si>
  <si>
    <t>葛慧慧</t>
  </si>
  <si>
    <t>牛露阳</t>
  </si>
  <si>
    <t>罗紫晴</t>
  </si>
  <si>
    <t>张倩倩</t>
  </si>
  <si>
    <t>张会芳</t>
  </si>
  <si>
    <t>刘彦</t>
  </si>
  <si>
    <t>张蕊</t>
  </si>
  <si>
    <t>沈梦璇</t>
  </si>
  <si>
    <t>王娟</t>
  </si>
  <si>
    <t>孙韩玉</t>
  </si>
  <si>
    <t>王梦遥</t>
  </si>
  <si>
    <t>陈艳</t>
  </si>
  <si>
    <t>杨惠惠</t>
  </si>
  <si>
    <t>时梦雪</t>
  </si>
  <si>
    <t>刘凤侠</t>
  </si>
  <si>
    <t>刘品</t>
  </si>
  <si>
    <t>鉏玉敏</t>
  </si>
  <si>
    <t>李中晴</t>
  </si>
  <si>
    <t>丁澳梦</t>
  </si>
  <si>
    <t>唐晓熠</t>
  </si>
  <si>
    <t>程瑞</t>
  </si>
  <si>
    <t>李亚茹</t>
  </si>
  <si>
    <t>丁莉</t>
  </si>
  <si>
    <t>贾梦茹</t>
  </si>
  <si>
    <t>张梦情</t>
  </si>
  <si>
    <t>丁宁宁</t>
  </si>
  <si>
    <t>韩建飞</t>
  </si>
  <si>
    <t>刘娜</t>
  </si>
  <si>
    <t>高瞻远</t>
  </si>
  <si>
    <t>孙晓利</t>
  </si>
  <si>
    <t>张然然</t>
  </si>
  <si>
    <t>王燕</t>
  </si>
  <si>
    <t>张琳</t>
  </si>
  <si>
    <t>王紫薇</t>
  </si>
  <si>
    <t>桑小丽</t>
  </si>
  <si>
    <t>孙艳红</t>
  </si>
  <si>
    <t>周如雪</t>
  </si>
  <si>
    <t>刘欢欢</t>
  </si>
  <si>
    <t>李雯静</t>
  </si>
  <si>
    <t>连瑞威</t>
  </si>
  <si>
    <t>江培培</t>
  </si>
  <si>
    <t>常梦勤</t>
  </si>
  <si>
    <t>张雨情</t>
  </si>
  <si>
    <t>郑瑞</t>
  </si>
  <si>
    <t>楚莎莎</t>
  </si>
  <si>
    <t>袁利</t>
  </si>
  <si>
    <t>徐晓东</t>
  </si>
  <si>
    <t>李心如</t>
  </si>
  <si>
    <t>王雨涵</t>
  </si>
  <si>
    <t>吴蔓玉</t>
  </si>
  <si>
    <t>韦利芳</t>
  </si>
  <si>
    <t>许梦薇</t>
  </si>
  <si>
    <t>彭启迪</t>
  </si>
  <si>
    <t>刘雪静</t>
  </si>
  <si>
    <t>梁凯雪</t>
  </si>
  <si>
    <t>李灿灿</t>
  </si>
  <si>
    <t>2021014</t>
  </si>
  <si>
    <t>陈晓宁</t>
  </si>
  <si>
    <t>牛晓梅</t>
  </si>
  <si>
    <t>王俊丽</t>
  </si>
  <si>
    <t>管玉雯</t>
  </si>
  <si>
    <t>叶蕾恩</t>
  </si>
  <si>
    <t>周紫薇</t>
  </si>
  <si>
    <t>麻小娇</t>
  </si>
  <si>
    <t>戴子丽</t>
  </si>
  <si>
    <t>祁文静</t>
  </si>
  <si>
    <t>王欣欣</t>
  </si>
  <si>
    <t>刘梦宇</t>
  </si>
  <si>
    <t>赵慧慧</t>
  </si>
  <si>
    <t>徐冉</t>
  </si>
  <si>
    <t>赵伟</t>
  </si>
  <si>
    <t>李铭晨</t>
  </si>
  <si>
    <t>常梦茹</t>
  </si>
  <si>
    <t>许林星</t>
  </si>
  <si>
    <t>辛伟亚</t>
  </si>
  <si>
    <t>刘苏婉</t>
  </si>
  <si>
    <t>韩露</t>
  </si>
  <si>
    <t>朱慧晨</t>
  </si>
  <si>
    <t>张莉莉</t>
  </si>
  <si>
    <t>任文晴</t>
  </si>
  <si>
    <t>耿梦茹</t>
  </si>
  <si>
    <t>付梦捷</t>
  </si>
  <si>
    <t>张亚丽</t>
  </si>
  <si>
    <t>范晶晶</t>
  </si>
  <si>
    <t>聂宇</t>
  </si>
  <si>
    <t>王可欣</t>
  </si>
  <si>
    <t>李乐莹</t>
  </si>
  <si>
    <t>张浩月</t>
  </si>
  <si>
    <t>王佩汝</t>
  </si>
  <si>
    <t>赵凌晨</t>
  </si>
  <si>
    <t>秦文利</t>
  </si>
  <si>
    <t>陈星星</t>
  </si>
  <si>
    <t>徐雅婷</t>
  </si>
  <si>
    <t>刘佳雯</t>
  </si>
  <si>
    <t>汝丽</t>
  </si>
  <si>
    <t>师孟瑶</t>
  </si>
  <si>
    <t>窦思文</t>
  </si>
  <si>
    <t>程丽娜</t>
  </si>
  <si>
    <t>潘攀</t>
  </si>
  <si>
    <t>涂梦雪</t>
  </si>
  <si>
    <t>刘宁</t>
  </si>
  <si>
    <t>李妍</t>
  </si>
  <si>
    <t>朱莉</t>
  </si>
  <si>
    <t>梁梦凡</t>
  </si>
  <si>
    <t>周文旭</t>
  </si>
  <si>
    <t>崔孟伟</t>
  </si>
  <si>
    <t>郭宁洁</t>
  </si>
  <si>
    <t>褚园园</t>
  </si>
  <si>
    <t>郝雨凡</t>
  </si>
  <si>
    <t>王艳</t>
  </si>
  <si>
    <t>郭征文</t>
  </si>
  <si>
    <t>姜阿兰</t>
  </si>
  <si>
    <t>肖庆</t>
  </si>
  <si>
    <t>赵梦雨</t>
  </si>
  <si>
    <t>赵丹丹</t>
  </si>
  <si>
    <t>胡伶俐</t>
  </si>
  <si>
    <t>王凯悦</t>
  </si>
  <si>
    <t>葛曼曼</t>
  </si>
  <si>
    <t>程倩倩</t>
  </si>
  <si>
    <t>2021015</t>
  </si>
  <si>
    <t>范小嫚</t>
  </si>
  <si>
    <t>余莎莎</t>
  </si>
  <si>
    <t>张苗苗</t>
  </si>
  <si>
    <t>范慧</t>
  </si>
  <si>
    <t>彭会会</t>
  </si>
  <si>
    <t>戎晶晶</t>
  </si>
  <si>
    <t>魏如</t>
  </si>
  <si>
    <t>时倩倩</t>
  </si>
  <si>
    <t>谢子晴</t>
  </si>
  <si>
    <t>王孟君</t>
  </si>
  <si>
    <t>谢田云</t>
  </si>
  <si>
    <t>韩雅雅</t>
  </si>
  <si>
    <t>谢文倩</t>
  </si>
  <si>
    <t>朱晴</t>
  </si>
  <si>
    <t>杨玉侠</t>
  </si>
  <si>
    <t>张梦雨</t>
  </si>
  <si>
    <t>庞兰侠</t>
  </si>
  <si>
    <t>张越越</t>
  </si>
  <si>
    <t>高渊渊</t>
  </si>
  <si>
    <t>董梦梦</t>
  </si>
  <si>
    <t>胡玲</t>
  </si>
  <si>
    <t>任沪宁</t>
  </si>
  <si>
    <t>曹雪</t>
  </si>
  <si>
    <t>李晓曼</t>
  </si>
  <si>
    <t>薛勤</t>
  </si>
  <si>
    <t>张玉婷</t>
  </si>
  <si>
    <t>高丹丹</t>
  </si>
  <si>
    <t>夏方方</t>
  </si>
  <si>
    <t>韩静文</t>
  </si>
  <si>
    <t>王雅君</t>
  </si>
  <si>
    <t>陈影</t>
  </si>
  <si>
    <t>杨雅慧</t>
  </si>
  <si>
    <t>韩芮</t>
  </si>
  <si>
    <t>孙思晴</t>
  </si>
  <si>
    <t>丁皎皎</t>
  </si>
  <si>
    <t>张甜甜</t>
  </si>
  <si>
    <t>杜洋洋</t>
  </si>
  <si>
    <t>于艳艳</t>
  </si>
  <si>
    <t>锁静文</t>
  </si>
  <si>
    <t>徐雨露</t>
  </si>
  <si>
    <t>铁青</t>
  </si>
  <si>
    <t>马璐娜</t>
  </si>
  <si>
    <t>张艳丽</t>
  </si>
  <si>
    <t>陈梦雨</t>
  </si>
  <si>
    <t>许孟雷</t>
  </si>
  <si>
    <t>程诺</t>
  </si>
  <si>
    <t>姜萍</t>
  </si>
  <si>
    <t>王雨</t>
  </si>
  <si>
    <t>李毛毛</t>
  </si>
  <si>
    <t>陈东慧</t>
  </si>
  <si>
    <t>完亚茹</t>
  </si>
  <si>
    <t>周远远</t>
  </si>
  <si>
    <t>姚娅妹</t>
  </si>
  <si>
    <t>袁雅静</t>
  </si>
  <si>
    <t>赵琰娜</t>
  </si>
  <si>
    <t>李晨歌</t>
  </si>
  <si>
    <t>孟令楠</t>
  </si>
  <si>
    <t>杨雨晴</t>
  </si>
  <si>
    <t>时嫚俐</t>
  </si>
  <si>
    <t>任如月</t>
  </si>
  <si>
    <t>张梅</t>
  </si>
  <si>
    <t>杜秀芹</t>
  </si>
  <si>
    <t>潘晴</t>
  </si>
  <si>
    <t>赵婷婷</t>
  </si>
  <si>
    <t>符堂利</t>
  </si>
  <si>
    <t>徐薇薇</t>
  </si>
  <si>
    <t>赵巧云</t>
  </si>
  <si>
    <t xml:space="preserve"> 田翔月</t>
  </si>
  <si>
    <t>袁玲玲</t>
  </si>
  <si>
    <t>2021016</t>
  </si>
  <si>
    <t>韩璐</t>
  </si>
  <si>
    <t>孔欢欢</t>
  </si>
  <si>
    <t>吴晓雨</t>
  </si>
  <si>
    <t>曹紫薇</t>
  </si>
  <si>
    <t>刘雨辰</t>
  </si>
  <si>
    <t>杨娜</t>
  </si>
  <si>
    <t>史文静</t>
  </si>
  <si>
    <t>程娜娜</t>
  </si>
  <si>
    <t>高敏</t>
  </si>
  <si>
    <t>毛迎</t>
  </si>
  <si>
    <t>石玉兰</t>
  </si>
  <si>
    <t>高慧</t>
  </si>
  <si>
    <t>段彦慧</t>
  </si>
  <si>
    <t>高月圆</t>
  </si>
  <si>
    <t>朱玉玉</t>
  </si>
  <si>
    <t>史晴晴</t>
  </si>
  <si>
    <t>蒋小艳</t>
  </si>
  <si>
    <t>刘蕾</t>
  </si>
  <si>
    <t>储亚洁</t>
  </si>
  <si>
    <t>王宇朦</t>
  </si>
  <si>
    <t>赖嫚嫚</t>
  </si>
  <si>
    <t>韩粉粉</t>
  </si>
  <si>
    <t>吴玉萍</t>
  </si>
  <si>
    <t>刘晨</t>
  </si>
  <si>
    <t>吴静静</t>
  </si>
  <si>
    <t>刘晓静</t>
  </si>
  <si>
    <t>杨雪丽</t>
  </si>
  <si>
    <t>郝妮</t>
  </si>
  <si>
    <t>余醒醒</t>
  </si>
  <si>
    <t>马静</t>
  </si>
  <si>
    <t>张皓琳</t>
  </si>
  <si>
    <t>邢雨晴</t>
  </si>
  <si>
    <t>马楠楠</t>
  </si>
  <si>
    <t>王晨晨</t>
  </si>
  <si>
    <t>梅新秀</t>
  </si>
  <si>
    <t>王雨凤</t>
  </si>
  <si>
    <t>李菲菲</t>
  </si>
  <si>
    <t>李心情</t>
  </si>
  <si>
    <t>田婉婷</t>
  </si>
  <si>
    <t>杨淼</t>
  </si>
  <si>
    <t>杨璐琰</t>
  </si>
  <si>
    <t>巫静文</t>
  </si>
  <si>
    <t>许亚男</t>
  </si>
  <si>
    <t>谢婷</t>
  </si>
  <si>
    <t>魏广琴</t>
  </si>
  <si>
    <t>姚子卉</t>
  </si>
  <si>
    <t>董慧慧</t>
  </si>
  <si>
    <t>姚依萍</t>
  </si>
  <si>
    <t>乔玉梅</t>
  </si>
  <si>
    <t>吴丹丹</t>
  </si>
  <si>
    <t>陈宇歌</t>
  </si>
  <si>
    <t>袁玉如</t>
  </si>
  <si>
    <t>刘卫红</t>
  </si>
  <si>
    <t>2021017</t>
  </si>
  <si>
    <t>李晓露</t>
  </si>
  <si>
    <t>张盈盈</t>
  </si>
  <si>
    <t>李瑞洁</t>
  </si>
  <si>
    <t>桑芳芳</t>
  </si>
  <si>
    <t>徐静娴</t>
  </si>
  <si>
    <t>徐慧紫</t>
  </si>
  <si>
    <t>申玉慧</t>
  </si>
  <si>
    <t>王迪</t>
  </si>
  <si>
    <t>邸莉</t>
  </si>
  <si>
    <t>梁月</t>
  </si>
  <si>
    <t>李莹莹</t>
  </si>
  <si>
    <t>孙飞燕</t>
  </si>
  <si>
    <t>陈浔</t>
  </si>
  <si>
    <t>刘克盈</t>
  </si>
  <si>
    <t>李雪晴</t>
  </si>
  <si>
    <t>袁梦梦</t>
  </si>
  <si>
    <t>邓宁</t>
  </si>
  <si>
    <t>张以勤</t>
  </si>
  <si>
    <t>宋玉梅</t>
  </si>
  <si>
    <t>高慧慧</t>
  </si>
  <si>
    <t>鲍佳慧</t>
  </si>
  <si>
    <t>王雪</t>
  </si>
  <si>
    <t>王思雷</t>
  </si>
  <si>
    <t>陈园园</t>
  </si>
  <si>
    <t>田淑婷</t>
  </si>
  <si>
    <t>陈倩楠</t>
  </si>
  <si>
    <t>王欣悦</t>
  </si>
  <si>
    <t>王治雪</t>
  </si>
  <si>
    <t>朱海云</t>
  </si>
  <si>
    <t>孙慧茹</t>
  </si>
  <si>
    <t>刘晓晓</t>
  </si>
  <si>
    <t>聂晓歌</t>
  </si>
  <si>
    <t>都来美</t>
  </si>
  <si>
    <t>范影影</t>
  </si>
  <si>
    <t>卞井然</t>
  </si>
  <si>
    <t>冯文文</t>
  </si>
  <si>
    <t>张雪</t>
  </si>
  <si>
    <t>苏阿艳</t>
  </si>
  <si>
    <t>李孝青</t>
  </si>
  <si>
    <t>康路平</t>
  </si>
  <si>
    <t>孙龙妍</t>
  </si>
  <si>
    <t>王心玉</t>
  </si>
  <si>
    <t>李含语</t>
  </si>
  <si>
    <t>刘梦园</t>
  </si>
  <si>
    <t>柳亚南</t>
  </si>
  <si>
    <t>胡静翠</t>
  </si>
  <si>
    <t>鹿曼</t>
  </si>
  <si>
    <t>刘蕊</t>
  </si>
  <si>
    <t>李淑悦</t>
  </si>
  <si>
    <t>张欣艳</t>
  </si>
  <si>
    <t>崔肖雅</t>
  </si>
  <si>
    <t>姚欣欣</t>
  </si>
  <si>
    <t>李雅霜</t>
  </si>
  <si>
    <t>郭立梅</t>
  </si>
  <si>
    <t>史保清</t>
  </si>
  <si>
    <t>方雅文</t>
  </si>
  <si>
    <t>2021018</t>
  </si>
  <si>
    <t>孙学艳</t>
  </si>
  <si>
    <t>桑慧慧</t>
  </si>
  <si>
    <t>单雪杰</t>
  </si>
  <si>
    <t>张金雪</t>
  </si>
  <si>
    <t>李梦晴</t>
  </si>
  <si>
    <t>杨梦雅</t>
  </si>
  <si>
    <t>杨慧婷</t>
  </si>
  <si>
    <t>陆晓宇</t>
  </si>
  <si>
    <t>胡恩恩</t>
  </si>
  <si>
    <t>杨丽</t>
  </si>
  <si>
    <t>张瑞</t>
  </si>
  <si>
    <t>贺欢欢</t>
  </si>
  <si>
    <t>李梦如</t>
  </si>
  <si>
    <t>陆沛辰</t>
  </si>
  <si>
    <t>陆雅文</t>
  </si>
  <si>
    <t>武琳</t>
  </si>
  <si>
    <t>杜梦男</t>
  </si>
  <si>
    <t>潘宁雅</t>
  </si>
  <si>
    <t>牛婷婷</t>
  </si>
  <si>
    <t>张新雨</t>
  </si>
  <si>
    <t>周慧敏</t>
  </si>
  <si>
    <t>刘梦娜</t>
  </si>
  <si>
    <t>孙靖如</t>
  </si>
  <si>
    <t>王雪晴</t>
  </si>
  <si>
    <t>董一帆</t>
  </si>
  <si>
    <t>田一慧</t>
  </si>
  <si>
    <t>郭新</t>
  </si>
  <si>
    <t>刘艺璇</t>
  </si>
  <si>
    <t>宫亚汝</t>
  </si>
  <si>
    <t>路梦影</t>
  </si>
  <si>
    <t>凡梦蝶</t>
  </si>
  <si>
    <t>董金凤</t>
  </si>
  <si>
    <t>陈玲</t>
  </si>
  <si>
    <t>夏圣楠</t>
  </si>
  <si>
    <t>刘梦</t>
  </si>
  <si>
    <t>赵娜娜</t>
  </si>
  <si>
    <t>张营营</t>
  </si>
  <si>
    <t>武雪婷</t>
  </si>
  <si>
    <t>马兰</t>
  </si>
  <si>
    <t>马小杰</t>
  </si>
  <si>
    <t>田文静</t>
  </si>
  <si>
    <t>杨田田</t>
  </si>
  <si>
    <t>崔梦琪</t>
  </si>
  <si>
    <t>王雪莹</t>
  </si>
  <si>
    <t>李灿</t>
  </si>
  <si>
    <t>吴桂萍</t>
  </si>
  <si>
    <t>马福美</t>
  </si>
  <si>
    <t>张方方</t>
  </si>
  <si>
    <t>李丹丹</t>
  </si>
  <si>
    <t>董园园</t>
  </si>
  <si>
    <t>周晓蒙</t>
  </si>
  <si>
    <t>程雪艳</t>
  </si>
  <si>
    <t>张晓停</t>
  </si>
  <si>
    <t>刘亚晗</t>
  </si>
  <si>
    <t>王近近</t>
  </si>
  <si>
    <t>陆倩倩</t>
  </si>
  <si>
    <t>丁坤佳</t>
  </si>
  <si>
    <t>潘静怡</t>
  </si>
  <si>
    <t>武心语</t>
  </si>
  <si>
    <t>马梦蝶</t>
  </si>
  <si>
    <t>刘瑾茹</t>
  </si>
  <si>
    <t>杜孟梅</t>
  </si>
  <si>
    <t>张梦停</t>
  </si>
  <si>
    <t>2021019</t>
  </si>
  <si>
    <t>吕慧慧</t>
  </si>
  <si>
    <t>赵志恕</t>
  </si>
  <si>
    <t>周慢曼</t>
  </si>
  <si>
    <t>杜晓雯</t>
  </si>
  <si>
    <t>刘舒文</t>
  </si>
  <si>
    <t>闫欣欣</t>
  </si>
  <si>
    <t>何雨蝶</t>
  </si>
  <si>
    <t>马晓婷</t>
  </si>
  <si>
    <t>李晴晴</t>
  </si>
  <si>
    <t>李小妮</t>
  </si>
  <si>
    <t>张于梦</t>
  </si>
  <si>
    <t>江悦</t>
  </si>
  <si>
    <t>徐梦</t>
  </si>
  <si>
    <t>王晶晶</t>
  </si>
  <si>
    <t>陈雪</t>
  </si>
  <si>
    <t>梅雪</t>
  </si>
  <si>
    <t>管嘉玲</t>
  </si>
  <si>
    <t>庞王宁</t>
  </si>
  <si>
    <t>马蓓蓓</t>
  </si>
  <si>
    <t>赵子寒</t>
  </si>
  <si>
    <t>武烟云</t>
  </si>
  <si>
    <t>胡静</t>
  </si>
  <si>
    <t>王琳慧</t>
  </si>
  <si>
    <t>吕雪琴</t>
  </si>
  <si>
    <t>胥瑞瑞</t>
  </si>
  <si>
    <t>丁艳</t>
  </si>
  <si>
    <t>房孟云</t>
  </si>
  <si>
    <t>徐莹莹</t>
  </si>
  <si>
    <t>武婷婷</t>
  </si>
  <si>
    <t>董静</t>
  </si>
  <si>
    <t>张妮娜</t>
  </si>
  <si>
    <t>孙妮</t>
  </si>
  <si>
    <t>李圆圆</t>
  </si>
  <si>
    <t>张林林</t>
  </si>
  <si>
    <t>陈盈</t>
  </si>
  <si>
    <t>郑培培</t>
  </si>
  <si>
    <t>刘雪</t>
  </si>
  <si>
    <t>谭青青</t>
  </si>
  <si>
    <t>苏娜娜</t>
  </si>
  <si>
    <t>吕晴</t>
  </si>
  <si>
    <t>李彦臻</t>
  </si>
  <si>
    <t>刘从从</t>
  </si>
  <si>
    <t>刘方</t>
  </si>
  <si>
    <t>王静</t>
  </si>
  <si>
    <t>杜振男</t>
  </si>
  <si>
    <t>刘诗雯</t>
  </si>
  <si>
    <t>许子诺</t>
  </si>
  <si>
    <t>曹秀芝</t>
  </si>
  <si>
    <t>陶芳</t>
  </si>
  <si>
    <t>汪树艳</t>
  </si>
  <si>
    <t>沈静怡</t>
  </si>
  <si>
    <t>李晓雅</t>
  </si>
  <si>
    <t>2021020</t>
  </si>
  <si>
    <t>计梅</t>
  </si>
  <si>
    <t>郭斯齐</t>
  </si>
  <si>
    <t>麴薇然</t>
  </si>
  <si>
    <t>刘志芳</t>
  </si>
  <si>
    <t>李芮芮</t>
  </si>
  <si>
    <t>王静雅</t>
  </si>
  <si>
    <t>朱熙琳</t>
  </si>
  <si>
    <t>周灿</t>
  </si>
  <si>
    <t>李雯雯</t>
  </si>
  <si>
    <t>赵玉洁</t>
  </si>
  <si>
    <t>王欣钰</t>
  </si>
  <si>
    <t>冯曼婷</t>
  </si>
  <si>
    <t>李红侠</t>
  </si>
  <si>
    <t>孙小妮</t>
  </si>
  <si>
    <t>余楠楠</t>
  </si>
  <si>
    <t>周靖宇</t>
  </si>
  <si>
    <t>黄晴晴</t>
  </si>
  <si>
    <t>吴盼盼</t>
  </si>
  <si>
    <t>李曼婷</t>
  </si>
  <si>
    <t>王国芳</t>
  </si>
  <si>
    <t>张翠</t>
  </si>
  <si>
    <t>孟圆圆</t>
  </si>
  <si>
    <t>郭梦婷</t>
  </si>
  <si>
    <t>张萌萌</t>
  </si>
  <si>
    <t>张梦韩</t>
  </si>
  <si>
    <t>王丽丽</t>
  </si>
  <si>
    <t>付悦</t>
  </si>
  <si>
    <t>2021021</t>
  </si>
  <si>
    <t>汪宇歌</t>
  </si>
  <si>
    <t>沈雨</t>
  </si>
  <si>
    <t>吴静宇</t>
  </si>
  <si>
    <t>周京京</t>
  </si>
  <si>
    <t>田方方</t>
  </si>
  <si>
    <t>刘瑞瑞</t>
  </si>
  <si>
    <t>杨晴晴</t>
  </si>
  <si>
    <t>刘婉玉</t>
  </si>
  <si>
    <t>周圆圆</t>
  </si>
  <si>
    <t>季程程</t>
  </si>
  <si>
    <t>胡广平</t>
  </si>
  <si>
    <t>朱怀萍</t>
  </si>
  <si>
    <t>尤小蝶</t>
  </si>
  <si>
    <t>王路路</t>
  </si>
  <si>
    <t>王逸凡</t>
  </si>
  <si>
    <t>祁婷婷</t>
  </si>
  <si>
    <t>康学梅</t>
  </si>
  <si>
    <t>马坤坤</t>
  </si>
  <si>
    <t>贾文玲</t>
  </si>
  <si>
    <t>于圆圆</t>
  </si>
  <si>
    <t>李雨晴</t>
  </si>
  <si>
    <t>李方方</t>
  </si>
  <si>
    <t>孙幼苗</t>
  </si>
  <si>
    <t>时闻静</t>
  </si>
  <si>
    <t>吴曼曼</t>
  </si>
  <si>
    <t>刘园园</t>
  </si>
  <si>
    <t>丁瑞瑞</t>
  </si>
  <si>
    <t>任家惠</t>
  </si>
  <si>
    <t>王海芹</t>
  </si>
  <si>
    <t>李馨悦</t>
  </si>
  <si>
    <t>谢二妮</t>
  </si>
  <si>
    <t>丁盼盼</t>
  </si>
  <si>
    <t>尹结结</t>
  </si>
  <si>
    <t>程青青</t>
  </si>
  <si>
    <t>赵利萍</t>
  </si>
  <si>
    <t>周佳雪</t>
  </si>
  <si>
    <t>张盼</t>
  </si>
  <si>
    <t>秦春敏</t>
  </si>
  <si>
    <t>郝慧敏</t>
  </si>
  <si>
    <t>2021022</t>
  </si>
  <si>
    <t>郭明珠</t>
  </si>
  <si>
    <t>陈莎莎</t>
  </si>
  <si>
    <t>乔姗姗</t>
  </si>
  <si>
    <t>满一慧</t>
  </si>
  <si>
    <t>赵文静</t>
  </si>
  <si>
    <t>王瑞</t>
  </si>
  <si>
    <t>阮慧</t>
  </si>
  <si>
    <t>吴婷婷</t>
  </si>
  <si>
    <t>沈焦焦</t>
  </si>
  <si>
    <t>戚会会</t>
  </si>
  <si>
    <t>刘双双</t>
  </si>
  <si>
    <t>杨小会</t>
  </si>
  <si>
    <t>张子怡</t>
  </si>
  <si>
    <t>张小运</t>
  </si>
  <si>
    <t>朱迎迎</t>
  </si>
  <si>
    <t>李梦文</t>
  </si>
  <si>
    <t>唐自立</t>
  </si>
  <si>
    <t>李慧慧</t>
  </si>
  <si>
    <t>牛亚萍</t>
  </si>
  <si>
    <t>孙博博</t>
  </si>
  <si>
    <t>周金凤</t>
  </si>
  <si>
    <t>李嫚</t>
  </si>
  <si>
    <t>洪思雨</t>
  </si>
  <si>
    <t>吴晓婷</t>
  </si>
  <si>
    <t>高田</t>
  </si>
  <si>
    <t>陈利利</t>
  </si>
  <si>
    <t>程丹丹</t>
  </si>
  <si>
    <t>牛佩佩</t>
  </si>
  <si>
    <t>金雨婷</t>
  </si>
  <si>
    <t>孙晴</t>
  </si>
  <si>
    <t>张明锐</t>
  </si>
  <si>
    <t>2021023</t>
  </si>
  <si>
    <t>李保兴</t>
  </si>
  <si>
    <t>夏梦</t>
  </si>
  <si>
    <t>王丽</t>
  </si>
  <si>
    <t>李胜楠</t>
  </si>
  <si>
    <t>储娟</t>
  </si>
  <si>
    <t>高婉婉</t>
  </si>
  <si>
    <t>李雨奇</t>
  </si>
  <si>
    <t>张亚亭</t>
  </si>
  <si>
    <t>侯莹</t>
  </si>
  <si>
    <t>张云玲</t>
  </si>
  <si>
    <t>高圆圆</t>
  </si>
  <si>
    <t>陈洁</t>
  </si>
  <si>
    <t>毛雯静</t>
  </si>
  <si>
    <t>梁小菁</t>
  </si>
  <si>
    <t>陈悦悦</t>
  </si>
  <si>
    <t>纪曼曼</t>
  </si>
  <si>
    <t>骆倩楠</t>
  </si>
  <si>
    <t>张慧慧</t>
  </si>
  <si>
    <t>张迪迪</t>
  </si>
  <si>
    <t>赵玉琴</t>
  </si>
  <si>
    <t>贾莹莹</t>
  </si>
  <si>
    <t>刘晓梦</t>
  </si>
  <si>
    <t>王雪雨</t>
  </si>
  <si>
    <t>蔡美佳</t>
  </si>
  <si>
    <t>陈元元</t>
  </si>
  <si>
    <t>杨海婷</t>
  </si>
  <si>
    <t>张静静</t>
  </si>
  <si>
    <t>杨苗苗</t>
  </si>
  <si>
    <t>韩冰冰</t>
  </si>
  <si>
    <t>吴旭旭</t>
  </si>
  <si>
    <t>朱宇</t>
  </si>
  <si>
    <t>李慧</t>
  </si>
  <si>
    <t>常寻寻</t>
  </si>
  <si>
    <t>白雪凤</t>
  </si>
  <si>
    <t>冯雅雅</t>
  </si>
  <si>
    <t>乔诗雯</t>
  </si>
  <si>
    <t>王楠</t>
  </si>
  <si>
    <t>徐儒琳</t>
  </si>
  <si>
    <t>邓文静</t>
  </si>
  <si>
    <t>彭慧</t>
  </si>
  <si>
    <t>陈琳琳</t>
  </si>
  <si>
    <t>2021024</t>
  </si>
  <si>
    <t>岳信信</t>
  </si>
  <si>
    <t>韦永杰</t>
  </si>
  <si>
    <t>张妍</t>
  </si>
  <si>
    <t>王海晴</t>
  </si>
  <si>
    <t>候艳</t>
  </si>
  <si>
    <t>韩小洁</t>
  </si>
  <si>
    <t>魏影影</t>
  </si>
  <si>
    <t>高晴</t>
  </si>
  <si>
    <t>段圆兰</t>
  </si>
  <si>
    <t>马其云</t>
  </si>
  <si>
    <t>侯雨婷</t>
  </si>
  <si>
    <t>张凤</t>
  </si>
  <si>
    <t>付安娜</t>
  </si>
  <si>
    <t>赵慧</t>
  </si>
  <si>
    <t>王甜甜</t>
  </si>
  <si>
    <t>梁慢利</t>
  </si>
  <si>
    <t>吴丽娜</t>
  </si>
  <si>
    <t>张雪松</t>
  </si>
  <si>
    <t>杨灿</t>
  </si>
  <si>
    <t>梅玉</t>
  </si>
  <si>
    <t>卢莉洁</t>
  </si>
  <si>
    <t>李思念</t>
  </si>
  <si>
    <t>黄姣姣</t>
  </si>
  <si>
    <t>桑星晨</t>
  </si>
  <si>
    <t>夏邦凤</t>
  </si>
  <si>
    <t>倪肖男</t>
  </si>
  <si>
    <t>朱彩玲</t>
  </si>
  <si>
    <t>陈瑞琳</t>
  </si>
  <si>
    <t>王月</t>
  </si>
  <si>
    <t>钱琼琼</t>
  </si>
  <si>
    <t>陈文娟</t>
  </si>
  <si>
    <t>刘梦雪</t>
  </si>
  <si>
    <t>徐飘</t>
  </si>
  <si>
    <t>姜晶晶</t>
  </si>
  <si>
    <t>屈玉林</t>
  </si>
  <si>
    <t>邓煜颖</t>
  </si>
  <si>
    <t>王雨寒</t>
  </si>
  <si>
    <t>郭秀敏</t>
  </si>
  <si>
    <t>段海芸</t>
  </si>
  <si>
    <t>高秀梅</t>
  </si>
  <si>
    <t>康冰洁</t>
  </si>
  <si>
    <t>侯小梅</t>
  </si>
  <si>
    <t>夏玉芳</t>
  </si>
  <si>
    <t>李雪婷</t>
  </si>
  <si>
    <t>黄涵</t>
  </si>
  <si>
    <t>徐亚南</t>
  </si>
  <si>
    <t>2021025</t>
  </si>
  <si>
    <t>朱照翔</t>
  </si>
  <si>
    <t>邵晴晴</t>
  </si>
  <si>
    <t>贾翠</t>
  </si>
  <si>
    <t>江星晨</t>
  </si>
  <si>
    <t>张宝如</t>
  </si>
  <si>
    <t>王孟</t>
  </si>
  <si>
    <t>张冰青</t>
  </si>
  <si>
    <t>王雪雷</t>
  </si>
  <si>
    <t>袁士玉</t>
  </si>
  <si>
    <t>赵吉娜</t>
  </si>
  <si>
    <t>刘啊悦</t>
  </si>
  <si>
    <t>胡翠平</t>
  </si>
  <si>
    <t>尤梦琪</t>
  </si>
  <si>
    <t>尤悦悦</t>
  </si>
  <si>
    <t>刘粤</t>
  </si>
  <si>
    <t>牛晓萍</t>
  </si>
  <si>
    <t>程慧</t>
  </si>
  <si>
    <t>李淑雅</t>
  </si>
  <si>
    <t>袁欣雨</t>
  </si>
  <si>
    <t>王悦悦</t>
  </si>
  <si>
    <t>侯文珊</t>
  </si>
  <si>
    <t>赵季萍</t>
  </si>
  <si>
    <t>王丹</t>
  </si>
  <si>
    <t>杨楠楠</t>
  </si>
  <si>
    <t>段淑梅</t>
  </si>
  <si>
    <t>舒宝红</t>
  </si>
  <si>
    <t>孙田田</t>
  </si>
  <si>
    <t>马玲</t>
  </si>
  <si>
    <t>陆宁宁</t>
  </si>
  <si>
    <t>宋园园</t>
  </si>
  <si>
    <t>马子晴</t>
  </si>
  <si>
    <t>张梦如</t>
  </si>
  <si>
    <t>谢兰兰</t>
  </si>
  <si>
    <t>李欣</t>
  </si>
  <si>
    <t>高苗苗</t>
  </si>
  <si>
    <t>马玉荣</t>
  </si>
  <si>
    <t>舒梅</t>
  </si>
  <si>
    <t>张树文</t>
  </si>
  <si>
    <t>苏琴琴</t>
  </si>
  <si>
    <t>张金莉</t>
  </si>
  <si>
    <t>李凤娟</t>
  </si>
  <si>
    <t>2021026</t>
  </si>
  <si>
    <t>纪欣月</t>
  </si>
  <si>
    <t>段园娟</t>
  </si>
  <si>
    <t>王新茹</t>
  </si>
  <si>
    <t>李亚楠</t>
  </si>
  <si>
    <t>孙城城</t>
  </si>
  <si>
    <t>蒋梦雪</t>
  </si>
  <si>
    <t>高帅</t>
  </si>
  <si>
    <t>田艳</t>
  </si>
  <si>
    <t>张素梅</t>
  </si>
  <si>
    <t>武亭亭</t>
  </si>
  <si>
    <t>蒋伟娅</t>
  </si>
  <si>
    <t>刘坤</t>
  </si>
  <si>
    <t>张亚杰</t>
  </si>
  <si>
    <t>靳婉茹</t>
  </si>
  <si>
    <t>刘莹莹</t>
  </si>
  <si>
    <t>高晴利</t>
  </si>
  <si>
    <t>薛晴</t>
  </si>
  <si>
    <t>牛瑞华</t>
  </si>
  <si>
    <t>闫恩慧</t>
  </si>
  <si>
    <t>孟娇娇</t>
  </si>
  <si>
    <t>周小莉</t>
  </si>
  <si>
    <t>张丽君</t>
  </si>
  <si>
    <t>许甜甜</t>
  </si>
  <si>
    <t>唐娜娜</t>
  </si>
  <si>
    <t>王超男</t>
  </si>
  <si>
    <t>李雪雪</t>
  </si>
  <si>
    <t>杨慧慧</t>
  </si>
  <si>
    <t>刘璇</t>
  </si>
  <si>
    <t>张春梅</t>
  </si>
  <si>
    <t>崔静</t>
  </si>
  <si>
    <t>周雨晴</t>
  </si>
  <si>
    <t>贺纳</t>
  </si>
  <si>
    <t>张梦</t>
  </si>
  <si>
    <t>江奥林</t>
  </si>
  <si>
    <t>张梅梅</t>
  </si>
  <si>
    <t>李俊丽</t>
  </si>
  <si>
    <t>骆宣凤</t>
  </si>
  <si>
    <t>张情情</t>
  </si>
  <si>
    <t>李宁</t>
  </si>
  <si>
    <t>王唱唱</t>
  </si>
  <si>
    <t>蒋靖雯</t>
  </si>
  <si>
    <t>王诺</t>
  </si>
  <si>
    <t>刘婉君</t>
  </si>
  <si>
    <t>吴晓艳</t>
  </si>
  <si>
    <t>程盼盼</t>
  </si>
  <si>
    <t>蔡贝贝</t>
  </si>
  <si>
    <t>2021027</t>
  </si>
  <si>
    <t>尹雪情</t>
  </si>
  <si>
    <t>程明</t>
  </si>
  <si>
    <t>张倍倍</t>
  </si>
  <si>
    <t>任运侠</t>
  </si>
  <si>
    <t>赵梦阳</t>
  </si>
  <si>
    <t>李倩楠</t>
  </si>
  <si>
    <t>韩雪丽</t>
  </si>
  <si>
    <t>段芳芳</t>
  </si>
  <si>
    <t>高素丽</t>
  </si>
  <si>
    <t>宋晓艳</t>
  </si>
  <si>
    <t>李青青</t>
  </si>
  <si>
    <t>吴慧婷</t>
  </si>
  <si>
    <t>洪红</t>
  </si>
  <si>
    <t>尹天娇</t>
  </si>
  <si>
    <t>张俊婷</t>
  </si>
  <si>
    <t>孙悦悦</t>
  </si>
  <si>
    <t>李晓庆</t>
  </si>
  <si>
    <t>牛利艳</t>
  </si>
  <si>
    <t>刘晓云</t>
  </si>
  <si>
    <t>王培玲</t>
  </si>
  <si>
    <t>肖露露</t>
  </si>
  <si>
    <t>张曼玉</t>
  </si>
  <si>
    <t>姚怡</t>
  </si>
  <si>
    <t>高苛</t>
  </si>
  <si>
    <t>廉芷若</t>
  </si>
  <si>
    <t>莫意慧</t>
  </si>
  <si>
    <t>滑晓娟</t>
  </si>
  <si>
    <t>王雪梅</t>
  </si>
  <si>
    <t>李晓瑞</t>
  </si>
  <si>
    <t>袁宝婷</t>
  </si>
  <si>
    <t>刘慧慧</t>
  </si>
  <si>
    <t>赵倩倩</t>
  </si>
  <si>
    <t>朱远音</t>
  </si>
  <si>
    <t>李瑶瑶</t>
  </si>
  <si>
    <t>王雪连</t>
  </si>
  <si>
    <t>朱翠翠</t>
  </si>
  <si>
    <t>杨晓卉</t>
  </si>
  <si>
    <t>赵欢欢</t>
  </si>
  <si>
    <t>周景群</t>
  </si>
  <si>
    <t>徐梦茹</t>
  </si>
  <si>
    <t>牛佳惠</t>
  </si>
  <si>
    <t>王惠惠</t>
  </si>
  <si>
    <t>程梦兰</t>
  </si>
  <si>
    <t>陈敏敏</t>
  </si>
  <si>
    <t>焦宝宝</t>
  </si>
  <si>
    <t>谷良付</t>
  </si>
  <si>
    <t>柯文娜</t>
  </si>
  <si>
    <t>2021028</t>
  </si>
  <si>
    <t>胡珊珊</t>
  </si>
  <si>
    <t>陈晶晶</t>
  </si>
  <si>
    <t>董伟伟</t>
  </si>
  <si>
    <t>周银玉</t>
  </si>
  <si>
    <t>武艳艳</t>
  </si>
  <si>
    <t>耿大玉</t>
  </si>
  <si>
    <t>邓蒙娜</t>
  </si>
  <si>
    <t>冉文慧</t>
  </si>
  <si>
    <t>任方方</t>
  </si>
  <si>
    <t>刘紫薇</t>
  </si>
  <si>
    <t>高雅晴</t>
  </si>
  <si>
    <t>陈想想</t>
  </si>
  <si>
    <t>张玉喜</t>
  </si>
  <si>
    <t>金冬梅</t>
  </si>
  <si>
    <t>薛琴</t>
  </si>
  <si>
    <t>刘秀</t>
  </si>
  <si>
    <t>李丁惠</t>
  </si>
  <si>
    <t>王晓艳</t>
  </si>
  <si>
    <t>孙佳慧</t>
  </si>
  <si>
    <t>陈曼曼</t>
  </si>
  <si>
    <t>赵青青</t>
  </si>
  <si>
    <t>朱会会</t>
  </si>
  <si>
    <t>杜雷娟</t>
  </si>
  <si>
    <t>李玉洁</t>
  </si>
  <si>
    <t>张莎莎</t>
  </si>
  <si>
    <t>张楠楠</t>
  </si>
  <si>
    <t>徐杰</t>
  </si>
  <si>
    <t>张珂珂</t>
  </si>
  <si>
    <t>董雪倩</t>
  </si>
  <si>
    <t>李陶丽</t>
  </si>
  <si>
    <t>宋晓蝶</t>
  </si>
  <si>
    <t>汝雅倩</t>
  </si>
  <si>
    <t>何欣欣</t>
  </si>
  <si>
    <t>张晓慧</t>
  </si>
  <si>
    <t>郑明月</t>
  </si>
  <si>
    <t>董宁宁</t>
  </si>
  <si>
    <t>董晓寒</t>
  </si>
  <si>
    <t>刘静怡</t>
  </si>
  <si>
    <t>张萍</t>
  </si>
  <si>
    <t>阜阳市颍东区2021年公开招聘幼儿教师笔试成绩表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</si>
</sst>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P1654"/>
  <sheetViews>
    <sheetView tabSelected="1" workbookViewId="0">
      <selection activeCell="I3" sqref="I3"/>
    </sheetView>
  </sheetViews>
  <sheetFormatPr defaultColWidth="9" defaultRowHeight="14.25"/>
  <cols>
    <col min="1" max="1" width="11" style="2" customWidth="1"/>
    <col min="2" max="2" width="8.125" style="2" customWidth="1"/>
    <col min="3" max="3" width="7.375" style="2" customWidth="1"/>
    <col min="4" max="4" width="12.75" style="2" customWidth="1"/>
    <col min="5" max="5" width="8.375" style="2" customWidth="1"/>
    <col min="6" max="7" width="13.875" style="2" customWidth="1"/>
    <col min="8" max="16370" width="9" style="2"/>
    <col min="16371" max="16384" width="9" style="3"/>
  </cols>
  <sheetData>
    <row r="1" spans="1:8" ht="30.75" customHeight="1">
      <c r="A1" s="9" t="s">
        <v>1606</v>
      </c>
      <c r="B1" s="9"/>
      <c r="C1" s="9"/>
      <c r="D1" s="9"/>
      <c r="E1" s="9"/>
      <c r="F1" s="9"/>
      <c r="G1" s="9"/>
      <c r="H1" s="9"/>
    </row>
    <row r="2" spans="1:8" s="1" customFormat="1" ht="35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</row>
    <row r="3" spans="1:8" s="2" customFormat="1">
      <c r="A3" s="7" t="s">
        <v>8</v>
      </c>
      <c r="B3" s="7" t="str">
        <f t="shared" ref="B3:B32" si="0">"01"</f>
        <v>01</v>
      </c>
      <c r="C3" s="7" t="str">
        <f>"01"</f>
        <v>01</v>
      </c>
      <c r="D3" s="7" t="str">
        <f>"20210010101"</f>
        <v>20210010101</v>
      </c>
      <c r="E3" s="7" t="s">
        <v>9</v>
      </c>
      <c r="F3" s="7">
        <v>40</v>
      </c>
      <c r="G3" s="7">
        <v>92</v>
      </c>
      <c r="H3" s="8">
        <f t="shared" ref="H3:H66" si="1">F3*0.7+G3*0.3</f>
        <v>55.599999999999994</v>
      </c>
    </row>
    <row r="4" spans="1:8" s="2" customFormat="1">
      <c r="A4" s="7" t="s">
        <v>8</v>
      </c>
      <c r="B4" s="7" t="str">
        <f t="shared" si="0"/>
        <v>01</v>
      </c>
      <c r="C4" s="7" t="str">
        <f>"02"</f>
        <v>02</v>
      </c>
      <c r="D4" s="7" t="str">
        <f>"20210010102"</f>
        <v>20210010102</v>
      </c>
      <c r="E4" s="7" t="s">
        <v>10</v>
      </c>
      <c r="F4" s="7">
        <v>45</v>
      </c>
      <c r="G4" s="7">
        <v>51</v>
      </c>
      <c r="H4" s="8">
        <f t="shared" si="1"/>
        <v>46.8</v>
      </c>
    </row>
    <row r="5" spans="1:8" s="2" customFormat="1">
      <c r="A5" s="7" t="s">
        <v>8</v>
      </c>
      <c r="B5" s="7" t="str">
        <f t="shared" si="0"/>
        <v>01</v>
      </c>
      <c r="C5" s="7" t="str">
        <f>"03"</f>
        <v>03</v>
      </c>
      <c r="D5" s="7" t="str">
        <f>"20210010103"</f>
        <v>20210010103</v>
      </c>
      <c r="E5" s="7" t="s">
        <v>11</v>
      </c>
      <c r="F5" s="7">
        <v>60.5</v>
      </c>
      <c r="G5" s="7">
        <v>80</v>
      </c>
      <c r="H5" s="8">
        <f t="shared" si="1"/>
        <v>66.349999999999994</v>
      </c>
    </row>
    <row r="6" spans="1:8" s="2" customFormat="1">
      <c r="A6" s="7" t="s">
        <v>8</v>
      </c>
      <c r="B6" s="7" t="str">
        <f t="shared" si="0"/>
        <v>01</v>
      </c>
      <c r="C6" s="7" t="str">
        <f>"04"</f>
        <v>04</v>
      </c>
      <c r="D6" s="7" t="str">
        <f>"20210010104"</f>
        <v>20210010104</v>
      </c>
      <c r="E6" s="7" t="s">
        <v>12</v>
      </c>
      <c r="F6" s="7">
        <v>50</v>
      </c>
      <c r="G6" s="7">
        <v>61</v>
      </c>
      <c r="H6" s="8">
        <f t="shared" si="1"/>
        <v>53.3</v>
      </c>
    </row>
    <row r="7" spans="1:8" s="2" customFormat="1">
      <c r="A7" s="7" t="s">
        <v>8</v>
      </c>
      <c r="B7" s="7" t="str">
        <f t="shared" si="0"/>
        <v>01</v>
      </c>
      <c r="C7" s="7" t="str">
        <f>"05"</f>
        <v>05</v>
      </c>
      <c r="D7" s="7" t="str">
        <f>"20210010105"</f>
        <v>20210010105</v>
      </c>
      <c r="E7" s="7" t="s">
        <v>13</v>
      </c>
      <c r="F7" s="7">
        <v>40</v>
      </c>
      <c r="G7" s="7">
        <v>34</v>
      </c>
      <c r="H7" s="8">
        <f t="shared" si="1"/>
        <v>38.200000000000003</v>
      </c>
    </row>
    <row r="8" spans="1:8" s="2" customFormat="1">
      <c r="A8" s="7" t="s">
        <v>8</v>
      </c>
      <c r="B8" s="7" t="str">
        <f t="shared" si="0"/>
        <v>01</v>
      </c>
      <c r="C8" s="7" t="str">
        <f>"06"</f>
        <v>06</v>
      </c>
      <c r="D8" s="7" t="str">
        <f>"20210010106"</f>
        <v>20210010106</v>
      </c>
      <c r="E8" s="7" t="s">
        <v>14</v>
      </c>
      <c r="F8" s="7">
        <v>49.5</v>
      </c>
      <c r="G8" s="7">
        <v>62</v>
      </c>
      <c r="H8" s="8">
        <f t="shared" si="1"/>
        <v>53.25</v>
      </c>
    </row>
    <row r="9" spans="1:8" s="2" customFormat="1">
      <c r="A9" s="7" t="s">
        <v>8</v>
      </c>
      <c r="B9" s="7" t="str">
        <f t="shared" si="0"/>
        <v>01</v>
      </c>
      <c r="C9" s="7" t="str">
        <f>"07"</f>
        <v>07</v>
      </c>
      <c r="D9" s="7" t="str">
        <f>"20210010107"</f>
        <v>20210010107</v>
      </c>
      <c r="E9" s="7" t="s">
        <v>15</v>
      </c>
      <c r="F9" s="7">
        <v>43</v>
      </c>
      <c r="G9" s="7">
        <v>37</v>
      </c>
      <c r="H9" s="8">
        <f t="shared" si="1"/>
        <v>41.199999999999996</v>
      </c>
    </row>
    <row r="10" spans="1:8" s="2" customFormat="1">
      <c r="A10" s="7" t="s">
        <v>8</v>
      </c>
      <c r="B10" s="7" t="str">
        <f t="shared" si="0"/>
        <v>01</v>
      </c>
      <c r="C10" s="7" t="str">
        <f>"08"</f>
        <v>08</v>
      </c>
      <c r="D10" s="7" t="str">
        <f>"20210010108"</f>
        <v>20210010108</v>
      </c>
      <c r="E10" s="7" t="s">
        <v>16</v>
      </c>
      <c r="F10" s="7">
        <v>0</v>
      </c>
      <c r="G10" s="7">
        <v>0</v>
      </c>
      <c r="H10" s="8">
        <f t="shared" si="1"/>
        <v>0</v>
      </c>
    </row>
    <row r="11" spans="1:8" s="2" customFormat="1">
      <c r="A11" s="7" t="s">
        <v>8</v>
      </c>
      <c r="B11" s="7" t="str">
        <f t="shared" si="0"/>
        <v>01</v>
      </c>
      <c r="C11" s="7" t="str">
        <f>"09"</f>
        <v>09</v>
      </c>
      <c r="D11" s="7" t="str">
        <f>"20210010109"</f>
        <v>20210010109</v>
      </c>
      <c r="E11" s="7" t="s">
        <v>17</v>
      </c>
      <c r="F11" s="7">
        <v>50</v>
      </c>
      <c r="G11" s="7">
        <v>49</v>
      </c>
      <c r="H11" s="8">
        <f t="shared" si="1"/>
        <v>49.7</v>
      </c>
    </row>
    <row r="12" spans="1:8" s="2" customFormat="1">
      <c r="A12" s="7" t="s">
        <v>8</v>
      </c>
      <c r="B12" s="7" t="str">
        <f t="shared" si="0"/>
        <v>01</v>
      </c>
      <c r="C12" s="7" t="str">
        <f>"10"</f>
        <v>10</v>
      </c>
      <c r="D12" s="7" t="str">
        <f>"20210010110"</f>
        <v>20210010110</v>
      </c>
      <c r="E12" s="7" t="s">
        <v>18</v>
      </c>
      <c r="F12" s="7">
        <v>43</v>
      </c>
      <c r="G12" s="7">
        <v>38</v>
      </c>
      <c r="H12" s="8">
        <f t="shared" si="1"/>
        <v>41.5</v>
      </c>
    </row>
    <row r="13" spans="1:8" s="2" customFormat="1">
      <c r="A13" s="7" t="s">
        <v>8</v>
      </c>
      <c r="B13" s="7" t="str">
        <f t="shared" si="0"/>
        <v>01</v>
      </c>
      <c r="C13" s="7" t="str">
        <f>"11"</f>
        <v>11</v>
      </c>
      <c r="D13" s="7" t="str">
        <f>"20210010111"</f>
        <v>20210010111</v>
      </c>
      <c r="E13" s="7" t="s">
        <v>19</v>
      </c>
      <c r="F13" s="7">
        <v>31</v>
      </c>
      <c r="G13" s="7">
        <v>33</v>
      </c>
      <c r="H13" s="8">
        <f t="shared" si="1"/>
        <v>31.6</v>
      </c>
    </row>
    <row r="14" spans="1:8" s="2" customFormat="1">
      <c r="A14" s="7" t="s">
        <v>8</v>
      </c>
      <c r="B14" s="7" t="str">
        <f t="shared" si="0"/>
        <v>01</v>
      </c>
      <c r="C14" s="7" t="str">
        <f>"12"</f>
        <v>12</v>
      </c>
      <c r="D14" s="7" t="str">
        <f>"20210010112"</f>
        <v>20210010112</v>
      </c>
      <c r="E14" s="7" t="s">
        <v>20</v>
      </c>
      <c r="F14" s="7">
        <v>43</v>
      </c>
      <c r="G14" s="7">
        <v>39</v>
      </c>
      <c r="H14" s="8">
        <f t="shared" si="1"/>
        <v>41.8</v>
      </c>
    </row>
    <row r="15" spans="1:8" s="2" customFormat="1">
      <c r="A15" s="7" t="s">
        <v>8</v>
      </c>
      <c r="B15" s="7" t="str">
        <f t="shared" si="0"/>
        <v>01</v>
      </c>
      <c r="C15" s="7" t="str">
        <f>"13"</f>
        <v>13</v>
      </c>
      <c r="D15" s="7" t="str">
        <f>"20210010113"</f>
        <v>20210010113</v>
      </c>
      <c r="E15" s="7" t="s">
        <v>21</v>
      </c>
      <c r="F15" s="7">
        <v>41.5</v>
      </c>
      <c r="G15" s="7">
        <v>46</v>
      </c>
      <c r="H15" s="8">
        <f t="shared" si="1"/>
        <v>42.849999999999994</v>
      </c>
    </row>
    <row r="16" spans="1:8" s="2" customFormat="1">
      <c r="A16" s="7" t="s">
        <v>8</v>
      </c>
      <c r="B16" s="7" t="str">
        <f t="shared" si="0"/>
        <v>01</v>
      </c>
      <c r="C16" s="7" t="str">
        <f>"14"</f>
        <v>14</v>
      </c>
      <c r="D16" s="7" t="str">
        <f>"20210010114"</f>
        <v>20210010114</v>
      </c>
      <c r="E16" s="7" t="s">
        <v>22</v>
      </c>
      <c r="F16" s="7">
        <v>40</v>
      </c>
      <c r="G16" s="7">
        <v>41</v>
      </c>
      <c r="H16" s="8">
        <f t="shared" si="1"/>
        <v>40.299999999999997</v>
      </c>
    </row>
    <row r="17" spans="1:8" s="2" customFormat="1">
      <c r="A17" s="7" t="s">
        <v>8</v>
      </c>
      <c r="B17" s="7" t="str">
        <f t="shared" si="0"/>
        <v>01</v>
      </c>
      <c r="C17" s="7" t="str">
        <f>"15"</f>
        <v>15</v>
      </c>
      <c r="D17" s="7" t="str">
        <f>"20210010115"</f>
        <v>20210010115</v>
      </c>
      <c r="E17" s="7" t="s">
        <v>23</v>
      </c>
      <c r="F17" s="7">
        <v>38</v>
      </c>
      <c r="G17" s="7">
        <v>58</v>
      </c>
      <c r="H17" s="8">
        <f t="shared" si="1"/>
        <v>44</v>
      </c>
    </row>
    <row r="18" spans="1:8" s="2" customFormat="1">
      <c r="A18" s="7" t="s">
        <v>8</v>
      </c>
      <c r="B18" s="7" t="str">
        <f t="shared" si="0"/>
        <v>01</v>
      </c>
      <c r="C18" s="7" t="str">
        <f>"16"</f>
        <v>16</v>
      </c>
      <c r="D18" s="7" t="str">
        <f>"20210010116"</f>
        <v>20210010116</v>
      </c>
      <c r="E18" s="7" t="s">
        <v>24</v>
      </c>
      <c r="F18" s="7">
        <v>53</v>
      </c>
      <c r="G18" s="7">
        <v>77</v>
      </c>
      <c r="H18" s="8">
        <f t="shared" si="1"/>
        <v>60.199999999999989</v>
      </c>
    </row>
    <row r="19" spans="1:8" s="2" customFormat="1">
      <c r="A19" s="7" t="s">
        <v>8</v>
      </c>
      <c r="B19" s="7" t="str">
        <f t="shared" si="0"/>
        <v>01</v>
      </c>
      <c r="C19" s="7" t="str">
        <f>"17"</f>
        <v>17</v>
      </c>
      <c r="D19" s="7" t="str">
        <f>"20210010117"</f>
        <v>20210010117</v>
      </c>
      <c r="E19" s="7" t="s">
        <v>25</v>
      </c>
      <c r="F19" s="7">
        <v>44</v>
      </c>
      <c r="G19" s="7">
        <v>79</v>
      </c>
      <c r="H19" s="8">
        <f t="shared" si="1"/>
        <v>54.5</v>
      </c>
    </row>
    <row r="20" spans="1:8" s="2" customFormat="1">
      <c r="A20" s="7" t="s">
        <v>8</v>
      </c>
      <c r="B20" s="7" t="str">
        <f t="shared" si="0"/>
        <v>01</v>
      </c>
      <c r="C20" s="7" t="str">
        <f>"18"</f>
        <v>18</v>
      </c>
      <c r="D20" s="7" t="str">
        <f>"20210010118"</f>
        <v>20210010118</v>
      </c>
      <c r="E20" s="7" t="s">
        <v>26</v>
      </c>
      <c r="F20" s="7">
        <v>73</v>
      </c>
      <c r="G20" s="7">
        <v>70</v>
      </c>
      <c r="H20" s="8">
        <f t="shared" si="1"/>
        <v>72.099999999999994</v>
      </c>
    </row>
    <row r="21" spans="1:8" s="2" customFormat="1">
      <c r="A21" s="7" t="s">
        <v>8</v>
      </c>
      <c r="B21" s="7" t="str">
        <f t="shared" si="0"/>
        <v>01</v>
      </c>
      <c r="C21" s="7" t="str">
        <f>"19"</f>
        <v>19</v>
      </c>
      <c r="D21" s="7" t="str">
        <f>"20210010119"</f>
        <v>20210010119</v>
      </c>
      <c r="E21" s="7" t="s">
        <v>27</v>
      </c>
      <c r="F21" s="7">
        <v>0</v>
      </c>
      <c r="G21" s="7">
        <v>0</v>
      </c>
      <c r="H21" s="8">
        <f t="shared" si="1"/>
        <v>0</v>
      </c>
    </row>
    <row r="22" spans="1:8" s="2" customFormat="1">
      <c r="A22" s="7" t="s">
        <v>8</v>
      </c>
      <c r="B22" s="7" t="str">
        <f t="shared" si="0"/>
        <v>01</v>
      </c>
      <c r="C22" s="7" t="str">
        <f>"20"</f>
        <v>20</v>
      </c>
      <c r="D22" s="7" t="str">
        <f>"20210010120"</f>
        <v>20210010120</v>
      </c>
      <c r="E22" s="7" t="s">
        <v>28</v>
      </c>
      <c r="F22" s="7">
        <v>51</v>
      </c>
      <c r="G22" s="7">
        <v>77</v>
      </c>
      <c r="H22" s="8">
        <f t="shared" si="1"/>
        <v>58.8</v>
      </c>
    </row>
    <row r="23" spans="1:8" s="2" customFormat="1">
      <c r="A23" s="7" t="s">
        <v>8</v>
      </c>
      <c r="B23" s="7" t="str">
        <f t="shared" si="0"/>
        <v>01</v>
      </c>
      <c r="C23" s="7" t="str">
        <f>"21"</f>
        <v>21</v>
      </c>
      <c r="D23" s="7" t="str">
        <f>"20210010121"</f>
        <v>20210010121</v>
      </c>
      <c r="E23" s="7" t="s">
        <v>29</v>
      </c>
      <c r="F23" s="7">
        <v>52</v>
      </c>
      <c r="G23" s="7">
        <v>48</v>
      </c>
      <c r="H23" s="8">
        <f t="shared" si="1"/>
        <v>50.8</v>
      </c>
    </row>
    <row r="24" spans="1:8" s="2" customFormat="1">
      <c r="A24" s="7" t="s">
        <v>8</v>
      </c>
      <c r="B24" s="7" t="str">
        <f t="shared" si="0"/>
        <v>01</v>
      </c>
      <c r="C24" s="7" t="str">
        <f>"22"</f>
        <v>22</v>
      </c>
      <c r="D24" s="7" t="str">
        <f>"20210010122"</f>
        <v>20210010122</v>
      </c>
      <c r="E24" s="7" t="s">
        <v>30</v>
      </c>
      <c r="F24" s="7">
        <v>47</v>
      </c>
      <c r="G24" s="7">
        <v>56</v>
      </c>
      <c r="H24" s="8">
        <f t="shared" si="1"/>
        <v>49.7</v>
      </c>
    </row>
    <row r="25" spans="1:8" s="2" customFormat="1">
      <c r="A25" s="7" t="s">
        <v>8</v>
      </c>
      <c r="B25" s="7" t="str">
        <f t="shared" si="0"/>
        <v>01</v>
      </c>
      <c r="C25" s="7" t="str">
        <f>"23"</f>
        <v>23</v>
      </c>
      <c r="D25" s="7" t="str">
        <f>"20210010123"</f>
        <v>20210010123</v>
      </c>
      <c r="E25" s="7" t="s">
        <v>31</v>
      </c>
      <c r="F25" s="7">
        <v>50</v>
      </c>
      <c r="G25" s="7">
        <v>51</v>
      </c>
      <c r="H25" s="8">
        <f t="shared" si="1"/>
        <v>50.3</v>
      </c>
    </row>
    <row r="26" spans="1:8" s="2" customFormat="1">
      <c r="A26" s="7" t="s">
        <v>8</v>
      </c>
      <c r="B26" s="7" t="str">
        <f t="shared" si="0"/>
        <v>01</v>
      </c>
      <c r="C26" s="7" t="str">
        <f>"24"</f>
        <v>24</v>
      </c>
      <c r="D26" s="7" t="str">
        <f>"20210010124"</f>
        <v>20210010124</v>
      </c>
      <c r="E26" s="7" t="s">
        <v>32</v>
      </c>
      <c r="F26" s="7">
        <v>50.5</v>
      </c>
      <c r="G26" s="7">
        <v>45</v>
      </c>
      <c r="H26" s="8">
        <f t="shared" si="1"/>
        <v>48.849999999999994</v>
      </c>
    </row>
    <row r="27" spans="1:8" s="2" customFormat="1">
      <c r="A27" s="7" t="s">
        <v>8</v>
      </c>
      <c r="B27" s="7" t="str">
        <f t="shared" si="0"/>
        <v>01</v>
      </c>
      <c r="C27" s="7" t="str">
        <f>"25"</f>
        <v>25</v>
      </c>
      <c r="D27" s="7" t="str">
        <f>"20210010125"</f>
        <v>20210010125</v>
      </c>
      <c r="E27" s="7" t="s">
        <v>33</v>
      </c>
      <c r="F27" s="7">
        <v>41</v>
      </c>
      <c r="G27" s="7">
        <v>50</v>
      </c>
      <c r="H27" s="8">
        <f t="shared" si="1"/>
        <v>43.7</v>
      </c>
    </row>
    <row r="28" spans="1:8" s="2" customFormat="1">
      <c r="A28" s="7" t="s">
        <v>8</v>
      </c>
      <c r="B28" s="7" t="str">
        <f t="shared" si="0"/>
        <v>01</v>
      </c>
      <c r="C28" s="7" t="str">
        <f>"26"</f>
        <v>26</v>
      </c>
      <c r="D28" s="7" t="str">
        <f>"20210010126"</f>
        <v>20210010126</v>
      </c>
      <c r="E28" s="7" t="s">
        <v>34</v>
      </c>
      <c r="F28" s="7">
        <v>73</v>
      </c>
      <c r="G28" s="7">
        <v>64</v>
      </c>
      <c r="H28" s="8">
        <f t="shared" si="1"/>
        <v>70.3</v>
      </c>
    </row>
    <row r="29" spans="1:8" s="2" customFormat="1">
      <c r="A29" s="7" t="s">
        <v>8</v>
      </c>
      <c r="B29" s="7" t="str">
        <f t="shared" si="0"/>
        <v>01</v>
      </c>
      <c r="C29" s="7" t="str">
        <f>"27"</f>
        <v>27</v>
      </c>
      <c r="D29" s="7" t="str">
        <f>"20210010127"</f>
        <v>20210010127</v>
      </c>
      <c r="E29" s="7" t="s">
        <v>35</v>
      </c>
      <c r="F29" s="7">
        <v>74</v>
      </c>
      <c r="G29" s="7">
        <v>80</v>
      </c>
      <c r="H29" s="8">
        <f t="shared" si="1"/>
        <v>75.8</v>
      </c>
    </row>
    <row r="30" spans="1:8" s="2" customFormat="1">
      <c r="A30" s="7" t="s">
        <v>8</v>
      </c>
      <c r="B30" s="7" t="str">
        <f t="shared" si="0"/>
        <v>01</v>
      </c>
      <c r="C30" s="7" t="str">
        <f>"28"</f>
        <v>28</v>
      </c>
      <c r="D30" s="7" t="str">
        <f>"20210010128"</f>
        <v>20210010128</v>
      </c>
      <c r="E30" s="7" t="s">
        <v>36</v>
      </c>
      <c r="F30" s="7">
        <v>75</v>
      </c>
      <c r="G30" s="7">
        <v>85</v>
      </c>
      <c r="H30" s="8">
        <f t="shared" si="1"/>
        <v>78</v>
      </c>
    </row>
    <row r="31" spans="1:8" s="2" customFormat="1">
      <c r="A31" s="7" t="s">
        <v>8</v>
      </c>
      <c r="B31" s="7" t="str">
        <f t="shared" si="0"/>
        <v>01</v>
      </c>
      <c r="C31" s="7" t="str">
        <f>"29"</f>
        <v>29</v>
      </c>
      <c r="D31" s="7" t="str">
        <f>"20210010129"</f>
        <v>20210010129</v>
      </c>
      <c r="E31" s="7" t="s">
        <v>37</v>
      </c>
      <c r="F31" s="7">
        <v>59.5</v>
      </c>
      <c r="G31" s="7">
        <v>82</v>
      </c>
      <c r="H31" s="8">
        <f t="shared" si="1"/>
        <v>66.25</v>
      </c>
    </row>
    <row r="32" spans="1:8" s="2" customFormat="1">
      <c r="A32" s="7" t="s">
        <v>8</v>
      </c>
      <c r="B32" s="7" t="str">
        <f t="shared" si="0"/>
        <v>01</v>
      </c>
      <c r="C32" s="7" t="str">
        <f>"30"</f>
        <v>30</v>
      </c>
      <c r="D32" s="7" t="str">
        <f>"20210010130"</f>
        <v>20210010130</v>
      </c>
      <c r="E32" s="7" t="s">
        <v>38</v>
      </c>
      <c r="F32" s="7">
        <v>0</v>
      </c>
      <c r="G32" s="7">
        <v>0</v>
      </c>
      <c r="H32" s="8">
        <f t="shared" si="1"/>
        <v>0</v>
      </c>
    </row>
    <row r="33" spans="1:8" s="2" customFormat="1">
      <c r="A33" s="7" t="s">
        <v>8</v>
      </c>
      <c r="B33" s="7" t="str">
        <f t="shared" ref="B33:B62" si="2">"02"</f>
        <v>02</v>
      </c>
      <c r="C33" s="7" t="str">
        <f>"01"</f>
        <v>01</v>
      </c>
      <c r="D33" s="7" t="str">
        <f>"20210010201"</f>
        <v>20210010201</v>
      </c>
      <c r="E33" s="7" t="s">
        <v>39</v>
      </c>
      <c r="F33" s="7">
        <v>71.5</v>
      </c>
      <c r="G33" s="7">
        <v>67</v>
      </c>
      <c r="H33" s="8">
        <f t="shared" si="1"/>
        <v>70.149999999999991</v>
      </c>
    </row>
    <row r="34" spans="1:8" s="2" customFormat="1">
      <c r="A34" s="7" t="s">
        <v>8</v>
      </c>
      <c r="B34" s="7" t="str">
        <f t="shared" si="2"/>
        <v>02</v>
      </c>
      <c r="C34" s="7" t="str">
        <f>"02"</f>
        <v>02</v>
      </c>
      <c r="D34" s="7" t="str">
        <f>"20210010202"</f>
        <v>20210010202</v>
      </c>
      <c r="E34" s="7" t="s">
        <v>40</v>
      </c>
      <c r="F34" s="7">
        <v>47</v>
      </c>
      <c r="G34" s="7">
        <v>58</v>
      </c>
      <c r="H34" s="8">
        <f t="shared" si="1"/>
        <v>50.3</v>
      </c>
    </row>
    <row r="35" spans="1:8" s="2" customFormat="1">
      <c r="A35" s="7" t="s">
        <v>8</v>
      </c>
      <c r="B35" s="7" t="str">
        <f t="shared" si="2"/>
        <v>02</v>
      </c>
      <c r="C35" s="7" t="str">
        <f>"03"</f>
        <v>03</v>
      </c>
      <c r="D35" s="7" t="str">
        <f>"20210010203"</f>
        <v>20210010203</v>
      </c>
      <c r="E35" s="7" t="s">
        <v>41</v>
      </c>
      <c r="F35" s="7">
        <v>40</v>
      </c>
      <c r="G35" s="7">
        <v>60</v>
      </c>
      <c r="H35" s="8">
        <f t="shared" si="1"/>
        <v>46</v>
      </c>
    </row>
    <row r="36" spans="1:8" s="2" customFormat="1">
      <c r="A36" s="7">
        <v>2021001</v>
      </c>
      <c r="B36" s="7" t="str">
        <f t="shared" si="2"/>
        <v>02</v>
      </c>
      <c r="C36" s="7" t="str">
        <f>"04"</f>
        <v>04</v>
      </c>
      <c r="D36" s="7" t="str">
        <f>"20210010204"</f>
        <v>20210010204</v>
      </c>
      <c r="E36" s="7" t="s">
        <v>42</v>
      </c>
      <c r="F36" s="7">
        <v>0</v>
      </c>
      <c r="G36" s="7">
        <v>0</v>
      </c>
      <c r="H36" s="8">
        <f t="shared" si="1"/>
        <v>0</v>
      </c>
    </row>
    <row r="37" spans="1:8" s="2" customFormat="1">
      <c r="A37" s="7" t="s">
        <v>8</v>
      </c>
      <c r="B37" s="7" t="str">
        <f t="shared" si="2"/>
        <v>02</v>
      </c>
      <c r="C37" s="7" t="str">
        <f>"05"</f>
        <v>05</v>
      </c>
      <c r="D37" s="7" t="str">
        <f>"20210010205"</f>
        <v>20210010205</v>
      </c>
      <c r="E37" s="7" t="s">
        <v>43</v>
      </c>
      <c r="F37" s="7">
        <v>32</v>
      </c>
      <c r="G37" s="7">
        <v>69</v>
      </c>
      <c r="H37" s="8">
        <f t="shared" si="1"/>
        <v>43.099999999999994</v>
      </c>
    </row>
    <row r="38" spans="1:8" s="2" customFormat="1">
      <c r="A38" s="7" t="s">
        <v>8</v>
      </c>
      <c r="B38" s="7" t="str">
        <f t="shared" si="2"/>
        <v>02</v>
      </c>
      <c r="C38" s="7" t="str">
        <f>"06"</f>
        <v>06</v>
      </c>
      <c r="D38" s="7" t="str">
        <f>"20210010206"</f>
        <v>20210010206</v>
      </c>
      <c r="E38" s="7" t="s">
        <v>44</v>
      </c>
      <c r="F38" s="7">
        <v>57.5</v>
      </c>
      <c r="G38" s="7">
        <v>74</v>
      </c>
      <c r="H38" s="8">
        <f t="shared" si="1"/>
        <v>62.45</v>
      </c>
    </row>
    <row r="39" spans="1:8" s="2" customFormat="1">
      <c r="A39" s="7" t="s">
        <v>8</v>
      </c>
      <c r="B39" s="7" t="str">
        <f t="shared" si="2"/>
        <v>02</v>
      </c>
      <c r="C39" s="7" t="str">
        <f>"07"</f>
        <v>07</v>
      </c>
      <c r="D39" s="7" t="str">
        <f>"20210010207"</f>
        <v>20210010207</v>
      </c>
      <c r="E39" s="7" t="s">
        <v>45</v>
      </c>
      <c r="F39" s="7">
        <v>0</v>
      </c>
      <c r="G39" s="7">
        <v>0</v>
      </c>
      <c r="H39" s="8">
        <f t="shared" si="1"/>
        <v>0</v>
      </c>
    </row>
    <row r="40" spans="1:8" s="2" customFormat="1">
      <c r="A40" s="7" t="s">
        <v>8</v>
      </c>
      <c r="B40" s="7" t="str">
        <f t="shared" si="2"/>
        <v>02</v>
      </c>
      <c r="C40" s="7" t="str">
        <f>"08"</f>
        <v>08</v>
      </c>
      <c r="D40" s="7" t="str">
        <f>"20210010208"</f>
        <v>20210010208</v>
      </c>
      <c r="E40" s="7" t="s">
        <v>46</v>
      </c>
      <c r="F40" s="7">
        <v>41</v>
      </c>
      <c r="G40" s="7">
        <v>48</v>
      </c>
      <c r="H40" s="8">
        <f t="shared" si="1"/>
        <v>43.099999999999994</v>
      </c>
    </row>
    <row r="41" spans="1:8" s="2" customFormat="1">
      <c r="A41" s="7" t="s">
        <v>8</v>
      </c>
      <c r="B41" s="7" t="str">
        <f t="shared" si="2"/>
        <v>02</v>
      </c>
      <c r="C41" s="7" t="str">
        <f>"09"</f>
        <v>09</v>
      </c>
      <c r="D41" s="7" t="str">
        <f>"20210010209"</f>
        <v>20210010209</v>
      </c>
      <c r="E41" s="7" t="s">
        <v>47</v>
      </c>
      <c r="F41" s="7">
        <v>53</v>
      </c>
      <c r="G41" s="7">
        <v>66</v>
      </c>
      <c r="H41" s="8">
        <f t="shared" si="1"/>
        <v>56.899999999999991</v>
      </c>
    </row>
    <row r="42" spans="1:8" s="2" customFormat="1">
      <c r="A42" s="7" t="s">
        <v>8</v>
      </c>
      <c r="B42" s="7" t="str">
        <f t="shared" si="2"/>
        <v>02</v>
      </c>
      <c r="C42" s="7" t="str">
        <f>"10"</f>
        <v>10</v>
      </c>
      <c r="D42" s="7" t="str">
        <f>"20210010210"</f>
        <v>20210010210</v>
      </c>
      <c r="E42" s="7" t="s">
        <v>48</v>
      </c>
      <c r="F42" s="7">
        <v>60.5</v>
      </c>
      <c r="G42" s="7">
        <v>74</v>
      </c>
      <c r="H42" s="8">
        <f t="shared" si="1"/>
        <v>64.55</v>
      </c>
    </row>
    <row r="43" spans="1:8" s="2" customFormat="1">
      <c r="A43" s="7" t="s">
        <v>8</v>
      </c>
      <c r="B43" s="7" t="str">
        <f t="shared" si="2"/>
        <v>02</v>
      </c>
      <c r="C43" s="7" t="str">
        <f>"11"</f>
        <v>11</v>
      </c>
      <c r="D43" s="7" t="str">
        <f>"20210010211"</f>
        <v>20210010211</v>
      </c>
      <c r="E43" s="7" t="s">
        <v>49</v>
      </c>
      <c r="F43" s="7">
        <v>71</v>
      </c>
      <c r="G43" s="7">
        <v>73</v>
      </c>
      <c r="H43" s="8">
        <f t="shared" si="1"/>
        <v>71.599999999999994</v>
      </c>
    </row>
    <row r="44" spans="1:8" s="2" customFormat="1">
      <c r="A44" s="7" t="s">
        <v>8</v>
      </c>
      <c r="B44" s="7" t="str">
        <f t="shared" si="2"/>
        <v>02</v>
      </c>
      <c r="C44" s="7" t="str">
        <f>"12"</f>
        <v>12</v>
      </c>
      <c r="D44" s="7" t="str">
        <f>"20210010212"</f>
        <v>20210010212</v>
      </c>
      <c r="E44" s="7" t="s">
        <v>50</v>
      </c>
      <c r="F44" s="7">
        <v>45.5</v>
      </c>
      <c r="G44" s="7">
        <v>45</v>
      </c>
      <c r="H44" s="8">
        <f t="shared" si="1"/>
        <v>45.349999999999994</v>
      </c>
    </row>
    <row r="45" spans="1:8" s="2" customFormat="1">
      <c r="A45" s="7" t="s">
        <v>8</v>
      </c>
      <c r="B45" s="7" t="str">
        <f t="shared" si="2"/>
        <v>02</v>
      </c>
      <c r="C45" s="7" t="str">
        <f>"13"</f>
        <v>13</v>
      </c>
      <c r="D45" s="7" t="str">
        <f>"20210010213"</f>
        <v>20210010213</v>
      </c>
      <c r="E45" s="7" t="s">
        <v>51</v>
      </c>
      <c r="F45" s="7">
        <v>39</v>
      </c>
      <c r="G45" s="7">
        <v>28</v>
      </c>
      <c r="H45" s="8">
        <f t="shared" si="1"/>
        <v>35.699999999999996</v>
      </c>
    </row>
    <row r="46" spans="1:8" s="2" customFormat="1">
      <c r="A46" s="7" t="s">
        <v>8</v>
      </c>
      <c r="B46" s="7" t="str">
        <f t="shared" si="2"/>
        <v>02</v>
      </c>
      <c r="C46" s="7" t="str">
        <f>"14"</f>
        <v>14</v>
      </c>
      <c r="D46" s="7" t="str">
        <f>"20210010214"</f>
        <v>20210010214</v>
      </c>
      <c r="E46" s="7" t="s">
        <v>52</v>
      </c>
      <c r="F46" s="7">
        <v>18</v>
      </c>
      <c r="G46" s="7">
        <v>36</v>
      </c>
      <c r="H46" s="8">
        <f t="shared" si="1"/>
        <v>23.4</v>
      </c>
    </row>
    <row r="47" spans="1:8" s="2" customFormat="1">
      <c r="A47" s="7" t="s">
        <v>8</v>
      </c>
      <c r="B47" s="7" t="str">
        <f t="shared" si="2"/>
        <v>02</v>
      </c>
      <c r="C47" s="7" t="str">
        <f>"15"</f>
        <v>15</v>
      </c>
      <c r="D47" s="7" t="str">
        <f>"20210010215"</f>
        <v>20210010215</v>
      </c>
      <c r="E47" s="7" t="s">
        <v>53</v>
      </c>
      <c r="F47" s="7">
        <v>70</v>
      </c>
      <c r="G47" s="7">
        <v>83</v>
      </c>
      <c r="H47" s="8">
        <f t="shared" si="1"/>
        <v>73.900000000000006</v>
      </c>
    </row>
    <row r="48" spans="1:8" s="2" customFormat="1">
      <c r="A48" s="7" t="s">
        <v>8</v>
      </c>
      <c r="B48" s="7" t="str">
        <f t="shared" si="2"/>
        <v>02</v>
      </c>
      <c r="C48" s="7" t="str">
        <f>"16"</f>
        <v>16</v>
      </c>
      <c r="D48" s="7" t="str">
        <f>"20210010216"</f>
        <v>20210010216</v>
      </c>
      <c r="E48" s="7" t="s">
        <v>54</v>
      </c>
      <c r="F48" s="7">
        <v>59</v>
      </c>
      <c r="G48" s="7">
        <v>84</v>
      </c>
      <c r="H48" s="8">
        <f t="shared" si="1"/>
        <v>66.5</v>
      </c>
    </row>
    <row r="49" spans="1:8" s="2" customFormat="1">
      <c r="A49" s="7" t="s">
        <v>8</v>
      </c>
      <c r="B49" s="7" t="str">
        <f t="shared" si="2"/>
        <v>02</v>
      </c>
      <c r="C49" s="7" t="str">
        <f>"17"</f>
        <v>17</v>
      </c>
      <c r="D49" s="7" t="str">
        <f>"20210010217"</f>
        <v>20210010217</v>
      </c>
      <c r="E49" s="7" t="s">
        <v>55</v>
      </c>
      <c r="F49" s="7">
        <v>33</v>
      </c>
      <c r="G49" s="7">
        <v>37</v>
      </c>
      <c r="H49" s="8">
        <f t="shared" si="1"/>
        <v>34.199999999999996</v>
      </c>
    </row>
    <row r="50" spans="1:8" s="2" customFormat="1">
      <c r="A50" s="7" t="s">
        <v>8</v>
      </c>
      <c r="B50" s="7" t="str">
        <f t="shared" si="2"/>
        <v>02</v>
      </c>
      <c r="C50" s="7" t="str">
        <f>"18"</f>
        <v>18</v>
      </c>
      <c r="D50" s="7" t="str">
        <f>"20210010218"</f>
        <v>20210010218</v>
      </c>
      <c r="E50" s="7" t="s">
        <v>56</v>
      </c>
      <c r="F50" s="7">
        <v>52</v>
      </c>
      <c r="G50" s="7">
        <v>73</v>
      </c>
      <c r="H50" s="8">
        <f t="shared" si="1"/>
        <v>58.3</v>
      </c>
    </row>
    <row r="51" spans="1:8" s="2" customFormat="1">
      <c r="A51" s="7" t="s">
        <v>8</v>
      </c>
      <c r="B51" s="7" t="str">
        <f t="shared" si="2"/>
        <v>02</v>
      </c>
      <c r="C51" s="7" t="str">
        <f>"19"</f>
        <v>19</v>
      </c>
      <c r="D51" s="7" t="str">
        <f>"20210010219"</f>
        <v>20210010219</v>
      </c>
      <c r="E51" s="7" t="s">
        <v>57</v>
      </c>
      <c r="F51" s="7">
        <v>63.5</v>
      </c>
      <c r="G51" s="7">
        <v>62</v>
      </c>
      <c r="H51" s="8">
        <f t="shared" si="1"/>
        <v>63.05</v>
      </c>
    </row>
    <row r="52" spans="1:8" s="2" customFormat="1">
      <c r="A52" s="7" t="s">
        <v>8</v>
      </c>
      <c r="B52" s="7" t="str">
        <f t="shared" si="2"/>
        <v>02</v>
      </c>
      <c r="C52" s="7" t="str">
        <f>"20"</f>
        <v>20</v>
      </c>
      <c r="D52" s="7" t="str">
        <f>"20210010220"</f>
        <v>20210010220</v>
      </c>
      <c r="E52" s="7" t="s">
        <v>58</v>
      </c>
      <c r="F52" s="7">
        <v>0</v>
      </c>
      <c r="G52" s="7">
        <v>0</v>
      </c>
      <c r="H52" s="8">
        <f t="shared" si="1"/>
        <v>0</v>
      </c>
    </row>
    <row r="53" spans="1:8" s="2" customFormat="1">
      <c r="A53" s="7" t="s">
        <v>8</v>
      </c>
      <c r="B53" s="7" t="str">
        <f t="shared" si="2"/>
        <v>02</v>
      </c>
      <c r="C53" s="7" t="str">
        <f>"21"</f>
        <v>21</v>
      </c>
      <c r="D53" s="7" t="str">
        <f>"20210010221"</f>
        <v>20210010221</v>
      </c>
      <c r="E53" s="7" t="s">
        <v>59</v>
      </c>
      <c r="F53" s="7">
        <v>37</v>
      </c>
      <c r="G53" s="7">
        <v>59</v>
      </c>
      <c r="H53" s="8">
        <f t="shared" si="1"/>
        <v>43.599999999999994</v>
      </c>
    </row>
    <row r="54" spans="1:8" s="2" customFormat="1">
      <c r="A54" s="7" t="s">
        <v>8</v>
      </c>
      <c r="B54" s="7" t="str">
        <f t="shared" si="2"/>
        <v>02</v>
      </c>
      <c r="C54" s="7" t="str">
        <f>"22"</f>
        <v>22</v>
      </c>
      <c r="D54" s="7" t="str">
        <f>"20210010222"</f>
        <v>20210010222</v>
      </c>
      <c r="E54" s="7" t="s">
        <v>60</v>
      </c>
      <c r="F54" s="7">
        <v>63</v>
      </c>
      <c r="G54" s="7">
        <v>60</v>
      </c>
      <c r="H54" s="8">
        <f t="shared" si="1"/>
        <v>62.099999999999994</v>
      </c>
    </row>
    <row r="55" spans="1:8" s="2" customFormat="1">
      <c r="A55" s="7" t="s">
        <v>8</v>
      </c>
      <c r="B55" s="7" t="str">
        <f t="shared" si="2"/>
        <v>02</v>
      </c>
      <c r="C55" s="7" t="str">
        <f>"23"</f>
        <v>23</v>
      </c>
      <c r="D55" s="7" t="str">
        <f>"20210010223"</f>
        <v>20210010223</v>
      </c>
      <c r="E55" s="7" t="s">
        <v>61</v>
      </c>
      <c r="F55" s="7">
        <v>56</v>
      </c>
      <c r="G55" s="7">
        <v>79</v>
      </c>
      <c r="H55" s="8">
        <f t="shared" si="1"/>
        <v>62.899999999999991</v>
      </c>
    </row>
    <row r="56" spans="1:8" s="2" customFormat="1">
      <c r="A56" s="7" t="s">
        <v>8</v>
      </c>
      <c r="B56" s="7" t="str">
        <f t="shared" si="2"/>
        <v>02</v>
      </c>
      <c r="C56" s="7" t="str">
        <f>"24"</f>
        <v>24</v>
      </c>
      <c r="D56" s="7" t="str">
        <f>"20210010224"</f>
        <v>20210010224</v>
      </c>
      <c r="E56" s="7" t="s">
        <v>62</v>
      </c>
      <c r="F56" s="7">
        <v>58</v>
      </c>
      <c r="G56" s="7">
        <v>74</v>
      </c>
      <c r="H56" s="8">
        <f t="shared" si="1"/>
        <v>62.8</v>
      </c>
    </row>
    <row r="57" spans="1:8" s="2" customFormat="1">
      <c r="A57" s="7" t="s">
        <v>8</v>
      </c>
      <c r="B57" s="7" t="str">
        <f t="shared" si="2"/>
        <v>02</v>
      </c>
      <c r="C57" s="7" t="str">
        <f>"25"</f>
        <v>25</v>
      </c>
      <c r="D57" s="7" t="str">
        <f>"20210010225"</f>
        <v>20210010225</v>
      </c>
      <c r="E57" s="7" t="s">
        <v>63</v>
      </c>
      <c r="F57" s="7">
        <v>51.5</v>
      </c>
      <c r="G57" s="7">
        <v>60</v>
      </c>
      <c r="H57" s="8">
        <f t="shared" si="1"/>
        <v>54.05</v>
      </c>
    </row>
    <row r="58" spans="1:8" s="2" customFormat="1">
      <c r="A58" s="7" t="s">
        <v>8</v>
      </c>
      <c r="B58" s="7" t="str">
        <f t="shared" si="2"/>
        <v>02</v>
      </c>
      <c r="C58" s="7" t="str">
        <f>"26"</f>
        <v>26</v>
      </c>
      <c r="D58" s="7" t="str">
        <f>"20210010226"</f>
        <v>20210010226</v>
      </c>
      <c r="E58" s="7" t="s">
        <v>64</v>
      </c>
      <c r="F58" s="7">
        <v>53</v>
      </c>
      <c r="G58" s="7">
        <v>83</v>
      </c>
      <c r="H58" s="8">
        <f t="shared" si="1"/>
        <v>61.999999999999993</v>
      </c>
    </row>
    <row r="59" spans="1:8" s="2" customFormat="1">
      <c r="A59" s="7" t="s">
        <v>8</v>
      </c>
      <c r="B59" s="7" t="str">
        <f t="shared" si="2"/>
        <v>02</v>
      </c>
      <c r="C59" s="7" t="str">
        <f>"27"</f>
        <v>27</v>
      </c>
      <c r="D59" s="7" t="str">
        <f>"20210010227"</f>
        <v>20210010227</v>
      </c>
      <c r="E59" s="7" t="s">
        <v>65</v>
      </c>
      <c r="F59" s="7">
        <v>27</v>
      </c>
      <c r="G59" s="7">
        <v>26</v>
      </c>
      <c r="H59" s="8">
        <f t="shared" si="1"/>
        <v>26.7</v>
      </c>
    </row>
    <row r="60" spans="1:8" s="2" customFormat="1">
      <c r="A60" s="7" t="s">
        <v>8</v>
      </c>
      <c r="B60" s="7" t="str">
        <f t="shared" si="2"/>
        <v>02</v>
      </c>
      <c r="C60" s="7" t="str">
        <f>"28"</f>
        <v>28</v>
      </c>
      <c r="D60" s="7" t="str">
        <f>"20210010228"</f>
        <v>20210010228</v>
      </c>
      <c r="E60" s="7" t="s">
        <v>66</v>
      </c>
      <c r="F60" s="7">
        <v>58</v>
      </c>
      <c r="G60" s="7">
        <v>71</v>
      </c>
      <c r="H60" s="8">
        <f t="shared" si="1"/>
        <v>61.899999999999991</v>
      </c>
    </row>
    <row r="61" spans="1:8" s="2" customFormat="1">
      <c r="A61" s="7" t="s">
        <v>8</v>
      </c>
      <c r="B61" s="7" t="str">
        <f t="shared" si="2"/>
        <v>02</v>
      </c>
      <c r="C61" s="7" t="str">
        <f>"29"</f>
        <v>29</v>
      </c>
      <c r="D61" s="7" t="str">
        <f>"20210010229"</f>
        <v>20210010229</v>
      </c>
      <c r="E61" s="7" t="s">
        <v>67</v>
      </c>
      <c r="F61" s="7">
        <v>54.5</v>
      </c>
      <c r="G61" s="7">
        <v>60</v>
      </c>
      <c r="H61" s="8">
        <f t="shared" si="1"/>
        <v>56.15</v>
      </c>
    </row>
    <row r="62" spans="1:8" s="2" customFormat="1">
      <c r="A62" s="7" t="s">
        <v>8</v>
      </c>
      <c r="B62" s="7" t="str">
        <f t="shared" si="2"/>
        <v>02</v>
      </c>
      <c r="C62" s="7" t="str">
        <f>"30"</f>
        <v>30</v>
      </c>
      <c r="D62" s="7" t="str">
        <f>"20210010230"</f>
        <v>20210010230</v>
      </c>
      <c r="E62" s="7" t="s">
        <v>68</v>
      </c>
      <c r="F62" s="7">
        <v>40</v>
      </c>
      <c r="G62" s="7">
        <v>38</v>
      </c>
      <c r="H62" s="8">
        <f t="shared" si="1"/>
        <v>39.4</v>
      </c>
    </row>
    <row r="63" spans="1:8" s="2" customFormat="1">
      <c r="A63" s="7" t="s">
        <v>8</v>
      </c>
      <c r="B63" s="7" t="str">
        <f t="shared" ref="B63:B92" si="3">"03"</f>
        <v>03</v>
      </c>
      <c r="C63" s="7" t="str">
        <f>"01"</f>
        <v>01</v>
      </c>
      <c r="D63" s="7" t="str">
        <f>"20210010301"</f>
        <v>20210010301</v>
      </c>
      <c r="E63" s="7" t="s">
        <v>69</v>
      </c>
      <c r="F63" s="7">
        <v>49</v>
      </c>
      <c r="G63" s="7">
        <v>56</v>
      </c>
      <c r="H63" s="8">
        <f t="shared" si="1"/>
        <v>51.099999999999994</v>
      </c>
    </row>
    <row r="64" spans="1:8" s="2" customFormat="1">
      <c r="A64" s="7" t="s">
        <v>8</v>
      </c>
      <c r="B64" s="7" t="str">
        <f t="shared" si="3"/>
        <v>03</v>
      </c>
      <c r="C64" s="7" t="str">
        <f>"02"</f>
        <v>02</v>
      </c>
      <c r="D64" s="7" t="str">
        <f>"20210010302"</f>
        <v>20210010302</v>
      </c>
      <c r="E64" s="7" t="s">
        <v>70</v>
      </c>
      <c r="F64" s="7">
        <v>65</v>
      </c>
      <c r="G64" s="7">
        <v>54</v>
      </c>
      <c r="H64" s="8">
        <f t="shared" si="1"/>
        <v>61.7</v>
      </c>
    </row>
    <row r="65" spans="1:8" s="2" customFormat="1">
      <c r="A65" s="7" t="s">
        <v>8</v>
      </c>
      <c r="B65" s="7" t="str">
        <f t="shared" si="3"/>
        <v>03</v>
      </c>
      <c r="C65" s="7" t="str">
        <f>"03"</f>
        <v>03</v>
      </c>
      <c r="D65" s="7" t="str">
        <f>"20210010303"</f>
        <v>20210010303</v>
      </c>
      <c r="E65" s="7" t="s">
        <v>71</v>
      </c>
      <c r="F65" s="7">
        <v>47</v>
      </c>
      <c r="G65" s="7">
        <v>69</v>
      </c>
      <c r="H65" s="8">
        <f t="shared" si="1"/>
        <v>53.599999999999994</v>
      </c>
    </row>
    <row r="66" spans="1:8" s="2" customFormat="1">
      <c r="A66" s="7" t="s">
        <v>8</v>
      </c>
      <c r="B66" s="7" t="str">
        <f t="shared" si="3"/>
        <v>03</v>
      </c>
      <c r="C66" s="7" t="str">
        <f>"04"</f>
        <v>04</v>
      </c>
      <c r="D66" s="7" t="str">
        <f>"20210010304"</f>
        <v>20210010304</v>
      </c>
      <c r="E66" s="7" t="s">
        <v>72</v>
      </c>
      <c r="F66" s="7">
        <v>40</v>
      </c>
      <c r="G66" s="7">
        <v>44</v>
      </c>
      <c r="H66" s="8">
        <f t="shared" si="1"/>
        <v>41.2</v>
      </c>
    </row>
    <row r="67" spans="1:8" s="2" customFormat="1">
      <c r="A67" s="7" t="s">
        <v>8</v>
      </c>
      <c r="B67" s="7" t="str">
        <f t="shared" si="3"/>
        <v>03</v>
      </c>
      <c r="C67" s="7" t="str">
        <f>"05"</f>
        <v>05</v>
      </c>
      <c r="D67" s="7" t="str">
        <f>"20210010305"</f>
        <v>20210010305</v>
      </c>
      <c r="E67" s="7" t="s">
        <v>73</v>
      </c>
      <c r="F67" s="7">
        <v>54</v>
      </c>
      <c r="G67" s="7">
        <v>47</v>
      </c>
      <c r="H67" s="8">
        <f t="shared" ref="H67:H130" si="4">F67*0.7+G67*0.3</f>
        <v>51.9</v>
      </c>
    </row>
    <row r="68" spans="1:8" s="2" customFormat="1">
      <c r="A68" s="7" t="s">
        <v>74</v>
      </c>
      <c r="B68" s="7" t="str">
        <f t="shared" si="3"/>
        <v>03</v>
      </c>
      <c r="C68" s="7" t="str">
        <f>"06"</f>
        <v>06</v>
      </c>
      <c r="D68" s="7" t="str">
        <f>"20210020306"</f>
        <v>20210020306</v>
      </c>
      <c r="E68" s="7" t="s">
        <v>75</v>
      </c>
      <c r="F68" s="7">
        <v>0</v>
      </c>
      <c r="G68" s="7">
        <v>0</v>
      </c>
      <c r="H68" s="8">
        <f t="shared" si="4"/>
        <v>0</v>
      </c>
    </row>
    <row r="69" spans="1:8" s="2" customFormat="1">
      <c r="A69" s="7" t="s">
        <v>74</v>
      </c>
      <c r="B69" s="7" t="str">
        <f t="shared" si="3"/>
        <v>03</v>
      </c>
      <c r="C69" s="7" t="str">
        <f>"07"</f>
        <v>07</v>
      </c>
      <c r="D69" s="7" t="str">
        <f>"20210020307"</f>
        <v>20210020307</v>
      </c>
      <c r="E69" s="7" t="s">
        <v>76</v>
      </c>
      <c r="F69" s="7">
        <v>43</v>
      </c>
      <c r="G69" s="7">
        <v>67</v>
      </c>
      <c r="H69" s="8">
        <f t="shared" si="4"/>
        <v>50.199999999999996</v>
      </c>
    </row>
    <row r="70" spans="1:8" s="2" customFormat="1">
      <c r="A70" s="7" t="s">
        <v>74</v>
      </c>
      <c r="B70" s="7" t="str">
        <f t="shared" si="3"/>
        <v>03</v>
      </c>
      <c r="C70" s="7" t="str">
        <f>"08"</f>
        <v>08</v>
      </c>
      <c r="D70" s="7" t="str">
        <f>"20210020308"</f>
        <v>20210020308</v>
      </c>
      <c r="E70" s="7" t="s">
        <v>77</v>
      </c>
      <c r="F70" s="7">
        <v>60</v>
      </c>
      <c r="G70" s="7">
        <v>76</v>
      </c>
      <c r="H70" s="8">
        <f t="shared" si="4"/>
        <v>64.8</v>
      </c>
    </row>
    <row r="71" spans="1:8" s="2" customFormat="1">
      <c r="A71" s="7" t="s">
        <v>74</v>
      </c>
      <c r="B71" s="7" t="str">
        <f t="shared" si="3"/>
        <v>03</v>
      </c>
      <c r="C71" s="7" t="str">
        <f>"09"</f>
        <v>09</v>
      </c>
      <c r="D71" s="7" t="str">
        <f>"20210020309"</f>
        <v>20210020309</v>
      </c>
      <c r="E71" s="7" t="s">
        <v>78</v>
      </c>
      <c r="F71" s="7">
        <v>67</v>
      </c>
      <c r="G71" s="7">
        <v>75</v>
      </c>
      <c r="H71" s="8">
        <f t="shared" si="4"/>
        <v>69.400000000000006</v>
      </c>
    </row>
    <row r="72" spans="1:8" s="2" customFormat="1">
      <c r="A72" s="7" t="s">
        <v>74</v>
      </c>
      <c r="B72" s="7" t="str">
        <f t="shared" si="3"/>
        <v>03</v>
      </c>
      <c r="C72" s="7" t="str">
        <f>"10"</f>
        <v>10</v>
      </c>
      <c r="D72" s="7" t="str">
        <f>"20210020310"</f>
        <v>20210020310</v>
      </c>
      <c r="E72" s="7" t="s">
        <v>79</v>
      </c>
      <c r="F72" s="7">
        <v>63</v>
      </c>
      <c r="G72" s="7">
        <v>78</v>
      </c>
      <c r="H72" s="8">
        <f t="shared" si="4"/>
        <v>67.5</v>
      </c>
    </row>
    <row r="73" spans="1:8" s="2" customFormat="1">
      <c r="A73" s="7" t="s">
        <v>74</v>
      </c>
      <c r="B73" s="7" t="str">
        <f t="shared" si="3"/>
        <v>03</v>
      </c>
      <c r="C73" s="7" t="str">
        <f>"11"</f>
        <v>11</v>
      </c>
      <c r="D73" s="7" t="str">
        <f>"20210020311"</f>
        <v>20210020311</v>
      </c>
      <c r="E73" s="7" t="s">
        <v>80</v>
      </c>
      <c r="F73" s="7">
        <v>65</v>
      </c>
      <c r="G73" s="7">
        <v>62</v>
      </c>
      <c r="H73" s="8">
        <f t="shared" si="4"/>
        <v>64.099999999999994</v>
      </c>
    </row>
    <row r="74" spans="1:8" s="2" customFormat="1">
      <c r="A74" s="7" t="s">
        <v>74</v>
      </c>
      <c r="B74" s="7" t="str">
        <f t="shared" si="3"/>
        <v>03</v>
      </c>
      <c r="C74" s="7" t="str">
        <f>"12"</f>
        <v>12</v>
      </c>
      <c r="D74" s="7" t="str">
        <f>"20210020312"</f>
        <v>20210020312</v>
      </c>
      <c r="E74" s="7" t="s">
        <v>81</v>
      </c>
      <c r="F74" s="7">
        <v>64</v>
      </c>
      <c r="G74" s="7">
        <v>92</v>
      </c>
      <c r="H74" s="8">
        <f t="shared" si="4"/>
        <v>72.399999999999991</v>
      </c>
    </row>
    <row r="75" spans="1:8" s="2" customFormat="1">
      <c r="A75" s="7" t="s">
        <v>74</v>
      </c>
      <c r="B75" s="7" t="str">
        <f t="shared" si="3"/>
        <v>03</v>
      </c>
      <c r="C75" s="7" t="str">
        <f>"13"</f>
        <v>13</v>
      </c>
      <c r="D75" s="7" t="str">
        <f>"20210020313"</f>
        <v>20210020313</v>
      </c>
      <c r="E75" s="7" t="s">
        <v>82</v>
      </c>
      <c r="F75" s="7">
        <v>64</v>
      </c>
      <c r="G75" s="7">
        <v>71</v>
      </c>
      <c r="H75" s="8">
        <f t="shared" si="4"/>
        <v>66.099999999999994</v>
      </c>
    </row>
    <row r="76" spans="1:8" s="2" customFormat="1">
      <c r="A76" s="7" t="s">
        <v>74</v>
      </c>
      <c r="B76" s="7" t="str">
        <f t="shared" si="3"/>
        <v>03</v>
      </c>
      <c r="C76" s="7" t="str">
        <f>"14"</f>
        <v>14</v>
      </c>
      <c r="D76" s="7" t="str">
        <f>"20210020314"</f>
        <v>20210020314</v>
      </c>
      <c r="E76" s="7" t="s">
        <v>83</v>
      </c>
      <c r="F76" s="7">
        <v>0</v>
      </c>
      <c r="G76" s="7">
        <v>0</v>
      </c>
      <c r="H76" s="8">
        <f t="shared" si="4"/>
        <v>0</v>
      </c>
    </row>
    <row r="77" spans="1:8" s="2" customFormat="1">
      <c r="A77" s="7" t="s">
        <v>74</v>
      </c>
      <c r="B77" s="7" t="str">
        <f t="shared" si="3"/>
        <v>03</v>
      </c>
      <c r="C77" s="7" t="str">
        <f>"15"</f>
        <v>15</v>
      </c>
      <c r="D77" s="7" t="str">
        <f>"20210020315"</f>
        <v>20210020315</v>
      </c>
      <c r="E77" s="7" t="s">
        <v>84</v>
      </c>
      <c r="F77" s="7">
        <v>47</v>
      </c>
      <c r="G77" s="7">
        <v>70</v>
      </c>
      <c r="H77" s="8">
        <f t="shared" si="4"/>
        <v>53.9</v>
      </c>
    </row>
    <row r="78" spans="1:8" s="2" customFormat="1">
      <c r="A78" s="7" t="s">
        <v>74</v>
      </c>
      <c r="B78" s="7" t="str">
        <f t="shared" si="3"/>
        <v>03</v>
      </c>
      <c r="C78" s="7" t="str">
        <f>"16"</f>
        <v>16</v>
      </c>
      <c r="D78" s="7" t="str">
        <f>"20210020316"</f>
        <v>20210020316</v>
      </c>
      <c r="E78" s="7" t="s">
        <v>85</v>
      </c>
      <c r="F78" s="7">
        <v>63.5</v>
      </c>
      <c r="G78" s="7">
        <v>73</v>
      </c>
      <c r="H78" s="8">
        <f t="shared" si="4"/>
        <v>66.349999999999994</v>
      </c>
    </row>
    <row r="79" spans="1:8" s="2" customFormat="1">
      <c r="A79" s="7" t="s">
        <v>74</v>
      </c>
      <c r="B79" s="7" t="str">
        <f t="shared" si="3"/>
        <v>03</v>
      </c>
      <c r="C79" s="7" t="str">
        <f>"17"</f>
        <v>17</v>
      </c>
      <c r="D79" s="7" t="str">
        <f>"20210020317"</f>
        <v>20210020317</v>
      </c>
      <c r="E79" s="7" t="s">
        <v>86</v>
      </c>
      <c r="F79" s="7">
        <v>29</v>
      </c>
      <c r="G79" s="7">
        <v>26</v>
      </c>
      <c r="H79" s="8">
        <f t="shared" si="4"/>
        <v>28.099999999999998</v>
      </c>
    </row>
    <row r="80" spans="1:8" s="2" customFormat="1">
      <c r="A80" s="7" t="s">
        <v>74</v>
      </c>
      <c r="B80" s="7" t="str">
        <f t="shared" si="3"/>
        <v>03</v>
      </c>
      <c r="C80" s="7" t="str">
        <f>"18"</f>
        <v>18</v>
      </c>
      <c r="D80" s="7" t="str">
        <f>"20210020318"</f>
        <v>20210020318</v>
      </c>
      <c r="E80" s="7" t="s">
        <v>87</v>
      </c>
      <c r="F80" s="7">
        <v>0</v>
      </c>
      <c r="G80" s="7">
        <v>0</v>
      </c>
      <c r="H80" s="8">
        <f t="shared" si="4"/>
        <v>0</v>
      </c>
    </row>
    <row r="81" spans="1:8" s="2" customFormat="1">
      <c r="A81" s="7" t="s">
        <v>74</v>
      </c>
      <c r="B81" s="7" t="str">
        <f t="shared" si="3"/>
        <v>03</v>
      </c>
      <c r="C81" s="7" t="str">
        <f>"19"</f>
        <v>19</v>
      </c>
      <c r="D81" s="7" t="str">
        <f>"20210020319"</f>
        <v>20210020319</v>
      </c>
      <c r="E81" s="7" t="s">
        <v>88</v>
      </c>
      <c r="F81" s="7">
        <v>0</v>
      </c>
      <c r="G81" s="7">
        <v>0</v>
      </c>
      <c r="H81" s="8">
        <f t="shared" si="4"/>
        <v>0</v>
      </c>
    </row>
    <row r="82" spans="1:8" s="2" customFormat="1">
      <c r="A82" s="7" t="s">
        <v>74</v>
      </c>
      <c r="B82" s="7" t="str">
        <f t="shared" si="3"/>
        <v>03</v>
      </c>
      <c r="C82" s="7" t="str">
        <f>"20"</f>
        <v>20</v>
      </c>
      <c r="D82" s="7" t="str">
        <f>"20210020320"</f>
        <v>20210020320</v>
      </c>
      <c r="E82" s="7" t="s">
        <v>89</v>
      </c>
      <c r="F82" s="7">
        <v>0</v>
      </c>
      <c r="G82" s="7">
        <v>0</v>
      </c>
      <c r="H82" s="8">
        <f t="shared" si="4"/>
        <v>0</v>
      </c>
    </row>
    <row r="83" spans="1:8" s="2" customFormat="1">
      <c r="A83" s="7" t="s">
        <v>74</v>
      </c>
      <c r="B83" s="7" t="str">
        <f t="shared" si="3"/>
        <v>03</v>
      </c>
      <c r="C83" s="7" t="str">
        <f>"21"</f>
        <v>21</v>
      </c>
      <c r="D83" s="7" t="str">
        <f>"20210020321"</f>
        <v>20210020321</v>
      </c>
      <c r="E83" s="7" t="s">
        <v>90</v>
      </c>
      <c r="F83" s="7">
        <v>40</v>
      </c>
      <c r="G83" s="7">
        <v>69</v>
      </c>
      <c r="H83" s="8">
        <f t="shared" si="4"/>
        <v>48.7</v>
      </c>
    </row>
    <row r="84" spans="1:8" s="2" customFormat="1">
      <c r="A84" s="7" t="s">
        <v>74</v>
      </c>
      <c r="B84" s="7" t="str">
        <f t="shared" si="3"/>
        <v>03</v>
      </c>
      <c r="C84" s="7" t="str">
        <f>"22"</f>
        <v>22</v>
      </c>
      <c r="D84" s="7" t="str">
        <f>"20210020322"</f>
        <v>20210020322</v>
      </c>
      <c r="E84" s="7" t="s">
        <v>91</v>
      </c>
      <c r="F84" s="7">
        <v>37</v>
      </c>
      <c r="G84" s="7">
        <v>56</v>
      </c>
      <c r="H84" s="8">
        <f t="shared" si="4"/>
        <v>42.7</v>
      </c>
    </row>
    <row r="85" spans="1:8" s="2" customFormat="1">
      <c r="A85" s="7" t="s">
        <v>74</v>
      </c>
      <c r="B85" s="7" t="str">
        <f t="shared" si="3"/>
        <v>03</v>
      </c>
      <c r="C85" s="7" t="str">
        <f>"23"</f>
        <v>23</v>
      </c>
      <c r="D85" s="7" t="str">
        <f>"20210020323"</f>
        <v>20210020323</v>
      </c>
      <c r="E85" s="7" t="s">
        <v>92</v>
      </c>
      <c r="F85" s="7">
        <v>70.5</v>
      </c>
      <c r="G85" s="7">
        <v>79</v>
      </c>
      <c r="H85" s="8">
        <f t="shared" si="4"/>
        <v>73.05</v>
      </c>
    </row>
    <row r="86" spans="1:8" s="2" customFormat="1">
      <c r="A86" s="7" t="s">
        <v>74</v>
      </c>
      <c r="B86" s="7" t="str">
        <f t="shared" si="3"/>
        <v>03</v>
      </c>
      <c r="C86" s="7" t="str">
        <f>"24"</f>
        <v>24</v>
      </c>
      <c r="D86" s="7" t="str">
        <f>"20210020324"</f>
        <v>20210020324</v>
      </c>
      <c r="E86" s="7" t="s">
        <v>93</v>
      </c>
      <c r="F86" s="7">
        <v>50</v>
      </c>
      <c r="G86" s="7">
        <v>75</v>
      </c>
      <c r="H86" s="8">
        <f t="shared" si="4"/>
        <v>57.5</v>
      </c>
    </row>
    <row r="87" spans="1:8" s="2" customFormat="1">
      <c r="A87" s="7" t="s">
        <v>74</v>
      </c>
      <c r="B87" s="7" t="str">
        <f t="shared" si="3"/>
        <v>03</v>
      </c>
      <c r="C87" s="7" t="str">
        <f>"25"</f>
        <v>25</v>
      </c>
      <c r="D87" s="7" t="str">
        <f>"20210020325"</f>
        <v>20210020325</v>
      </c>
      <c r="E87" s="7" t="s">
        <v>94</v>
      </c>
      <c r="F87" s="7">
        <v>0</v>
      </c>
      <c r="G87" s="7">
        <v>0</v>
      </c>
      <c r="H87" s="8">
        <f t="shared" si="4"/>
        <v>0</v>
      </c>
    </row>
    <row r="88" spans="1:8" s="2" customFormat="1">
      <c r="A88" s="7" t="s">
        <v>74</v>
      </c>
      <c r="B88" s="7" t="str">
        <f t="shared" si="3"/>
        <v>03</v>
      </c>
      <c r="C88" s="7" t="str">
        <f>"26"</f>
        <v>26</v>
      </c>
      <c r="D88" s="7" t="str">
        <f>"20210020326"</f>
        <v>20210020326</v>
      </c>
      <c r="E88" s="7" t="s">
        <v>95</v>
      </c>
      <c r="F88" s="7">
        <v>55</v>
      </c>
      <c r="G88" s="7">
        <v>60</v>
      </c>
      <c r="H88" s="8">
        <f t="shared" si="4"/>
        <v>56.5</v>
      </c>
    </row>
    <row r="89" spans="1:8" s="2" customFormat="1">
      <c r="A89" s="7" t="s">
        <v>74</v>
      </c>
      <c r="B89" s="7" t="str">
        <f t="shared" si="3"/>
        <v>03</v>
      </c>
      <c r="C89" s="7" t="str">
        <f>"27"</f>
        <v>27</v>
      </c>
      <c r="D89" s="7" t="str">
        <f>"20210020327"</f>
        <v>20210020327</v>
      </c>
      <c r="E89" s="7" t="s">
        <v>96</v>
      </c>
      <c r="F89" s="7">
        <v>59</v>
      </c>
      <c r="G89" s="7">
        <v>62</v>
      </c>
      <c r="H89" s="8">
        <f t="shared" si="4"/>
        <v>59.899999999999991</v>
      </c>
    </row>
    <row r="90" spans="1:8" s="2" customFormat="1">
      <c r="A90" s="7" t="s">
        <v>74</v>
      </c>
      <c r="B90" s="7" t="str">
        <f t="shared" si="3"/>
        <v>03</v>
      </c>
      <c r="C90" s="7" t="str">
        <f>"28"</f>
        <v>28</v>
      </c>
      <c r="D90" s="7" t="str">
        <f>"20210020328"</f>
        <v>20210020328</v>
      </c>
      <c r="E90" s="7" t="s">
        <v>97</v>
      </c>
      <c r="F90" s="7">
        <v>67</v>
      </c>
      <c r="G90" s="7">
        <v>73</v>
      </c>
      <c r="H90" s="8">
        <f t="shared" si="4"/>
        <v>68.8</v>
      </c>
    </row>
    <row r="91" spans="1:8" s="2" customFormat="1">
      <c r="A91" s="7" t="s">
        <v>74</v>
      </c>
      <c r="B91" s="7" t="str">
        <f t="shared" si="3"/>
        <v>03</v>
      </c>
      <c r="C91" s="7" t="str">
        <f>"29"</f>
        <v>29</v>
      </c>
      <c r="D91" s="7" t="str">
        <f>"20210020329"</f>
        <v>20210020329</v>
      </c>
      <c r="E91" s="7" t="s">
        <v>98</v>
      </c>
      <c r="F91" s="7">
        <v>61</v>
      </c>
      <c r="G91" s="7">
        <v>37</v>
      </c>
      <c r="H91" s="8">
        <f t="shared" si="4"/>
        <v>53.8</v>
      </c>
    </row>
    <row r="92" spans="1:8" s="2" customFormat="1">
      <c r="A92" s="7" t="s">
        <v>74</v>
      </c>
      <c r="B92" s="7" t="str">
        <f t="shared" si="3"/>
        <v>03</v>
      </c>
      <c r="C92" s="7" t="str">
        <f>"30"</f>
        <v>30</v>
      </c>
      <c r="D92" s="7" t="str">
        <f>"20210020330"</f>
        <v>20210020330</v>
      </c>
      <c r="E92" s="7" t="s">
        <v>99</v>
      </c>
      <c r="F92" s="7">
        <v>58</v>
      </c>
      <c r="G92" s="7">
        <v>81</v>
      </c>
      <c r="H92" s="8">
        <f t="shared" si="4"/>
        <v>64.899999999999991</v>
      </c>
    </row>
    <row r="93" spans="1:8" s="2" customFormat="1">
      <c r="A93" s="7" t="s">
        <v>74</v>
      </c>
      <c r="B93" s="7" t="str">
        <f t="shared" ref="B93:B122" si="5">"04"</f>
        <v>04</v>
      </c>
      <c r="C93" s="7" t="str">
        <f>"01"</f>
        <v>01</v>
      </c>
      <c r="D93" s="7" t="str">
        <f>"20210020401"</f>
        <v>20210020401</v>
      </c>
      <c r="E93" s="7" t="s">
        <v>100</v>
      </c>
      <c r="F93" s="7">
        <v>60</v>
      </c>
      <c r="G93" s="7">
        <v>87</v>
      </c>
      <c r="H93" s="8">
        <f t="shared" si="4"/>
        <v>68.099999999999994</v>
      </c>
    </row>
    <row r="94" spans="1:8" s="2" customFormat="1">
      <c r="A94" s="7" t="s">
        <v>74</v>
      </c>
      <c r="B94" s="7" t="str">
        <f t="shared" si="5"/>
        <v>04</v>
      </c>
      <c r="C94" s="7" t="str">
        <f>"02"</f>
        <v>02</v>
      </c>
      <c r="D94" s="7" t="str">
        <f>"20210020402"</f>
        <v>20210020402</v>
      </c>
      <c r="E94" s="7" t="s">
        <v>101</v>
      </c>
      <c r="F94" s="7">
        <v>69</v>
      </c>
      <c r="G94" s="7">
        <v>86</v>
      </c>
      <c r="H94" s="8">
        <f t="shared" si="4"/>
        <v>74.099999999999994</v>
      </c>
    </row>
    <row r="95" spans="1:8" s="2" customFormat="1">
      <c r="A95" s="7" t="s">
        <v>74</v>
      </c>
      <c r="B95" s="7" t="str">
        <f t="shared" si="5"/>
        <v>04</v>
      </c>
      <c r="C95" s="7" t="str">
        <f>"03"</f>
        <v>03</v>
      </c>
      <c r="D95" s="7" t="str">
        <f>"20210020403"</f>
        <v>20210020403</v>
      </c>
      <c r="E95" s="7" t="s">
        <v>102</v>
      </c>
      <c r="F95" s="7">
        <v>63</v>
      </c>
      <c r="G95" s="7">
        <v>63</v>
      </c>
      <c r="H95" s="8">
        <f t="shared" si="4"/>
        <v>62.999999999999993</v>
      </c>
    </row>
    <row r="96" spans="1:8" s="2" customFormat="1">
      <c r="A96" s="7" t="s">
        <v>74</v>
      </c>
      <c r="B96" s="7" t="str">
        <f t="shared" si="5"/>
        <v>04</v>
      </c>
      <c r="C96" s="7" t="str">
        <f>"04"</f>
        <v>04</v>
      </c>
      <c r="D96" s="7" t="str">
        <f>"20210020404"</f>
        <v>20210020404</v>
      </c>
      <c r="E96" s="7" t="s">
        <v>103</v>
      </c>
      <c r="F96" s="7">
        <v>73</v>
      </c>
      <c r="G96" s="7">
        <v>89</v>
      </c>
      <c r="H96" s="8">
        <f t="shared" si="4"/>
        <v>77.8</v>
      </c>
    </row>
    <row r="97" spans="1:8" s="2" customFormat="1">
      <c r="A97" s="7" t="s">
        <v>74</v>
      </c>
      <c r="B97" s="7" t="str">
        <f t="shared" si="5"/>
        <v>04</v>
      </c>
      <c r="C97" s="7" t="str">
        <f>"05"</f>
        <v>05</v>
      </c>
      <c r="D97" s="7" t="str">
        <f>"20210020405"</f>
        <v>20210020405</v>
      </c>
      <c r="E97" s="7" t="s">
        <v>104</v>
      </c>
      <c r="F97" s="7">
        <v>87</v>
      </c>
      <c r="G97" s="7">
        <v>91</v>
      </c>
      <c r="H97" s="8">
        <f t="shared" si="4"/>
        <v>88.2</v>
      </c>
    </row>
    <row r="98" spans="1:8" s="2" customFormat="1">
      <c r="A98" s="7" t="s">
        <v>74</v>
      </c>
      <c r="B98" s="7" t="str">
        <f t="shared" si="5"/>
        <v>04</v>
      </c>
      <c r="C98" s="7" t="str">
        <f>"06"</f>
        <v>06</v>
      </c>
      <c r="D98" s="7" t="str">
        <f>"20210020406"</f>
        <v>20210020406</v>
      </c>
      <c r="E98" s="7" t="s">
        <v>105</v>
      </c>
      <c r="F98" s="7">
        <v>55</v>
      </c>
      <c r="G98" s="7">
        <v>46</v>
      </c>
      <c r="H98" s="8">
        <f t="shared" si="4"/>
        <v>52.3</v>
      </c>
    </row>
    <row r="99" spans="1:8" s="2" customFormat="1">
      <c r="A99" s="7" t="s">
        <v>74</v>
      </c>
      <c r="B99" s="7" t="str">
        <f t="shared" si="5"/>
        <v>04</v>
      </c>
      <c r="C99" s="7" t="str">
        <f>"07"</f>
        <v>07</v>
      </c>
      <c r="D99" s="7" t="str">
        <f>"20210020407"</f>
        <v>20210020407</v>
      </c>
      <c r="E99" s="7" t="s">
        <v>106</v>
      </c>
      <c r="F99" s="7">
        <v>82</v>
      </c>
      <c r="G99" s="7">
        <v>84</v>
      </c>
      <c r="H99" s="8">
        <f t="shared" si="4"/>
        <v>82.6</v>
      </c>
    </row>
    <row r="100" spans="1:8" s="2" customFormat="1">
      <c r="A100" s="7" t="s">
        <v>74</v>
      </c>
      <c r="B100" s="7" t="str">
        <f t="shared" si="5"/>
        <v>04</v>
      </c>
      <c r="C100" s="7" t="str">
        <f>"08"</f>
        <v>08</v>
      </c>
      <c r="D100" s="7" t="str">
        <f>"20210020408"</f>
        <v>20210020408</v>
      </c>
      <c r="E100" s="7" t="s">
        <v>107</v>
      </c>
      <c r="F100" s="7">
        <v>75</v>
      </c>
      <c r="G100" s="7">
        <v>79</v>
      </c>
      <c r="H100" s="8">
        <f t="shared" si="4"/>
        <v>76.2</v>
      </c>
    </row>
    <row r="101" spans="1:8" s="2" customFormat="1">
      <c r="A101" s="7" t="s">
        <v>74</v>
      </c>
      <c r="B101" s="7" t="str">
        <f t="shared" si="5"/>
        <v>04</v>
      </c>
      <c r="C101" s="7" t="str">
        <f>"09"</f>
        <v>09</v>
      </c>
      <c r="D101" s="7" t="str">
        <f>"20210020409"</f>
        <v>20210020409</v>
      </c>
      <c r="E101" s="7" t="s">
        <v>108</v>
      </c>
      <c r="F101" s="7">
        <v>73</v>
      </c>
      <c r="G101" s="7">
        <v>79</v>
      </c>
      <c r="H101" s="8">
        <f t="shared" si="4"/>
        <v>74.8</v>
      </c>
    </row>
    <row r="102" spans="1:8" s="2" customFormat="1">
      <c r="A102" s="7" t="s">
        <v>74</v>
      </c>
      <c r="B102" s="7" t="str">
        <f t="shared" si="5"/>
        <v>04</v>
      </c>
      <c r="C102" s="7" t="str">
        <f>"10"</f>
        <v>10</v>
      </c>
      <c r="D102" s="7" t="str">
        <f>"20210020410"</f>
        <v>20210020410</v>
      </c>
      <c r="E102" s="7" t="s">
        <v>109</v>
      </c>
      <c r="F102" s="7">
        <v>0</v>
      </c>
      <c r="G102" s="7">
        <v>0</v>
      </c>
      <c r="H102" s="8">
        <f t="shared" si="4"/>
        <v>0</v>
      </c>
    </row>
    <row r="103" spans="1:8" s="2" customFormat="1">
      <c r="A103" s="7" t="s">
        <v>74</v>
      </c>
      <c r="B103" s="7" t="str">
        <f t="shared" si="5"/>
        <v>04</v>
      </c>
      <c r="C103" s="7" t="str">
        <f>"11"</f>
        <v>11</v>
      </c>
      <c r="D103" s="7" t="str">
        <f>"20210020411"</f>
        <v>20210020411</v>
      </c>
      <c r="E103" s="7" t="s">
        <v>110</v>
      </c>
      <c r="F103" s="7">
        <v>45</v>
      </c>
      <c r="G103" s="7">
        <v>60</v>
      </c>
      <c r="H103" s="8">
        <f t="shared" si="4"/>
        <v>49.5</v>
      </c>
    </row>
    <row r="104" spans="1:8" s="2" customFormat="1">
      <c r="A104" s="7" t="s">
        <v>74</v>
      </c>
      <c r="B104" s="7" t="str">
        <f t="shared" si="5"/>
        <v>04</v>
      </c>
      <c r="C104" s="7" t="str">
        <f>"12"</f>
        <v>12</v>
      </c>
      <c r="D104" s="7" t="str">
        <f>"20210020412"</f>
        <v>20210020412</v>
      </c>
      <c r="E104" s="7" t="s">
        <v>111</v>
      </c>
      <c r="F104" s="7">
        <v>62</v>
      </c>
      <c r="G104" s="7">
        <v>75</v>
      </c>
      <c r="H104" s="8">
        <f t="shared" si="4"/>
        <v>65.900000000000006</v>
      </c>
    </row>
    <row r="105" spans="1:8" s="2" customFormat="1">
      <c r="A105" s="7" t="s">
        <v>74</v>
      </c>
      <c r="B105" s="7" t="str">
        <f t="shared" si="5"/>
        <v>04</v>
      </c>
      <c r="C105" s="7" t="str">
        <f>"13"</f>
        <v>13</v>
      </c>
      <c r="D105" s="7" t="str">
        <f>"20210020413"</f>
        <v>20210020413</v>
      </c>
      <c r="E105" s="7" t="s">
        <v>112</v>
      </c>
      <c r="F105" s="7">
        <v>63</v>
      </c>
      <c r="G105" s="7">
        <v>69</v>
      </c>
      <c r="H105" s="8">
        <f t="shared" si="4"/>
        <v>64.8</v>
      </c>
    </row>
    <row r="106" spans="1:8" s="2" customFormat="1">
      <c r="A106" s="7" t="s">
        <v>74</v>
      </c>
      <c r="B106" s="7" t="str">
        <f t="shared" si="5"/>
        <v>04</v>
      </c>
      <c r="C106" s="7" t="str">
        <f>"14"</f>
        <v>14</v>
      </c>
      <c r="D106" s="7" t="str">
        <f>"20210020414"</f>
        <v>20210020414</v>
      </c>
      <c r="E106" s="7" t="s">
        <v>113</v>
      </c>
      <c r="F106" s="7">
        <v>54</v>
      </c>
      <c r="G106" s="7">
        <v>75</v>
      </c>
      <c r="H106" s="8">
        <f t="shared" si="4"/>
        <v>60.3</v>
      </c>
    </row>
    <row r="107" spans="1:8" s="2" customFormat="1">
      <c r="A107" s="7" t="s">
        <v>74</v>
      </c>
      <c r="B107" s="7" t="str">
        <f t="shared" si="5"/>
        <v>04</v>
      </c>
      <c r="C107" s="7" t="str">
        <f>"15"</f>
        <v>15</v>
      </c>
      <c r="D107" s="7" t="str">
        <f>"20210020415"</f>
        <v>20210020415</v>
      </c>
      <c r="E107" s="7" t="s">
        <v>114</v>
      </c>
      <c r="F107" s="7">
        <v>43</v>
      </c>
      <c r="G107" s="7">
        <v>77</v>
      </c>
      <c r="H107" s="8">
        <f t="shared" si="4"/>
        <v>53.199999999999996</v>
      </c>
    </row>
    <row r="108" spans="1:8" s="2" customFormat="1">
      <c r="A108" s="7" t="s">
        <v>74</v>
      </c>
      <c r="B108" s="7" t="str">
        <f t="shared" si="5"/>
        <v>04</v>
      </c>
      <c r="C108" s="7" t="str">
        <f>"16"</f>
        <v>16</v>
      </c>
      <c r="D108" s="7" t="str">
        <f>"20210020416"</f>
        <v>20210020416</v>
      </c>
      <c r="E108" s="7" t="s">
        <v>115</v>
      </c>
      <c r="F108" s="7">
        <v>86</v>
      </c>
      <c r="G108" s="7">
        <v>81</v>
      </c>
      <c r="H108" s="8">
        <f t="shared" si="4"/>
        <v>84.5</v>
      </c>
    </row>
    <row r="109" spans="1:8" s="2" customFormat="1">
      <c r="A109" s="7" t="s">
        <v>74</v>
      </c>
      <c r="B109" s="7" t="str">
        <f t="shared" si="5"/>
        <v>04</v>
      </c>
      <c r="C109" s="7" t="str">
        <f>"17"</f>
        <v>17</v>
      </c>
      <c r="D109" s="7" t="str">
        <f>"20210020417"</f>
        <v>20210020417</v>
      </c>
      <c r="E109" s="7" t="s">
        <v>116</v>
      </c>
      <c r="F109" s="7">
        <v>53</v>
      </c>
      <c r="G109" s="7">
        <v>70</v>
      </c>
      <c r="H109" s="8">
        <f t="shared" si="4"/>
        <v>58.099999999999994</v>
      </c>
    </row>
    <row r="110" spans="1:8" s="2" customFormat="1">
      <c r="A110" s="7" t="s">
        <v>74</v>
      </c>
      <c r="B110" s="7" t="str">
        <f t="shared" si="5"/>
        <v>04</v>
      </c>
      <c r="C110" s="7" t="str">
        <f>"18"</f>
        <v>18</v>
      </c>
      <c r="D110" s="7" t="str">
        <f>"20210020418"</f>
        <v>20210020418</v>
      </c>
      <c r="E110" s="7" t="s">
        <v>117</v>
      </c>
      <c r="F110" s="7">
        <v>66.5</v>
      </c>
      <c r="G110" s="7">
        <v>71</v>
      </c>
      <c r="H110" s="8">
        <f t="shared" si="4"/>
        <v>67.849999999999994</v>
      </c>
    </row>
    <row r="111" spans="1:8" s="2" customFormat="1">
      <c r="A111" s="7" t="s">
        <v>74</v>
      </c>
      <c r="B111" s="7" t="str">
        <f t="shared" si="5"/>
        <v>04</v>
      </c>
      <c r="C111" s="7" t="str">
        <f>"19"</f>
        <v>19</v>
      </c>
      <c r="D111" s="7" t="str">
        <f>"20210020419"</f>
        <v>20210020419</v>
      </c>
      <c r="E111" s="7" t="s">
        <v>118</v>
      </c>
      <c r="F111" s="7">
        <v>45</v>
      </c>
      <c r="G111" s="7">
        <v>45</v>
      </c>
      <c r="H111" s="8">
        <f t="shared" si="4"/>
        <v>45</v>
      </c>
    </row>
    <row r="112" spans="1:8" s="2" customFormat="1">
      <c r="A112" s="7" t="s">
        <v>74</v>
      </c>
      <c r="B112" s="7" t="str">
        <f t="shared" si="5"/>
        <v>04</v>
      </c>
      <c r="C112" s="7" t="str">
        <f>"20"</f>
        <v>20</v>
      </c>
      <c r="D112" s="7" t="str">
        <f>"20210020420"</f>
        <v>20210020420</v>
      </c>
      <c r="E112" s="7" t="s">
        <v>119</v>
      </c>
      <c r="F112" s="7">
        <v>77.5</v>
      </c>
      <c r="G112" s="7">
        <v>83</v>
      </c>
      <c r="H112" s="8">
        <f t="shared" si="4"/>
        <v>79.150000000000006</v>
      </c>
    </row>
    <row r="113" spans="1:8" s="2" customFormat="1">
      <c r="A113" s="7" t="s">
        <v>74</v>
      </c>
      <c r="B113" s="7" t="str">
        <f t="shared" si="5"/>
        <v>04</v>
      </c>
      <c r="C113" s="7" t="str">
        <f>"21"</f>
        <v>21</v>
      </c>
      <c r="D113" s="7" t="str">
        <f>"20210020421"</f>
        <v>20210020421</v>
      </c>
      <c r="E113" s="7" t="s">
        <v>120</v>
      </c>
      <c r="F113" s="7">
        <v>80</v>
      </c>
      <c r="G113" s="7">
        <v>75</v>
      </c>
      <c r="H113" s="8">
        <f t="shared" si="4"/>
        <v>78.5</v>
      </c>
    </row>
    <row r="114" spans="1:8" s="2" customFormat="1">
      <c r="A114" s="7" t="s">
        <v>74</v>
      </c>
      <c r="B114" s="7" t="str">
        <f t="shared" si="5"/>
        <v>04</v>
      </c>
      <c r="C114" s="7" t="str">
        <f>"22"</f>
        <v>22</v>
      </c>
      <c r="D114" s="7" t="str">
        <f>"20210020422"</f>
        <v>20210020422</v>
      </c>
      <c r="E114" s="7" t="s">
        <v>121</v>
      </c>
      <c r="F114" s="7">
        <v>67</v>
      </c>
      <c r="G114" s="7">
        <v>76</v>
      </c>
      <c r="H114" s="8">
        <f t="shared" si="4"/>
        <v>69.7</v>
      </c>
    </row>
    <row r="115" spans="1:8" s="2" customFormat="1">
      <c r="A115" s="7" t="s">
        <v>74</v>
      </c>
      <c r="B115" s="7" t="str">
        <f t="shared" si="5"/>
        <v>04</v>
      </c>
      <c r="C115" s="7" t="str">
        <f>"23"</f>
        <v>23</v>
      </c>
      <c r="D115" s="7" t="str">
        <f>"20210020423"</f>
        <v>20210020423</v>
      </c>
      <c r="E115" s="7" t="s">
        <v>122</v>
      </c>
      <c r="F115" s="7">
        <v>70</v>
      </c>
      <c r="G115" s="7">
        <v>82</v>
      </c>
      <c r="H115" s="8">
        <f t="shared" si="4"/>
        <v>73.599999999999994</v>
      </c>
    </row>
    <row r="116" spans="1:8" s="2" customFormat="1">
      <c r="A116" s="7" t="s">
        <v>74</v>
      </c>
      <c r="B116" s="7" t="str">
        <f t="shared" si="5"/>
        <v>04</v>
      </c>
      <c r="C116" s="7" t="str">
        <f>"24"</f>
        <v>24</v>
      </c>
      <c r="D116" s="7" t="str">
        <f>"20210020424"</f>
        <v>20210020424</v>
      </c>
      <c r="E116" s="7" t="s">
        <v>123</v>
      </c>
      <c r="F116" s="7">
        <v>42</v>
      </c>
      <c r="G116" s="7">
        <v>59</v>
      </c>
      <c r="H116" s="8">
        <f t="shared" si="4"/>
        <v>47.099999999999994</v>
      </c>
    </row>
    <row r="117" spans="1:8" s="2" customFormat="1">
      <c r="A117" s="7" t="s">
        <v>74</v>
      </c>
      <c r="B117" s="7" t="str">
        <f t="shared" si="5"/>
        <v>04</v>
      </c>
      <c r="C117" s="7" t="str">
        <f>"25"</f>
        <v>25</v>
      </c>
      <c r="D117" s="7" t="str">
        <f>"20210020425"</f>
        <v>20210020425</v>
      </c>
      <c r="E117" s="7" t="s">
        <v>124</v>
      </c>
      <c r="F117" s="7">
        <v>74</v>
      </c>
      <c r="G117" s="7">
        <v>75</v>
      </c>
      <c r="H117" s="8">
        <f t="shared" si="4"/>
        <v>74.3</v>
      </c>
    </row>
    <row r="118" spans="1:8" s="2" customFormat="1">
      <c r="A118" s="7" t="s">
        <v>74</v>
      </c>
      <c r="B118" s="7" t="str">
        <f t="shared" si="5"/>
        <v>04</v>
      </c>
      <c r="C118" s="7" t="str">
        <f>"26"</f>
        <v>26</v>
      </c>
      <c r="D118" s="7" t="str">
        <f>"20210020426"</f>
        <v>20210020426</v>
      </c>
      <c r="E118" s="7" t="s">
        <v>125</v>
      </c>
      <c r="F118" s="7">
        <v>75</v>
      </c>
      <c r="G118" s="7">
        <v>77</v>
      </c>
      <c r="H118" s="8">
        <f t="shared" si="4"/>
        <v>75.599999999999994</v>
      </c>
    </row>
    <row r="119" spans="1:8" s="2" customFormat="1">
      <c r="A119" s="7" t="s">
        <v>74</v>
      </c>
      <c r="B119" s="7" t="str">
        <f t="shared" si="5"/>
        <v>04</v>
      </c>
      <c r="C119" s="7" t="str">
        <f>"27"</f>
        <v>27</v>
      </c>
      <c r="D119" s="7" t="str">
        <f>"20210020427"</f>
        <v>20210020427</v>
      </c>
      <c r="E119" s="7" t="s">
        <v>126</v>
      </c>
      <c r="F119" s="7">
        <v>70</v>
      </c>
      <c r="G119" s="7">
        <v>61</v>
      </c>
      <c r="H119" s="8">
        <f t="shared" si="4"/>
        <v>67.3</v>
      </c>
    </row>
    <row r="120" spans="1:8" s="2" customFormat="1">
      <c r="A120" s="7" t="s">
        <v>74</v>
      </c>
      <c r="B120" s="7" t="str">
        <f t="shared" si="5"/>
        <v>04</v>
      </c>
      <c r="C120" s="7" t="str">
        <f>"28"</f>
        <v>28</v>
      </c>
      <c r="D120" s="7" t="str">
        <f>"20210020428"</f>
        <v>20210020428</v>
      </c>
      <c r="E120" s="7" t="s">
        <v>127</v>
      </c>
      <c r="F120" s="7">
        <v>68</v>
      </c>
      <c r="G120" s="7">
        <v>75</v>
      </c>
      <c r="H120" s="8">
        <f t="shared" si="4"/>
        <v>70.099999999999994</v>
      </c>
    </row>
    <row r="121" spans="1:8" s="2" customFormat="1">
      <c r="A121" s="7" t="s">
        <v>74</v>
      </c>
      <c r="B121" s="7" t="str">
        <f t="shared" si="5"/>
        <v>04</v>
      </c>
      <c r="C121" s="7" t="str">
        <f>"29"</f>
        <v>29</v>
      </c>
      <c r="D121" s="7" t="str">
        <f>"20210020429"</f>
        <v>20210020429</v>
      </c>
      <c r="E121" s="7" t="s">
        <v>128</v>
      </c>
      <c r="F121" s="7">
        <v>66</v>
      </c>
      <c r="G121" s="7">
        <v>69</v>
      </c>
      <c r="H121" s="8">
        <f t="shared" si="4"/>
        <v>66.899999999999991</v>
      </c>
    </row>
    <row r="122" spans="1:8" s="2" customFormat="1">
      <c r="A122" s="7" t="s">
        <v>74</v>
      </c>
      <c r="B122" s="7" t="str">
        <f t="shared" si="5"/>
        <v>04</v>
      </c>
      <c r="C122" s="7" t="str">
        <f>"30"</f>
        <v>30</v>
      </c>
      <c r="D122" s="7" t="str">
        <f>"20210020430"</f>
        <v>20210020430</v>
      </c>
      <c r="E122" s="7" t="s">
        <v>129</v>
      </c>
      <c r="F122" s="7">
        <v>0</v>
      </c>
      <c r="G122" s="7">
        <v>0</v>
      </c>
      <c r="H122" s="8">
        <f t="shared" si="4"/>
        <v>0</v>
      </c>
    </row>
    <row r="123" spans="1:8" s="2" customFormat="1">
      <c r="A123" s="7" t="s">
        <v>74</v>
      </c>
      <c r="B123" s="7" t="str">
        <f t="shared" ref="B123:B152" si="6">"05"</f>
        <v>05</v>
      </c>
      <c r="C123" s="7" t="str">
        <f>"01"</f>
        <v>01</v>
      </c>
      <c r="D123" s="7" t="str">
        <f>"20210020501"</f>
        <v>20210020501</v>
      </c>
      <c r="E123" s="7" t="s">
        <v>130</v>
      </c>
      <c r="F123" s="7">
        <v>63</v>
      </c>
      <c r="G123" s="7">
        <v>63</v>
      </c>
      <c r="H123" s="8">
        <f t="shared" si="4"/>
        <v>62.999999999999993</v>
      </c>
    </row>
    <row r="124" spans="1:8" s="2" customFormat="1">
      <c r="A124" s="7" t="s">
        <v>74</v>
      </c>
      <c r="B124" s="7" t="str">
        <f t="shared" si="6"/>
        <v>05</v>
      </c>
      <c r="C124" s="7" t="str">
        <f>"02"</f>
        <v>02</v>
      </c>
      <c r="D124" s="7" t="str">
        <f>"20210020502"</f>
        <v>20210020502</v>
      </c>
      <c r="E124" s="7" t="s">
        <v>131</v>
      </c>
      <c r="F124" s="7">
        <v>77</v>
      </c>
      <c r="G124" s="7">
        <v>91</v>
      </c>
      <c r="H124" s="8">
        <f t="shared" si="4"/>
        <v>81.2</v>
      </c>
    </row>
    <row r="125" spans="1:8" s="2" customFormat="1">
      <c r="A125" s="7" t="s">
        <v>74</v>
      </c>
      <c r="B125" s="7" t="str">
        <f t="shared" si="6"/>
        <v>05</v>
      </c>
      <c r="C125" s="7" t="str">
        <f>"03"</f>
        <v>03</v>
      </c>
      <c r="D125" s="7" t="str">
        <f>"20210020503"</f>
        <v>20210020503</v>
      </c>
      <c r="E125" s="7" t="s">
        <v>132</v>
      </c>
      <c r="F125" s="7">
        <v>56.5</v>
      </c>
      <c r="G125" s="7">
        <v>67</v>
      </c>
      <c r="H125" s="8">
        <f t="shared" si="4"/>
        <v>59.649999999999991</v>
      </c>
    </row>
    <row r="126" spans="1:8" s="2" customFormat="1">
      <c r="A126" s="7" t="s">
        <v>74</v>
      </c>
      <c r="B126" s="7" t="str">
        <f t="shared" si="6"/>
        <v>05</v>
      </c>
      <c r="C126" s="7" t="str">
        <f>"04"</f>
        <v>04</v>
      </c>
      <c r="D126" s="7" t="str">
        <f>"20210020504"</f>
        <v>20210020504</v>
      </c>
      <c r="E126" s="7" t="s">
        <v>133</v>
      </c>
      <c r="F126" s="7">
        <v>44</v>
      </c>
      <c r="G126" s="7">
        <v>59</v>
      </c>
      <c r="H126" s="8">
        <f t="shared" si="4"/>
        <v>48.5</v>
      </c>
    </row>
    <row r="127" spans="1:8" s="2" customFormat="1">
      <c r="A127" s="7" t="s">
        <v>74</v>
      </c>
      <c r="B127" s="7" t="str">
        <f t="shared" si="6"/>
        <v>05</v>
      </c>
      <c r="C127" s="7" t="str">
        <f>"05"</f>
        <v>05</v>
      </c>
      <c r="D127" s="7" t="str">
        <f>"20210020505"</f>
        <v>20210020505</v>
      </c>
      <c r="E127" s="7" t="s">
        <v>134</v>
      </c>
      <c r="F127" s="7">
        <v>60</v>
      </c>
      <c r="G127" s="7">
        <v>73</v>
      </c>
      <c r="H127" s="8">
        <f t="shared" si="4"/>
        <v>63.9</v>
      </c>
    </row>
    <row r="128" spans="1:8" s="2" customFormat="1">
      <c r="A128" s="7" t="s">
        <v>74</v>
      </c>
      <c r="B128" s="7" t="str">
        <f t="shared" si="6"/>
        <v>05</v>
      </c>
      <c r="C128" s="7" t="str">
        <f>"06"</f>
        <v>06</v>
      </c>
      <c r="D128" s="7" t="str">
        <f>"20210020506"</f>
        <v>20210020506</v>
      </c>
      <c r="E128" s="7" t="s">
        <v>135</v>
      </c>
      <c r="F128" s="7">
        <v>47</v>
      </c>
      <c r="G128" s="7">
        <v>39</v>
      </c>
      <c r="H128" s="8">
        <f t="shared" si="4"/>
        <v>44.599999999999994</v>
      </c>
    </row>
    <row r="129" spans="1:8" s="2" customFormat="1">
      <c r="A129" s="7" t="s">
        <v>74</v>
      </c>
      <c r="B129" s="7" t="str">
        <f t="shared" si="6"/>
        <v>05</v>
      </c>
      <c r="C129" s="7" t="str">
        <f>"07"</f>
        <v>07</v>
      </c>
      <c r="D129" s="7" t="str">
        <f>"20210020507"</f>
        <v>20210020507</v>
      </c>
      <c r="E129" s="7" t="s">
        <v>136</v>
      </c>
      <c r="F129" s="7">
        <v>62</v>
      </c>
      <c r="G129" s="7">
        <v>90</v>
      </c>
      <c r="H129" s="8">
        <f t="shared" si="4"/>
        <v>70.400000000000006</v>
      </c>
    </row>
    <row r="130" spans="1:8" s="2" customFormat="1">
      <c r="A130" s="7" t="s">
        <v>74</v>
      </c>
      <c r="B130" s="7" t="str">
        <f t="shared" si="6"/>
        <v>05</v>
      </c>
      <c r="C130" s="7" t="str">
        <f>"08"</f>
        <v>08</v>
      </c>
      <c r="D130" s="7" t="str">
        <f>"20210020508"</f>
        <v>20210020508</v>
      </c>
      <c r="E130" s="7" t="s">
        <v>137</v>
      </c>
      <c r="F130" s="7">
        <v>61</v>
      </c>
      <c r="G130" s="7">
        <v>86</v>
      </c>
      <c r="H130" s="8">
        <f t="shared" si="4"/>
        <v>68.5</v>
      </c>
    </row>
    <row r="131" spans="1:8" s="2" customFormat="1">
      <c r="A131" s="7" t="s">
        <v>74</v>
      </c>
      <c r="B131" s="7" t="str">
        <f t="shared" si="6"/>
        <v>05</v>
      </c>
      <c r="C131" s="7" t="str">
        <f>"09"</f>
        <v>09</v>
      </c>
      <c r="D131" s="7" t="str">
        <f>"20210020509"</f>
        <v>20210020509</v>
      </c>
      <c r="E131" s="7" t="s">
        <v>138</v>
      </c>
      <c r="F131" s="7">
        <v>62.5</v>
      </c>
      <c r="G131" s="7">
        <v>67</v>
      </c>
      <c r="H131" s="8">
        <f t="shared" ref="H131:H194" si="7">F131*0.7+G131*0.3</f>
        <v>63.849999999999994</v>
      </c>
    </row>
    <row r="132" spans="1:8" s="2" customFormat="1">
      <c r="A132" s="7" t="s">
        <v>74</v>
      </c>
      <c r="B132" s="7" t="str">
        <f t="shared" si="6"/>
        <v>05</v>
      </c>
      <c r="C132" s="7" t="str">
        <f>"10"</f>
        <v>10</v>
      </c>
      <c r="D132" s="7" t="str">
        <f>"20210020510"</f>
        <v>20210020510</v>
      </c>
      <c r="E132" s="7" t="s">
        <v>139</v>
      </c>
      <c r="F132" s="7">
        <v>73</v>
      </c>
      <c r="G132" s="7">
        <v>88</v>
      </c>
      <c r="H132" s="8">
        <f t="shared" si="7"/>
        <v>77.5</v>
      </c>
    </row>
    <row r="133" spans="1:8" s="2" customFormat="1">
      <c r="A133" s="7" t="s">
        <v>74</v>
      </c>
      <c r="B133" s="7" t="str">
        <f t="shared" si="6"/>
        <v>05</v>
      </c>
      <c r="C133" s="7" t="str">
        <f>"11"</f>
        <v>11</v>
      </c>
      <c r="D133" s="7" t="str">
        <f>"20210020511"</f>
        <v>20210020511</v>
      </c>
      <c r="E133" s="7" t="s">
        <v>140</v>
      </c>
      <c r="F133" s="7">
        <v>0</v>
      </c>
      <c r="G133" s="7">
        <v>0</v>
      </c>
      <c r="H133" s="8">
        <f t="shared" si="7"/>
        <v>0</v>
      </c>
    </row>
    <row r="134" spans="1:8" s="2" customFormat="1">
      <c r="A134" s="7" t="s">
        <v>74</v>
      </c>
      <c r="B134" s="7" t="str">
        <f t="shared" si="6"/>
        <v>05</v>
      </c>
      <c r="C134" s="7" t="str">
        <f>"12"</f>
        <v>12</v>
      </c>
      <c r="D134" s="7" t="str">
        <f>"20210020512"</f>
        <v>20210020512</v>
      </c>
      <c r="E134" s="7" t="s">
        <v>141</v>
      </c>
      <c r="F134" s="7">
        <v>79</v>
      </c>
      <c r="G134" s="7">
        <v>82</v>
      </c>
      <c r="H134" s="8">
        <f t="shared" si="7"/>
        <v>79.899999999999991</v>
      </c>
    </row>
    <row r="135" spans="1:8" s="2" customFormat="1">
      <c r="A135" s="7" t="s">
        <v>74</v>
      </c>
      <c r="B135" s="7" t="str">
        <f t="shared" si="6"/>
        <v>05</v>
      </c>
      <c r="C135" s="7" t="str">
        <f>"13"</f>
        <v>13</v>
      </c>
      <c r="D135" s="7" t="str">
        <f>"20210020513"</f>
        <v>20210020513</v>
      </c>
      <c r="E135" s="7" t="s">
        <v>142</v>
      </c>
      <c r="F135" s="7">
        <v>51.5</v>
      </c>
      <c r="G135" s="7">
        <v>45</v>
      </c>
      <c r="H135" s="8">
        <f t="shared" si="7"/>
        <v>49.55</v>
      </c>
    </row>
    <row r="136" spans="1:8" s="2" customFormat="1">
      <c r="A136" s="7" t="s">
        <v>74</v>
      </c>
      <c r="B136" s="7" t="str">
        <f t="shared" si="6"/>
        <v>05</v>
      </c>
      <c r="C136" s="7" t="str">
        <f>"14"</f>
        <v>14</v>
      </c>
      <c r="D136" s="7" t="str">
        <f>"20210020514"</f>
        <v>20210020514</v>
      </c>
      <c r="E136" s="7" t="s">
        <v>143</v>
      </c>
      <c r="F136" s="7">
        <v>55</v>
      </c>
      <c r="G136" s="7">
        <v>69</v>
      </c>
      <c r="H136" s="8">
        <f t="shared" si="7"/>
        <v>59.2</v>
      </c>
    </row>
    <row r="137" spans="1:8" s="2" customFormat="1">
      <c r="A137" s="7" t="s">
        <v>74</v>
      </c>
      <c r="B137" s="7" t="str">
        <f t="shared" si="6"/>
        <v>05</v>
      </c>
      <c r="C137" s="7" t="str">
        <f>"15"</f>
        <v>15</v>
      </c>
      <c r="D137" s="7" t="str">
        <f>"20210020515"</f>
        <v>20210020515</v>
      </c>
      <c r="E137" s="7" t="s">
        <v>144</v>
      </c>
      <c r="F137" s="7">
        <v>78</v>
      </c>
      <c r="G137" s="7">
        <v>79</v>
      </c>
      <c r="H137" s="8">
        <f t="shared" si="7"/>
        <v>78.3</v>
      </c>
    </row>
    <row r="138" spans="1:8" s="2" customFormat="1">
      <c r="A138" s="7" t="s">
        <v>145</v>
      </c>
      <c r="B138" s="7" t="str">
        <f t="shared" si="6"/>
        <v>05</v>
      </c>
      <c r="C138" s="7" t="str">
        <f>"16"</f>
        <v>16</v>
      </c>
      <c r="D138" s="7" t="str">
        <f>"20210030516"</f>
        <v>20210030516</v>
      </c>
      <c r="E138" s="7" t="s">
        <v>146</v>
      </c>
      <c r="F138" s="7">
        <v>0</v>
      </c>
      <c r="G138" s="7">
        <v>0</v>
      </c>
      <c r="H138" s="8">
        <f t="shared" si="7"/>
        <v>0</v>
      </c>
    </row>
    <row r="139" spans="1:8" s="2" customFormat="1">
      <c r="A139" s="7" t="s">
        <v>145</v>
      </c>
      <c r="B139" s="7" t="str">
        <f t="shared" si="6"/>
        <v>05</v>
      </c>
      <c r="C139" s="7" t="str">
        <f>"17"</f>
        <v>17</v>
      </c>
      <c r="D139" s="7" t="str">
        <f>"20210030517"</f>
        <v>20210030517</v>
      </c>
      <c r="E139" s="7" t="s">
        <v>147</v>
      </c>
      <c r="F139" s="7">
        <v>54</v>
      </c>
      <c r="G139" s="7">
        <v>63</v>
      </c>
      <c r="H139" s="8">
        <f t="shared" si="7"/>
        <v>56.699999999999996</v>
      </c>
    </row>
    <row r="140" spans="1:8" s="2" customFormat="1">
      <c r="A140" s="7" t="s">
        <v>145</v>
      </c>
      <c r="B140" s="7" t="str">
        <f t="shared" si="6"/>
        <v>05</v>
      </c>
      <c r="C140" s="7" t="str">
        <f>"18"</f>
        <v>18</v>
      </c>
      <c r="D140" s="7" t="str">
        <f>"20210030518"</f>
        <v>20210030518</v>
      </c>
      <c r="E140" s="7" t="s">
        <v>148</v>
      </c>
      <c r="F140" s="7">
        <v>55</v>
      </c>
      <c r="G140" s="7">
        <v>46</v>
      </c>
      <c r="H140" s="8">
        <f t="shared" si="7"/>
        <v>52.3</v>
      </c>
    </row>
    <row r="141" spans="1:8" s="2" customFormat="1">
      <c r="A141" s="7" t="s">
        <v>145</v>
      </c>
      <c r="B141" s="7" t="str">
        <f t="shared" si="6"/>
        <v>05</v>
      </c>
      <c r="C141" s="7" t="str">
        <f>"19"</f>
        <v>19</v>
      </c>
      <c r="D141" s="7" t="str">
        <f>"20210030519"</f>
        <v>20210030519</v>
      </c>
      <c r="E141" s="7" t="s">
        <v>149</v>
      </c>
      <c r="F141" s="7">
        <v>73</v>
      </c>
      <c r="G141" s="7">
        <v>88</v>
      </c>
      <c r="H141" s="8">
        <f t="shared" si="7"/>
        <v>77.5</v>
      </c>
    </row>
    <row r="142" spans="1:8" s="2" customFormat="1">
      <c r="A142" s="7" t="s">
        <v>145</v>
      </c>
      <c r="B142" s="7" t="str">
        <f t="shared" si="6"/>
        <v>05</v>
      </c>
      <c r="C142" s="7" t="str">
        <f>"20"</f>
        <v>20</v>
      </c>
      <c r="D142" s="7" t="str">
        <f>"20210030520"</f>
        <v>20210030520</v>
      </c>
      <c r="E142" s="7" t="s">
        <v>150</v>
      </c>
      <c r="F142" s="7">
        <v>42</v>
      </c>
      <c r="G142" s="7">
        <v>59</v>
      </c>
      <c r="H142" s="8">
        <f t="shared" si="7"/>
        <v>47.099999999999994</v>
      </c>
    </row>
    <row r="143" spans="1:8" s="2" customFormat="1">
      <c r="A143" s="7" t="s">
        <v>145</v>
      </c>
      <c r="B143" s="7" t="str">
        <f t="shared" si="6"/>
        <v>05</v>
      </c>
      <c r="C143" s="7" t="str">
        <f>"21"</f>
        <v>21</v>
      </c>
      <c r="D143" s="7" t="str">
        <f>"20210030521"</f>
        <v>20210030521</v>
      </c>
      <c r="E143" s="7" t="s">
        <v>151</v>
      </c>
      <c r="F143" s="7">
        <v>56</v>
      </c>
      <c r="G143" s="7">
        <v>77</v>
      </c>
      <c r="H143" s="8">
        <f t="shared" si="7"/>
        <v>62.3</v>
      </c>
    </row>
    <row r="144" spans="1:8" s="2" customFormat="1">
      <c r="A144" s="7" t="s">
        <v>145</v>
      </c>
      <c r="B144" s="7" t="str">
        <f t="shared" si="6"/>
        <v>05</v>
      </c>
      <c r="C144" s="7" t="str">
        <f>"22"</f>
        <v>22</v>
      </c>
      <c r="D144" s="7" t="str">
        <f>"20210030522"</f>
        <v>20210030522</v>
      </c>
      <c r="E144" s="7" t="s">
        <v>152</v>
      </c>
      <c r="F144" s="7">
        <v>72</v>
      </c>
      <c r="G144" s="7">
        <v>73</v>
      </c>
      <c r="H144" s="8">
        <f t="shared" si="7"/>
        <v>72.3</v>
      </c>
    </row>
    <row r="145" spans="1:8" s="2" customFormat="1">
      <c r="A145" s="7" t="s">
        <v>145</v>
      </c>
      <c r="B145" s="7" t="str">
        <f t="shared" si="6"/>
        <v>05</v>
      </c>
      <c r="C145" s="7" t="str">
        <f>"23"</f>
        <v>23</v>
      </c>
      <c r="D145" s="7" t="str">
        <f>"20210030523"</f>
        <v>20210030523</v>
      </c>
      <c r="E145" s="7" t="s">
        <v>153</v>
      </c>
      <c r="F145" s="7">
        <v>79.5</v>
      </c>
      <c r="G145" s="7">
        <v>86</v>
      </c>
      <c r="H145" s="8">
        <f t="shared" si="7"/>
        <v>81.45</v>
      </c>
    </row>
    <row r="146" spans="1:8" s="2" customFormat="1">
      <c r="A146" s="7" t="s">
        <v>145</v>
      </c>
      <c r="B146" s="7" t="str">
        <f t="shared" si="6"/>
        <v>05</v>
      </c>
      <c r="C146" s="7" t="str">
        <f>"24"</f>
        <v>24</v>
      </c>
      <c r="D146" s="7" t="str">
        <f>"20210030524"</f>
        <v>20210030524</v>
      </c>
      <c r="E146" s="7" t="s">
        <v>154</v>
      </c>
      <c r="F146" s="7">
        <v>65</v>
      </c>
      <c r="G146" s="7">
        <v>58</v>
      </c>
      <c r="H146" s="8">
        <f t="shared" si="7"/>
        <v>62.9</v>
      </c>
    </row>
    <row r="147" spans="1:8" s="2" customFormat="1">
      <c r="A147" s="7" t="s">
        <v>145</v>
      </c>
      <c r="B147" s="7" t="str">
        <f t="shared" si="6"/>
        <v>05</v>
      </c>
      <c r="C147" s="7" t="str">
        <f>"25"</f>
        <v>25</v>
      </c>
      <c r="D147" s="7" t="str">
        <f>"20210030525"</f>
        <v>20210030525</v>
      </c>
      <c r="E147" s="7" t="s">
        <v>155</v>
      </c>
      <c r="F147" s="7">
        <v>83</v>
      </c>
      <c r="G147" s="7">
        <v>87</v>
      </c>
      <c r="H147" s="8">
        <f t="shared" si="7"/>
        <v>84.199999999999989</v>
      </c>
    </row>
    <row r="148" spans="1:8" s="2" customFormat="1">
      <c r="A148" s="7" t="s">
        <v>145</v>
      </c>
      <c r="B148" s="7" t="str">
        <f t="shared" si="6"/>
        <v>05</v>
      </c>
      <c r="C148" s="7" t="str">
        <f>"26"</f>
        <v>26</v>
      </c>
      <c r="D148" s="7" t="str">
        <f>"20210030526"</f>
        <v>20210030526</v>
      </c>
      <c r="E148" s="7" t="s">
        <v>156</v>
      </c>
      <c r="F148" s="7">
        <v>77</v>
      </c>
      <c r="G148" s="7">
        <v>74</v>
      </c>
      <c r="H148" s="8">
        <f t="shared" si="7"/>
        <v>76.099999999999994</v>
      </c>
    </row>
    <row r="149" spans="1:8" s="2" customFormat="1">
      <c r="A149" s="7" t="s">
        <v>145</v>
      </c>
      <c r="B149" s="7" t="str">
        <f t="shared" si="6"/>
        <v>05</v>
      </c>
      <c r="C149" s="7" t="str">
        <f>"27"</f>
        <v>27</v>
      </c>
      <c r="D149" s="7" t="str">
        <f>"20210030527"</f>
        <v>20210030527</v>
      </c>
      <c r="E149" s="7" t="s">
        <v>157</v>
      </c>
      <c r="F149" s="7">
        <v>56</v>
      </c>
      <c r="G149" s="7">
        <v>73</v>
      </c>
      <c r="H149" s="8">
        <f t="shared" si="7"/>
        <v>61.099999999999994</v>
      </c>
    </row>
    <row r="150" spans="1:8" s="2" customFormat="1">
      <c r="A150" s="7" t="s">
        <v>145</v>
      </c>
      <c r="B150" s="7" t="str">
        <f t="shared" si="6"/>
        <v>05</v>
      </c>
      <c r="C150" s="7" t="str">
        <f>"28"</f>
        <v>28</v>
      </c>
      <c r="D150" s="7" t="str">
        <f>"20210030528"</f>
        <v>20210030528</v>
      </c>
      <c r="E150" s="7" t="s">
        <v>158</v>
      </c>
      <c r="F150" s="7">
        <v>77</v>
      </c>
      <c r="G150" s="7">
        <v>86</v>
      </c>
      <c r="H150" s="8">
        <f t="shared" si="7"/>
        <v>79.7</v>
      </c>
    </row>
    <row r="151" spans="1:8" s="2" customFormat="1">
      <c r="A151" s="7" t="s">
        <v>145</v>
      </c>
      <c r="B151" s="7" t="str">
        <f t="shared" si="6"/>
        <v>05</v>
      </c>
      <c r="C151" s="7" t="str">
        <f>"29"</f>
        <v>29</v>
      </c>
      <c r="D151" s="7" t="str">
        <f>"20210030529"</f>
        <v>20210030529</v>
      </c>
      <c r="E151" s="7" t="s">
        <v>159</v>
      </c>
      <c r="F151" s="7">
        <v>82</v>
      </c>
      <c r="G151" s="7">
        <v>91</v>
      </c>
      <c r="H151" s="8">
        <f t="shared" si="7"/>
        <v>84.7</v>
      </c>
    </row>
    <row r="152" spans="1:8" s="2" customFormat="1">
      <c r="A152" s="7" t="s">
        <v>145</v>
      </c>
      <c r="B152" s="7" t="str">
        <f t="shared" si="6"/>
        <v>05</v>
      </c>
      <c r="C152" s="7" t="str">
        <f>"30"</f>
        <v>30</v>
      </c>
      <c r="D152" s="7" t="str">
        <f>"20210030530"</f>
        <v>20210030530</v>
      </c>
      <c r="E152" s="7" t="s">
        <v>160</v>
      </c>
      <c r="F152" s="7">
        <v>77</v>
      </c>
      <c r="G152" s="7">
        <v>88</v>
      </c>
      <c r="H152" s="8">
        <f t="shared" si="7"/>
        <v>80.3</v>
      </c>
    </row>
    <row r="153" spans="1:8" s="2" customFormat="1">
      <c r="A153" s="7" t="s">
        <v>145</v>
      </c>
      <c r="B153" s="7" t="str">
        <f t="shared" ref="B153:B182" si="8">"06"</f>
        <v>06</v>
      </c>
      <c r="C153" s="7" t="str">
        <f>"01"</f>
        <v>01</v>
      </c>
      <c r="D153" s="7" t="str">
        <f>"20210030601"</f>
        <v>20210030601</v>
      </c>
      <c r="E153" s="7" t="s">
        <v>161</v>
      </c>
      <c r="F153" s="7">
        <v>63</v>
      </c>
      <c r="G153" s="7">
        <v>75</v>
      </c>
      <c r="H153" s="8">
        <f t="shared" si="7"/>
        <v>66.599999999999994</v>
      </c>
    </row>
    <row r="154" spans="1:8" s="2" customFormat="1">
      <c r="A154" s="7" t="s">
        <v>145</v>
      </c>
      <c r="B154" s="7" t="str">
        <f t="shared" si="8"/>
        <v>06</v>
      </c>
      <c r="C154" s="7" t="str">
        <f>"02"</f>
        <v>02</v>
      </c>
      <c r="D154" s="7" t="str">
        <f>"20210030602"</f>
        <v>20210030602</v>
      </c>
      <c r="E154" s="7" t="s">
        <v>162</v>
      </c>
      <c r="F154" s="7">
        <v>53</v>
      </c>
      <c r="G154" s="7">
        <v>82</v>
      </c>
      <c r="H154" s="8">
        <f t="shared" si="7"/>
        <v>61.699999999999989</v>
      </c>
    </row>
    <row r="155" spans="1:8" s="2" customFormat="1">
      <c r="A155" s="7" t="s">
        <v>145</v>
      </c>
      <c r="B155" s="7" t="str">
        <f t="shared" si="8"/>
        <v>06</v>
      </c>
      <c r="C155" s="7" t="str">
        <f>"03"</f>
        <v>03</v>
      </c>
      <c r="D155" s="7" t="str">
        <f>"20210030603"</f>
        <v>20210030603</v>
      </c>
      <c r="E155" s="7" t="s">
        <v>163</v>
      </c>
      <c r="F155" s="7">
        <v>46.5</v>
      </c>
      <c r="G155" s="7">
        <v>36</v>
      </c>
      <c r="H155" s="8">
        <f t="shared" si="7"/>
        <v>43.349999999999994</v>
      </c>
    </row>
    <row r="156" spans="1:8" s="2" customFormat="1">
      <c r="A156" s="7" t="s">
        <v>145</v>
      </c>
      <c r="B156" s="7" t="str">
        <f t="shared" si="8"/>
        <v>06</v>
      </c>
      <c r="C156" s="7" t="str">
        <f>"04"</f>
        <v>04</v>
      </c>
      <c r="D156" s="7" t="str">
        <f>"20210030604"</f>
        <v>20210030604</v>
      </c>
      <c r="E156" s="7" t="s">
        <v>164</v>
      </c>
      <c r="F156" s="7">
        <v>61</v>
      </c>
      <c r="G156" s="7">
        <v>82</v>
      </c>
      <c r="H156" s="8">
        <f t="shared" si="7"/>
        <v>67.3</v>
      </c>
    </row>
    <row r="157" spans="1:8" s="2" customFormat="1">
      <c r="A157" s="7" t="s">
        <v>145</v>
      </c>
      <c r="B157" s="7" t="str">
        <f t="shared" si="8"/>
        <v>06</v>
      </c>
      <c r="C157" s="7" t="str">
        <f>"05"</f>
        <v>05</v>
      </c>
      <c r="D157" s="7" t="str">
        <f>"20210030605"</f>
        <v>20210030605</v>
      </c>
      <c r="E157" s="7" t="s">
        <v>165</v>
      </c>
      <c r="F157" s="7">
        <v>46.5</v>
      </c>
      <c r="G157" s="7">
        <v>34</v>
      </c>
      <c r="H157" s="8">
        <f t="shared" si="7"/>
        <v>42.75</v>
      </c>
    </row>
    <row r="158" spans="1:8" s="2" customFormat="1">
      <c r="A158" s="7" t="s">
        <v>145</v>
      </c>
      <c r="B158" s="7" t="str">
        <f t="shared" si="8"/>
        <v>06</v>
      </c>
      <c r="C158" s="7" t="str">
        <f>"06"</f>
        <v>06</v>
      </c>
      <c r="D158" s="7" t="str">
        <f>"20210030606"</f>
        <v>20210030606</v>
      </c>
      <c r="E158" s="7" t="s">
        <v>166</v>
      </c>
      <c r="F158" s="7">
        <v>56</v>
      </c>
      <c r="G158" s="7">
        <v>63</v>
      </c>
      <c r="H158" s="8">
        <f t="shared" si="7"/>
        <v>58.099999999999994</v>
      </c>
    </row>
    <row r="159" spans="1:8" s="2" customFormat="1">
      <c r="A159" s="7" t="s">
        <v>145</v>
      </c>
      <c r="B159" s="7" t="str">
        <f t="shared" si="8"/>
        <v>06</v>
      </c>
      <c r="C159" s="7" t="str">
        <f>"07"</f>
        <v>07</v>
      </c>
      <c r="D159" s="7" t="str">
        <f>"20210030607"</f>
        <v>20210030607</v>
      </c>
      <c r="E159" s="7" t="s">
        <v>167</v>
      </c>
      <c r="F159" s="7">
        <v>69</v>
      </c>
      <c r="G159" s="7">
        <v>78</v>
      </c>
      <c r="H159" s="8">
        <f t="shared" si="7"/>
        <v>71.699999999999989</v>
      </c>
    </row>
    <row r="160" spans="1:8" s="2" customFormat="1">
      <c r="A160" s="7" t="s">
        <v>145</v>
      </c>
      <c r="B160" s="7" t="str">
        <f t="shared" si="8"/>
        <v>06</v>
      </c>
      <c r="C160" s="7" t="str">
        <f>"08"</f>
        <v>08</v>
      </c>
      <c r="D160" s="7" t="str">
        <f>"20210030608"</f>
        <v>20210030608</v>
      </c>
      <c r="E160" s="7" t="s">
        <v>168</v>
      </c>
      <c r="F160" s="7">
        <v>70</v>
      </c>
      <c r="G160" s="7">
        <v>68</v>
      </c>
      <c r="H160" s="8">
        <f t="shared" si="7"/>
        <v>69.400000000000006</v>
      </c>
    </row>
    <row r="161" spans="1:8" s="2" customFormat="1">
      <c r="A161" s="7" t="s">
        <v>145</v>
      </c>
      <c r="B161" s="7" t="str">
        <f t="shared" si="8"/>
        <v>06</v>
      </c>
      <c r="C161" s="7" t="str">
        <f>"09"</f>
        <v>09</v>
      </c>
      <c r="D161" s="7" t="str">
        <f>"20210030609"</f>
        <v>20210030609</v>
      </c>
      <c r="E161" s="7" t="s">
        <v>169</v>
      </c>
      <c r="F161" s="7">
        <v>0</v>
      </c>
      <c r="G161" s="7">
        <v>0</v>
      </c>
      <c r="H161" s="8">
        <f t="shared" si="7"/>
        <v>0</v>
      </c>
    </row>
    <row r="162" spans="1:8" s="2" customFormat="1">
      <c r="A162" s="7" t="s">
        <v>145</v>
      </c>
      <c r="B162" s="7" t="str">
        <f t="shared" si="8"/>
        <v>06</v>
      </c>
      <c r="C162" s="7" t="str">
        <f>"10"</f>
        <v>10</v>
      </c>
      <c r="D162" s="7" t="str">
        <f>"20210030610"</f>
        <v>20210030610</v>
      </c>
      <c r="E162" s="7" t="s">
        <v>170</v>
      </c>
      <c r="F162" s="7">
        <v>58</v>
      </c>
      <c r="G162" s="7">
        <v>60</v>
      </c>
      <c r="H162" s="8">
        <f t="shared" si="7"/>
        <v>58.599999999999994</v>
      </c>
    </row>
    <row r="163" spans="1:8" s="2" customFormat="1">
      <c r="A163" s="7" t="s">
        <v>145</v>
      </c>
      <c r="B163" s="7" t="str">
        <f t="shared" si="8"/>
        <v>06</v>
      </c>
      <c r="C163" s="7" t="str">
        <f>"11"</f>
        <v>11</v>
      </c>
      <c r="D163" s="7" t="str">
        <f>"20210030611"</f>
        <v>20210030611</v>
      </c>
      <c r="E163" s="7" t="s">
        <v>171</v>
      </c>
      <c r="F163" s="7">
        <v>40</v>
      </c>
      <c r="G163" s="7">
        <v>76</v>
      </c>
      <c r="H163" s="8">
        <f t="shared" si="7"/>
        <v>50.8</v>
      </c>
    </row>
    <row r="164" spans="1:8" s="2" customFormat="1">
      <c r="A164" s="7" t="s">
        <v>145</v>
      </c>
      <c r="B164" s="7" t="str">
        <f t="shared" si="8"/>
        <v>06</v>
      </c>
      <c r="C164" s="7" t="str">
        <f>"12"</f>
        <v>12</v>
      </c>
      <c r="D164" s="7" t="str">
        <f>"20210030612"</f>
        <v>20210030612</v>
      </c>
      <c r="E164" s="7" t="s">
        <v>172</v>
      </c>
      <c r="F164" s="7">
        <v>78</v>
      </c>
      <c r="G164" s="7">
        <v>85</v>
      </c>
      <c r="H164" s="8">
        <f t="shared" si="7"/>
        <v>80.099999999999994</v>
      </c>
    </row>
    <row r="165" spans="1:8" s="2" customFormat="1">
      <c r="A165" s="7" t="s">
        <v>145</v>
      </c>
      <c r="B165" s="7" t="str">
        <f t="shared" si="8"/>
        <v>06</v>
      </c>
      <c r="C165" s="7" t="str">
        <f>"13"</f>
        <v>13</v>
      </c>
      <c r="D165" s="7" t="str">
        <f>"20210030613"</f>
        <v>20210030613</v>
      </c>
      <c r="E165" s="7" t="s">
        <v>173</v>
      </c>
      <c r="F165" s="7">
        <v>0</v>
      </c>
      <c r="G165" s="7">
        <v>0</v>
      </c>
      <c r="H165" s="8">
        <f t="shared" si="7"/>
        <v>0</v>
      </c>
    </row>
    <row r="166" spans="1:8" s="2" customFormat="1">
      <c r="A166" s="7" t="s">
        <v>145</v>
      </c>
      <c r="B166" s="7" t="str">
        <f t="shared" si="8"/>
        <v>06</v>
      </c>
      <c r="C166" s="7" t="str">
        <f>"14"</f>
        <v>14</v>
      </c>
      <c r="D166" s="7" t="str">
        <f>"20210030614"</f>
        <v>20210030614</v>
      </c>
      <c r="E166" s="7" t="s">
        <v>174</v>
      </c>
      <c r="F166" s="7">
        <v>0</v>
      </c>
      <c r="G166" s="7">
        <v>0</v>
      </c>
      <c r="H166" s="8">
        <f t="shared" si="7"/>
        <v>0</v>
      </c>
    </row>
    <row r="167" spans="1:8" s="2" customFormat="1">
      <c r="A167" s="7" t="s">
        <v>145</v>
      </c>
      <c r="B167" s="7" t="str">
        <f t="shared" si="8"/>
        <v>06</v>
      </c>
      <c r="C167" s="7" t="str">
        <f>"15"</f>
        <v>15</v>
      </c>
      <c r="D167" s="7" t="str">
        <f>"20210030615"</f>
        <v>20210030615</v>
      </c>
      <c r="E167" s="7" t="s">
        <v>175</v>
      </c>
      <c r="F167" s="7">
        <v>61</v>
      </c>
      <c r="G167" s="7">
        <v>82</v>
      </c>
      <c r="H167" s="8">
        <f t="shared" si="7"/>
        <v>67.3</v>
      </c>
    </row>
    <row r="168" spans="1:8" s="2" customFormat="1">
      <c r="A168" s="7" t="s">
        <v>145</v>
      </c>
      <c r="B168" s="7" t="str">
        <f t="shared" si="8"/>
        <v>06</v>
      </c>
      <c r="C168" s="7" t="str">
        <f>"16"</f>
        <v>16</v>
      </c>
      <c r="D168" s="7" t="str">
        <f>"20210030616"</f>
        <v>20210030616</v>
      </c>
      <c r="E168" s="7" t="s">
        <v>176</v>
      </c>
      <c r="F168" s="7">
        <v>52</v>
      </c>
      <c r="G168" s="7">
        <v>72</v>
      </c>
      <c r="H168" s="8">
        <f t="shared" si="7"/>
        <v>58</v>
      </c>
    </row>
    <row r="169" spans="1:8" s="2" customFormat="1">
      <c r="A169" s="7" t="s">
        <v>145</v>
      </c>
      <c r="B169" s="7" t="str">
        <f t="shared" si="8"/>
        <v>06</v>
      </c>
      <c r="C169" s="7" t="str">
        <f>"17"</f>
        <v>17</v>
      </c>
      <c r="D169" s="7" t="str">
        <f>"20210030617"</f>
        <v>20210030617</v>
      </c>
      <c r="E169" s="7" t="s">
        <v>177</v>
      </c>
      <c r="F169" s="7">
        <v>68</v>
      </c>
      <c r="G169" s="7">
        <v>73</v>
      </c>
      <c r="H169" s="8">
        <f t="shared" si="7"/>
        <v>69.5</v>
      </c>
    </row>
    <row r="170" spans="1:8" s="2" customFormat="1">
      <c r="A170" s="7" t="s">
        <v>145</v>
      </c>
      <c r="B170" s="7" t="str">
        <f t="shared" si="8"/>
        <v>06</v>
      </c>
      <c r="C170" s="7" t="str">
        <f>"18"</f>
        <v>18</v>
      </c>
      <c r="D170" s="7" t="str">
        <f>"20210030618"</f>
        <v>20210030618</v>
      </c>
      <c r="E170" s="7" t="s">
        <v>178</v>
      </c>
      <c r="F170" s="7">
        <v>61</v>
      </c>
      <c r="G170" s="7">
        <v>66</v>
      </c>
      <c r="H170" s="8">
        <f t="shared" si="7"/>
        <v>62.5</v>
      </c>
    </row>
    <row r="171" spans="1:8" s="2" customFormat="1">
      <c r="A171" s="7" t="s">
        <v>145</v>
      </c>
      <c r="B171" s="7" t="str">
        <f t="shared" si="8"/>
        <v>06</v>
      </c>
      <c r="C171" s="7" t="str">
        <f>"19"</f>
        <v>19</v>
      </c>
      <c r="D171" s="7" t="str">
        <f>"20210030619"</f>
        <v>20210030619</v>
      </c>
      <c r="E171" s="7" t="s">
        <v>179</v>
      </c>
      <c r="F171" s="7">
        <v>53.5</v>
      </c>
      <c r="G171" s="7">
        <v>72</v>
      </c>
      <c r="H171" s="8">
        <f t="shared" si="7"/>
        <v>59.05</v>
      </c>
    </row>
    <row r="172" spans="1:8" s="2" customFormat="1">
      <c r="A172" s="7" t="s">
        <v>145</v>
      </c>
      <c r="B172" s="7" t="str">
        <f t="shared" si="8"/>
        <v>06</v>
      </c>
      <c r="C172" s="7" t="str">
        <f>"20"</f>
        <v>20</v>
      </c>
      <c r="D172" s="7" t="str">
        <f>"20210030620"</f>
        <v>20210030620</v>
      </c>
      <c r="E172" s="7" t="s">
        <v>180</v>
      </c>
      <c r="F172" s="7">
        <v>64</v>
      </c>
      <c r="G172" s="7">
        <v>83</v>
      </c>
      <c r="H172" s="8">
        <f t="shared" si="7"/>
        <v>69.699999999999989</v>
      </c>
    </row>
    <row r="173" spans="1:8" s="2" customFormat="1">
      <c r="A173" s="7" t="s">
        <v>145</v>
      </c>
      <c r="B173" s="7" t="str">
        <f t="shared" si="8"/>
        <v>06</v>
      </c>
      <c r="C173" s="7" t="str">
        <f>"21"</f>
        <v>21</v>
      </c>
      <c r="D173" s="7" t="str">
        <f>"20210030621"</f>
        <v>20210030621</v>
      </c>
      <c r="E173" s="7" t="s">
        <v>181</v>
      </c>
      <c r="F173" s="7">
        <v>66</v>
      </c>
      <c r="G173" s="7">
        <v>83</v>
      </c>
      <c r="H173" s="8">
        <f t="shared" si="7"/>
        <v>71.099999999999994</v>
      </c>
    </row>
    <row r="174" spans="1:8" s="2" customFormat="1">
      <c r="A174" s="7" t="s">
        <v>145</v>
      </c>
      <c r="B174" s="7" t="str">
        <f t="shared" si="8"/>
        <v>06</v>
      </c>
      <c r="C174" s="7" t="str">
        <f>"22"</f>
        <v>22</v>
      </c>
      <c r="D174" s="7" t="str">
        <f>"20210030622"</f>
        <v>20210030622</v>
      </c>
      <c r="E174" s="7" t="s">
        <v>182</v>
      </c>
      <c r="F174" s="7">
        <v>51.5</v>
      </c>
      <c r="G174" s="7">
        <v>46</v>
      </c>
      <c r="H174" s="8">
        <f t="shared" si="7"/>
        <v>49.849999999999994</v>
      </c>
    </row>
    <row r="175" spans="1:8" s="2" customFormat="1">
      <c r="A175" s="7" t="s">
        <v>145</v>
      </c>
      <c r="B175" s="7" t="str">
        <f t="shared" si="8"/>
        <v>06</v>
      </c>
      <c r="C175" s="7" t="str">
        <f>"23"</f>
        <v>23</v>
      </c>
      <c r="D175" s="7" t="str">
        <f>"20210030623"</f>
        <v>20210030623</v>
      </c>
      <c r="E175" s="7" t="s">
        <v>183</v>
      </c>
      <c r="F175" s="7">
        <v>43</v>
      </c>
      <c r="G175" s="7">
        <v>31</v>
      </c>
      <c r="H175" s="8">
        <f t="shared" si="7"/>
        <v>39.4</v>
      </c>
    </row>
    <row r="176" spans="1:8" s="2" customFormat="1">
      <c r="A176" s="7" t="s">
        <v>145</v>
      </c>
      <c r="B176" s="7" t="str">
        <f t="shared" si="8"/>
        <v>06</v>
      </c>
      <c r="C176" s="7" t="str">
        <f>"24"</f>
        <v>24</v>
      </c>
      <c r="D176" s="7" t="str">
        <f>"20210030624"</f>
        <v>20210030624</v>
      </c>
      <c r="E176" s="7" t="s">
        <v>184</v>
      </c>
      <c r="F176" s="7">
        <v>50.5</v>
      </c>
      <c r="G176" s="7">
        <v>44</v>
      </c>
      <c r="H176" s="8">
        <f t="shared" si="7"/>
        <v>48.55</v>
      </c>
    </row>
    <row r="177" spans="1:8" s="2" customFormat="1">
      <c r="A177" s="7" t="s">
        <v>145</v>
      </c>
      <c r="B177" s="7" t="str">
        <f t="shared" si="8"/>
        <v>06</v>
      </c>
      <c r="C177" s="7" t="str">
        <f>"25"</f>
        <v>25</v>
      </c>
      <c r="D177" s="7" t="str">
        <f>"20210030625"</f>
        <v>20210030625</v>
      </c>
      <c r="E177" s="7" t="s">
        <v>185</v>
      </c>
      <c r="F177" s="7">
        <v>56.5</v>
      </c>
      <c r="G177" s="7">
        <v>42</v>
      </c>
      <c r="H177" s="8">
        <f t="shared" si="7"/>
        <v>52.15</v>
      </c>
    </row>
    <row r="178" spans="1:8" s="2" customFormat="1">
      <c r="A178" s="7" t="s">
        <v>145</v>
      </c>
      <c r="B178" s="7" t="str">
        <f t="shared" si="8"/>
        <v>06</v>
      </c>
      <c r="C178" s="7" t="str">
        <f>"26"</f>
        <v>26</v>
      </c>
      <c r="D178" s="7" t="str">
        <f>"20210030626"</f>
        <v>20210030626</v>
      </c>
      <c r="E178" s="7" t="s">
        <v>186</v>
      </c>
      <c r="F178" s="7">
        <v>49</v>
      </c>
      <c r="G178" s="7">
        <v>52</v>
      </c>
      <c r="H178" s="8">
        <f t="shared" si="7"/>
        <v>49.9</v>
      </c>
    </row>
    <row r="179" spans="1:8" s="2" customFormat="1">
      <c r="A179" s="7" t="s">
        <v>145</v>
      </c>
      <c r="B179" s="7" t="str">
        <f t="shared" si="8"/>
        <v>06</v>
      </c>
      <c r="C179" s="7" t="str">
        <f>"27"</f>
        <v>27</v>
      </c>
      <c r="D179" s="7" t="str">
        <f>"20210030627"</f>
        <v>20210030627</v>
      </c>
      <c r="E179" s="7" t="s">
        <v>187</v>
      </c>
      <c r="F179" s="7">
        <v>60</v>
      </c>
      <c r="G179" s="7">
        <v>62</v>
      </c>
      <c r="H179" s="8">
        <f t="shared" si="7"/>
        <v>60.599999999999994</v>
      </c>
    </row>
    <row r="180" spans="1:8" s="2" customFormat="1">
      <c r="A180" s="7" t="s">
        <v>145</v>
      </c>
      <c r="B180" s="7" t="str">
        <f t="shared" si="8"/>
        <v>06</v>
      </c>
      <c r="C180" s="7" t="str">
        <f>"28"</f>
        <v>28</v>
      </c>
      <c r="D180" s="7" t="str">
        <f>"20210030628"</f>
        <v>20210030628</v>
      </c>
      <c r="E180" s="7" t="s">
        <v>188</v>
      </c>
      <c r="F180" s="7">
        <v>54.5</v>
      </c>
      <c r="G180" s="7">
        <v>42</v>
      </c>
      <c r="H180" s="8">
        <f t="shared" si="7"/>
        <v>50.75</v>
      </c>
    </row>
    <row r="181" spans="1:8" s="2" customFormat="1">
      <c r="A181" s="7" t="s">
        <v>145</v>
      </c>
      <c r="B181" s="7" t="str">
        <f t="shared" si="8"/>
        <v>06</v>
      </c>
      <c r="C181" s="7" t="str">
        <f>"29"</f>
        <v>29</v>
      </c>
      <c r="D181" s="7" t="str">
        <f>"20210030629"</f>
        <v>20210030629</v>
      </c>
      <c r="E181" s="7" t="s">
        <v>189</v>
      </c>
      <c r="F181" s="7">
        <v>73</v>
      </c>
      <c r="G181" s="7">
        <v>74</v>
      </c>
      <c r="H181" s="8">
        <f t="shared" si="7"/>
        <v>73.3</v>
      </c>
    </row>
    <row r="182" spans="1:8" s="2" customFormat="1">
      <c r="A182" s="7" t="s">
        <v>145</v>
      </c>
      <c r="B182" s="7" t="str">
        <f t="shared" si="8"/>
        <v>06</v>
      </c>
      <c r="C182" s="7" t="str">
        <f>"30"</f>
        <v>30</v>
      </c>
      <c r="D182" s="7" t="str">
        <f>"20210030630"</f>
        <v>20210030630</v>
      </c>
      <c r="E182" s="7" t="s">
        <v>190</v>
      </c>
      <c r="F182" s="7">
        <v>72</v>
      </c>
      <c r="G182" s="7">
        <v>77</v>
      </c>
      <c r="H182" s="8">
        <f t="shared" si="7"/>
        <v>73.5</v>
      </c>
    </row>
    <row r="183" spans="1:8" s="2" customFormat="1">
      <c r="A183" s="7" t="s">
        <v>145</v>
      </c>
      <c r="B183" s="7" t="str">
        <f t="shared" ref="B183:B212" si="9">"07"</f>
        <v>07</v>
      </c>
      <c r="C183" s="7" t="str">
        <f>"01"</f>
        <v>01</v>
      </c>
      <c r="D183" s="7" t="str">
        <f>"20210030701"</f>
        <v>20210030701</v>
      </c>
      <c r="E183" s="7" t="s">
        <v>191</v>
      </c>
      <c r="F183" s="7">
        <v>0</v>
      </c>
      <c r="G183" s="7">
        <v>0</v>
      </c>
      <c r="H183" s="8">
        <f t="shared" si="7"/>
        <v>0</v>
      </c>
    </row>
    <row r="184" spans="1:8" s="2" customFormat="1">
      <c r="A184" s="7" t="s">
        <v>145</v>
      </c>
      <c r="B184" s="7" t="str">
        <f t="shared" si="9"/>
        <v>07</v>
      </c>
      <c r="C184" s="7" t="str">
        <f>"02"</f>
        <v>02</v>
      </c>
      <c r="D184" s="7" t="str">
        <f>"20210030702"</f>
        <v>20210030702</v>
      </c>
      <c r="E184" s="7" t="s">
        <v>192</v>
      </c>
      <c r="F184" s="7">
        <v>67</v>
      </c>
      <c r="G184" s="7">
        <v>86</v>
      </c>
      <c r="H184" s="8">
        <f t="shared" si="7"/>
        <v>72.7</v>
      </c>
    </row>
    <row r="185" spans="1:8" s="2" customFormat="1">
      <c r="A185" s="7" t="s">
        <v>145</v>
      </c>
      <c r="B185" s="7" t="str">
        <f t="shared" si="9"/>
        <v>07</v>
      </c>
      <c r="C185" s="7" t="str">
        <f>"03"</f>
        <v>03</v>
      </c>
      <c r="D185" s="7" t="str">
        <f>"20210030703"</f>
        <v>20210030703</v>
      </c>
      <c r="E185" s="7" t="s">
        <v>193</v>
      </c>
      <c r="F185" s="7">
        <v>58</v>
      </c>
      <c r="G185" s="7">
        <v>74</v>
      </c>
      <c r="H185" s="8">
        <f t="shared" si="7"/>
        <v>62.8</v>
      </c>
    </row>
    <row r="186" spans="1:8" s="2" customFormat="1">
      <c r="A186" s="7" t="s">
        <v>145</v>
      </c>
      <c r="B186" s="7" t="str">
        <f t="shared" si="9"/>
        <v>07</v>
      </c>
      <c r="C186" s="7" t="str">
        <f>"04"</f>
        <v>04</v>
      </c>
      <c r="D186" s="7" t="str">
        <f>"20210030704"</f>
        <v>20210030704</v>
      </c>
      <c r="E186" s="7" t="s">
        <v>194</v>
      </c>
      <c r="F186" s="7">
        <v>54</v>
      </c>
      <c r="G186" s="7">
        <v>66</v>
      </c>
      <c r="H186" s="8">
        <f t="shared" si="7"/>
        <v>57.599999999999994</v>
      </c>
    </row>
    <row r="187" spans="1:8" s="2" customFormat="1">
      <c r="A187" s="7" t="s">
        <v>145</v>
      </c>
      <c r="B187" s="7" t="str">
        <f t="shared" si="9"/>
        <v>07</v>
      </c>
      <c r="C187" s="7" t="str">
        <f>"05"</f>
        <v>05</v>
      </c>
      <c r="D187" s="7" t="str">
        <f>"20210030705"</f>
        <v>20210030705</v>
      </c>
      <c r="E187" s="7" t="s">
        <v>195</v>
      </c>
      <c r="F187" s="7">
        <v>48</v>
      </c>
      <c r="G187" s="7">
        <v>47</v>
      </c>
      <c r="H187" s="8">
        <f t="shared" si="7"/>
        <v>47.699999999999996</v>
      </c>
    </row>
    <row r="188" spans="1:8" s="2" customFormat="1">
      <c r="A188" s="7" t="s">
        <v>145</v>
      </c>
      <c r="B188" s="7" t="str">
        <f t="shared" si="9"/>
        <v>07</v>
      </c>
      <c r="C188" s="7" t="str">
        <f>"06"</f>
        <v>06</v>
      </c>
      <c r="D188" s="7" t="str">
        <f>"20210030706"</f>
        <v>20210030706</v>
      </c>
      <c r="E188" s="7" t="s">
        <v>196</v>
      </c>
      <c r="F188" s="7">
        <v>34</v>
      </c>
      <c r="G188" s="7">
        <v>26</v>
      </c>
      <c r="H188" s="8">
        <f t="shared" si="7"/>
        <v>31.599999999999998</v>
      </c>
    </row>
    <row r="189" spans="1:8" s="2" customFormat="1">
      <c r="A189" s="7" t="s">
        <v>145</v>
      </c>
      <c r="B189" s="7" t="str">
        <f t="shared" si="9"/>
        <v>07</v>
      </c>
      <c r="C189" s="7" t="str">
        <f>"07"</f>
        <v>07</v>
      </c>
      <c r="D189" s="7" t="str">
        <f>"20210030707"</f>
        <v>20210030707</v>
      </c>
      <c r="E189" s="7" t="s">
        <v>197</v>
      </c>
      <c r="F189" s="7">
        <v>53</v>
      </c>
      <c r="G189" s="7">
        <v>72</v>
      </c>
      <c r="H189" s="8">
        <f t="shared" si="7"/>
        <v>58.699999999999989</v>
      </c>
    </row>
    <row r="190" spans="1:8" s="2" customFormat="1">
      <c r="A190" s="7" t="s">
        <v>145</v>
      </c>
      <c r="B190" s="7" t="str">
        <f t="shared" si="9"/>
        <v>07</v>
      </c>
      <c r="C190" s="7" t="str">
        <f>"08"</f>
        <v>08</v>
      </c>
      <c r="D190" s="7" t="str">
        <f>"20210030708"</f>
        <v>20210030708</v>
      </c>
      <c r="E190" s="7" t="s">
        <v>198</v>
      </c>
      <c r="F190" s="7">
        <v>51</v>
      </c>
      <c r="G190" s="7">
        <v>60</v>
      </c>
      <c r="H190" s="8">
        <f t="shared" si="7"/>
        <v>53.699999999999996</v>
      </c>
    </row>
    <row r="191" spans="1:8" s="2" customFormat="1">
      <c r="A191" s="7" t="s">
        <v>145</v>
      </c>
      <c r="B191" s="7" t="str">
        <f t="shared" si="9"/>
        <v>07</v>
      </c>
      <c r="C191" s="7" t="str">
        <f>"09"</f>
        <v>09</v>
      </c>
      <c r="D191" s="7" t="str">
        <f>"20210030709"</f>
        <v>20210030709</v>
      </c>
      <c r="E191" s="7" t="s">
        <v>199</v>
      </c>
      <c r="F191" s="7">
        <v>65</v>
      </c>
      <c r="G191" s="7">
        <v>82</v>
      </c>
      <c r="H191" s="8">
        <f t="shared" si="7"/>
        <v>70.099999999999994</v>
      </c>
    </row>
    <row r="192" spans="1:8" s="2" customFormat="1">
      <c r="A192" s="7" t="s">
        <v>145</v>
      </c>
      <c r="B192" s="7" t="str">
        <f t="shared" si="9"/>
        <v>07</v>
      </c>
      <c r="C192" s="7" t="str">
        <f>"10"</f>
        <v>10</v>
      </c>
      <c r="D192" s="7" t="str">
        <f>"20210030710"</f>
        <v>20210030710</v>
      </c>
      <c r="E192" s="7" t="s">
        <v>200</v>
      </c>
      <c r="F192" s="7">
        <v>54</v>
      </c>
      <c r="G192" s="7">
        <v>69</v>
      </c>
      <c r="H192" s="8">
        <f t="shared" si="7"/>
        <v>58.5</v>
      </c>
    </row>
    <row r="193" spans="1:8" s="2" customFormat="1">
      <c r="A193" s="7" t="s">
        <v>145</v>
      </c>
      <c r="B193" s="7" t="str">
        <f t="shared" si="9"/>
        <v>07</v>
      </c>
      <c r="C193" s="7" t="str">
        <f>"11"</f>
        <v>11</v>
      </c>
      <c r="D193" s="7" t="str">
        <f>"20210030711"</f>
        <v>20210030711</v>
      </c>
      <c r="E193" s="7" t="s">
        <v>201</v>
      </c>
      <c r="F193" s="7">
        <v>43</v>
      </c>
      <c r="G193" s="7">
        <v>54</v>
      </c>
      <c r="H193" s="8">
        <f t="shared" si="7"/>
        <v>46.3</v>
      </c>
    </row>
    <row r="194" spans="1:8" s="2" customFormat="1">
      <c r="A194" s="7" t="s">
        <v>145</v>
      </c>
      <c r="B194" s="7" t="str">
        <f t="shared" si="9"/>
        <v>07</v>
      </c>
      <c r="C194" s="7" t="str">
        <f>"12"</f>
        <v>12</v>
      </c>
      <c r="D194" s="7" t="str">
        <f>"20210030712"</f>
        <v>20210030712</v>
      </c>
      <c r="E194" s="7" t="s">
        <v>202</v>
      </c>
      <c r="F194" s="7">
        <v>56</v>
      </c>
      <c r="G194" s="7">
        <v>70</v>
      </c>
      <c r="H194" s="8">
        <f t="shared" si="7"/>
        <v>60.199999999999996</v>
      </c>
    </row>
    <row r="195" spans="1:8" s="2" customFormat="1">
      <c r="A195" s="7" t="s">
        <v>145</v>
      </c>
      <c r="B195" s="7" t="str">
        <f t="shared" si="9"/>
        <v>07</v>
      </c>
      <c r="C195" s="7" t="str">
        <f>"13"</f>
        <v>13</v>
      </c>
      <c r="D195" s="7" t="str">
        <f>"20210030713"</f>
        <v>20210030713</v>
      </c>
      <c r="E195" s="7" t="s">
        <v>203</v>
      </c>
      <c r="F195" s="7">
        <v>55</v>
      </c>
      <c r="G195" s="7">
        <v>78</v>
      </c>
      <c r="H195" s="8">
        <f t="shared" ref="H195:H258" si="10">F195*0.7+G195*0.3</f>
        <v>61.9</v>
      </c>
    </row>
    <row r="196" spans="1:8" s="2" customFormat="1">
      <c r="A196" s="7" t="s">
        <v>145</v>
      </c>
      <c r="B196" s="7" t="str">
        <f t="shared" si="9"/>
        <v>07</v>
      </c>
      <c r="C196" s="7" t="str">
        <f>"14"</f>
        <v>14</v>
      </c>
      <c r="D196" s="7" t="str">
        <f>"20210030714"</f>
        <v>20210030714</v>
      </c>
      <c r="E196" s="7" t="s">
        <v>204</v>
      </c>
      <c r="F196" s="7">
        <v>82</v>
      </c>
      <c r="G196" s="7">
        <v>77</v>
      </c>
      <c r="H196" s="8">
        <f t="shared" si="10"/>
        <v>80.5</v>
      </c>
    </row>
    <row r="197" spans="1:8" s="2" customFormat="1">
      <c r="A197" s="7" t="s">
        <v>145</v>
      </c>
      <c r="B197" s="7" t="str">
        <f t="shared" si="9"/>
        <v>07</v>
      </c>
      <c r="C197" s="7" t="str">
        <f>"15"</f>
        <v>15</v>
      </c>
      <c r="D197" s="7" t="str">
        <f>"20210030715"</f>
        <v>20210030715</v>
      </c>
      <c r="E197" s="7" t="s">
        <v>205</v>
      </c>
      <c r="F197" s="7">
        <v>56</v>
      </c>
      <c r="G197" s="7">
        <v>80</v>
      </c>
      <c r="H197" s="8">
        <f t="shared" si="10"/>
        <v>63.199999999999996</v>
      </c>
    </row>
    <row r="198" spans="1:8" s="2" customFormat="1">
      <c r="A198" s="7" t="s">
        <v>145</v>
      </c>
      <c r="B198" s="7" t="str">
        <f t="shared" si="9"/>
        <v>07</v>
      </c>
      <c r="C198" s="7" t="str">
        <f>"16"</f>
        <v>16</v>
      </c>
      <c r="D198" s="7" t="str">
        <f>"20210030716"</f>
        <v>20210030716</v>
      </c>
      <c r="E198" s="7" t="s">
        <v>206</v>
      </c>
      <c r="F198" s="7">
        <v>55</v>
      </c>
      <c r="G198" s="7">
        <v>53</v>
      </c>
      <c r="H198" s="8">
        <f t="shared" si="10"/>
        <v>54.4</v>
      </c>
    </row>
    <row r="199" spans="1:8" s="2" customFormat="1">
      <c r="A199" s="7" t="s">
        <v>145</v>
      </c>
      <c r="B199" s="7" t="str">
        <f t="shared" si="9"/>
        <v>07</v>
      </c>
      <c r="C199" s="7" t="str">
        <f>"17"</f>
        <v>17</v>
      </c>
      <c r="D199" s="7" t="str">
        <f>"20210030717"</f>
        <v>20210030717</v>
      </c>
      <c r="E199" s="7" t="s">
        <v>207</v>
      </c>
      <c r="F199" s="7">
        <v>38</v>
      </c>
      <c r="G199" s="7">
        <v>52</v>
      </c>
      <c r="H199" s="8">
        <f t="shared" si="10"/>
        <v>42.199999999999996</v>
      </c>
    </row>
    <row r="200" spans="1:8" s="2" customFormat="1">
      <c r="A200" s="7" t="s">
        <v>145</v>
      </c>
      <c r="B200" s="7" t="str">
        <f t="shared" si="9"/>
        <v>07</v>
      </c>
      <c r="C200" s="7" t="str">
        <f>"18"</f>
        <v>18</v>
      </c>
      <c r="D200" s="7" t="str">
        <f>"20210030718"</f>
        <v>20210030718</v>
      </c>
      <c r="E200" s="7" t="s">
        <v>208</v>
      </c>
      <c r="F200" s="7">
        <v>53</v>
      </c>
      <c r="G200" s="7">
        <v>81</v>
      </c>
      <c r="H200" s="8">
        <f t="shared" si="10"/>
        <v>61.399999999999991</v>
      </c>
    </row>
    <row r="201" spans="1:8" s="2" customFormat="1">
      <c r="A201" s="7" t="s">
        <v>145</v>
      </c>
      <c r="B201" s="7" t="str">
        <f t="shared" si="9"/>
        <v>07</v>
      </c>
      <c r="C201" s="7" t="str">
        <f>"19"</f>
        <v>19</v>
      </c>
      <c r="D201" s="7" t="str">
        <f>"20210030719"</f>
        <v>20210030719</v>
      </c>
      <c r="E201" s="7" t="s">
        <v>209</v>
      </c>
      <c r="F201" s="7">
        <v>56</v>
      </c>
      <c r="G201" s="7">
        <v>80</v>
      </c>
      <c r="H201" s="8">
        <f t="shared" si="10"/>
        <v>63.199999999999996</v>
      </c>
    </row>
    <row r="202" spans="1:8" s="2" customFormat="1">
      <c r="A202" s="7" t="s">
        <v>145</v>
      </c>
      <c r="B202" s="7" t="str">
        <f t="shared" si="9"/>
        <v>07</v>
      </c>
      <c r="C202" s="7" t="str">
        <f>"20"</f>
        <v>20</v>
      </c>
      <c r="D202" s="7" t="str">
        <f>"20210030720"</f>
        <v>20210030720</v>
      </c>
      <c r="E202" s="7" t="s">
        <v>210</v>
      </c>
      <c r="F202" s="7">
        <v>61</v>
      </c>
      <c r="G202" s="7">
        <v>66</v>
      </c>
      <c r="H202" s="8">
        <f t="shared" si="10"/>
        <v>62.5</v>
      </c>
    </row>
    <row r="203" spans="1:8" s="2" customFormat="1">
      <c r="A203" s="7" t="s">
        <v>145</v>
      </c>
      <c r="B203" s="7" t="str">
        <f t="shared" si="9"/>
        <v>07</v>
      </c>
      <c r="C203" s="7" t="str">
        <f>"21"</f>
        <v>21</v>
      </c>
      <c r="D203" s="7" t="str">
        <f>"20210030721"</f>
        <v>20210030721</v>
      </c>
      <c r="E203" s="7" t="s">
        <v>211</v>
      </c>
      <c r="F203" s="7">
        <v>50</v>
      </c>
      <c r="G203" s="7">
        <v>71</v>
      </c>
      <c r="H203" s="8">
        <f t="shared" si="10"/>
        <v>56.3</v>
      </c>
    </row>
    <row r="204" spans="1:8" s="2" customFormat="1">
      <c r="A204" s="7" t="s">
        <v>145</v>
      </c>
      <c r="B204" s="7" t="str">
        <f t="shared" si="9"/>
        <v>07</v>
      </c>
      <c r="C204" s="7" t="str">
        <f>"22"</f>
        <v>22</v>
      </c>
      <c r="D204" s="7" t="str">
        <f>"20210030722"</f>
        <v>20210030722</v>
      </c>
      <c r="E204" s="7" t="s">
        <v>212</v>
      </c>
      <c r="F204" s="7">
        <v>49</v>
      </c>
      <c r="G204" s="7">
        <v>60</v>
      </c>
      <c r="H204" s="8">
        <f t="shared" si="10"/>
        <v>52.3</v>
      </c>
    </row>
    <row r="205" spans="1:8" s="2" customFormat="1">
      <c r="A205" s="7" t="s">
        <v>145</v>
      </c>
      <c r="B205" s="7" t="str">
        <f t="shared" si="9"/>
        <v>07</v>
      </c>
      <c r="C205" s="7" t="str">
        <f>"23"</f>
        <v>23</v>
      </c>
      <c r="D205" s="7" t="str">
        <f>"20210030723"</f>
        <v>20210030723</v>
      </c>
      <c r="E205" s="7" t="s">
        <v>213</v>
      </c>
      <c r="F205" s="7">
        <v>48</v>
      </c>
      <c r="G205" s="7">
        <v>44</v>
      </c>
      <c r="H205" s="8">
        <f t="shared" si="10"/>
        <v>46.8</v>
      </c>
    </row>
    <row r="206" spans="1:8" s="2" customFormat="1">
      <c r="A206" s="7" t="s">
        <v>145</v>
      </c>
      <c r="B206" s="7" t="str">
        <f t="shared" si="9"/>
        <v>07</v>
      </c>
      <c r="C206" s="7" t="str">
        <f>"24"</f>
        <v>24</v>
      </c>
      <c r="D206" s="7" t="str">
        <f>"20210030724"</f>
        <v>20210030724</v>
      </c>
      <c r="E206" s="7" t="s">
        <v>214</v>
      </c>
      <c r="F206" s="7">
        <v>58</v>
      </c>
      <c r="G206" s="7">
        <v>72</v>
      </c>
      <c r="H206" s="8">
        <f t="shared" si="10"/>
        <v>62.199999999999989</v>
      </c>
    </row>
    <row r="207" spans="1:8" s="2" customFormat="1">
      <c r="A207" s="7" t="s">
        <v>145</v>
      </c>
      <c r="B207" s="7" t="str">
        <f t="shared" si="9"/>
        <v>07</v>
      </c>
      <c r="C207" s="7" t="str">
        <f>"25"</f>
        <v>25</v>
      </c>
      <c r="D207" s="7" t="str">
        <f>"20210030725"</f>
        <v>20210030725</v>
      </c>
      <c r="E207" s="7" t="s">
        <v>215</v>
      </c>
      <c r="F207" s="7">
        <v>54</v>
      </c>
      <c r="G207" s="7">
        <v>59</v>
      </c>
      <c r="H207" s="8">
        <f t="shared" si="10"/>
        <v>55.5</v>
      </c>
    </row>
    <row r="208" spans="1:8" s="2" customFormat="1">
      <c r="A208" s="7" t="s">
        <v>145</v>
      </c>
      <c r="B208" s="7" t="str">
        <f t="shared" si="9"/>
        <v>07</v>
      </c>
      <c r="C208" s="7" t="str">
        <f>"26"</f>
        <v>26</v>
      </c>
      <c r="D208" s="7" t="str">
        <f>"20210030726"</f>
        <v>20210030726</v>
      </c>
      <c r="E208" s="7" t="s">
        <v>216</v>
      </c>
      <c r="F208" s="7">
        <v>85.5</v>
      </c>
      <c r="G208" s="7">
        <v>64</v>
      </c>
      <c r="H208" s="8">
        <f t="shared" si="10"/>
        <v>79.05</v>
      </c>
    </row>
    <row r="209" spans="1:8" s="2" customFormat="1">
      <c r="A209" s="7" t="s">
        <v>145</v>
      </c>
      <c r="B209" s="7" t="str">
        <f t="shared" si="9"/>
        <v>07</v>
      </c>
      <c r="C209" s="7" t="str">
        <f>"27"</f>
        <v>27</v>
      </c>
      <c r="D209" s="7" t="str">
        <f>"20210030727"</f>
        <v>20210030727</v>
      </c>
      <c r="E209" s="7" t="s">
        <v>217</v>
      </c>
      <c r="F209" s="7">
        <v>59</v>
      </c>
      <c r="G209" s="7">
        <v>79</v>
      </c>
      <c r="H209" s="8">
        <f t="shared" si="10"/>
        <v>65</v>
      </c>
    </row>
    <row r="210" spans="1:8" s="2" customFormat="1">
      <c r="A210" s="7" t="s">
        <v>145</v>
      </c>
      <c r="B210" s="7" t="str">
        <f t="shared" si="9"/>
        <v>07</v>
      </c>
      <c r="C210" s="7" t="str">
        <f>"28"</f>
        <v>28</v>
      </c>
      <c r="D210" s="7" t="str">
        <f>"20210030728"</f>
        <v>20210030728</v>
      </c>
      <c r="E210" s="7" t="s">
        <v>218</v>
      </c>
      <c r="F210" s="7">
        <v>55</v>
      </c>
      <c r="G210" s="7">
        <v>45</v>
      </c>
      <c r="H210" s="8">
        <f t="shared" si="10"/>
        <v>52</v>
      </c>
    </row>
    <row r="211" spans="1:8" s="2" customFormat="1">
      <c r="A211" s="7" t="s">
        <v>219</v>
      </c>
      <c r="B211" s="7" t="str">
        <f t="shared" si="9"/>
        <v>07</v>
      </c>
      <c r="C211" s="7" t="str">
        <f>"29"</f>
        <v>29</v>
      </c>
      <c r="D211" s="7" t="str">
        <f>"20210040729"</f>
        <v>20210040729</v>
      </c>
      <c r="E211" s="7" t="s">
        <v>220</v>
      </c>
      <c r="F211" s="7">
        <v>64</v>
      </c>
      <c r="G211" s="7">
        <v>64</v>
      </c>
      <c r="H211" s="8">
        <f t="shared" si="10"/>
        <v>64</v>
      </c>
    </row>
    <row r="212" spans="1:8" s="2" customFormat="1">
      <c r="A212" s="7" t="s">
        <v>219</v>
      </c>
      <c r="B212" s="7" t="str">
        <f t="shared" si="9"/>
        <v>07</v>
      </c>
      <c r="C212" s="7" t="str">
        <f>"30"</f>
        <v>30</v>
      </c>
      <c r="D212" s="7" t="str">
        <f>"20210040730"</f>
        <v>20210040730</v>
      </c>
      <c r="E212" s="7" t="s">
        <v>221</v>
      </c>
      <c r="F212" s="7">
        <v>49</v>
      </c>
      <c r="G212" s="7">
        <v>60</v>
      </c>
      <c r="H212" s="8">
        <f t="shared" si="10"/>
        <v>52.3</v>
      </c>
    </row>
    <row r="213" spans="1:8" s="2" customFormat="1">
      <c r="A213" s="7" t="s">
        <v>219</v>
      </c>
      <c r="B213" s="7" t="str">
        <f t="shared" ref="B213:B242" si="11">"08"</f>
        <v>08</v>
      </c>
      <c r="C213" s="7" t="str">
        <f>"01"</f>
        <v>01</v>
      </c>
      <c r="D213" s="7" t="str">
        <f>"20210040801"</f>
        <v>20210040801</v>
      </c>
      <c r="E213" s="7" t="s">
        <v>222</v>
      </c>
      <c r="F213" s="7">
        <v>58</v>
      </c>
      <c r="G213" s="7">
        <v>74</v>
      </c>
      <c r="H213" s="8">
        <f t="shared" si="10"/>
        <v>62.8</v>
      </c>
    </row>
    <row r="214" spans="1:8" s="2" customFormat="1">
      <c r="A214" s="7" t="s">
        <v>219</v>
      </c>
      <c r="B214" s="7" t="str">
        <f t="shared" si="11"/>
        <v>08</v>
      </c>
      <c r="C214" s="7" t="str">
        <f>"02"</f>
        <v>02</v>
      </c>
      <c r="D214" s="7" t="str">
        <f>"20210040802"</f>
        <v>20210040802</v>
      </c>
      <c r="E214" s="7" t="s">
        <v>223</v>
      </c>
      <c r="F214" s="7">
        <v>29</v>
      </c>
      <c r="G214" s="7">
        <v>28</v>
      </c>
      <c r="H214" s="8">
        <f t="shared" si="10"/>
        <v>28.699999999999996</v>
      </c>
    </row>
    <row r="215" spans="1:8" s="2" customFormat="1">
      <c r="A215" s="7" t="s">
        <v>219</v>
      </c>
      <c r="B215" s="7" t="str">
        <f t="shared" si="11"/>
        <v>08</v>
      </c>
      <c r="C215" s="7" t="str">
        <f>"03"</f>
        <v>03</v>
      </c>
      <c r="D215" s="7" t="str">
        <f>"20210040803"</f>
        <v>20210040803</v>
      </c>
      <c r="E215" s="7" t="s">
        <v>224</v>
      </c>
      <c r="F215" s="7">
        <v>58.5</v>
      </c>
      <c r="G215" s="7">
        <v>58</v>
      </c>
      <c r="H215" s="8">
        <f t="shared" si="10"/>
        <v>58.349999999999994</v>
      </c>
    </row>
    <row r="216" spans="1:8" s="2" customFormat="1">
      <c r="A216" s="7" t="s">
        <v>219</v>
      </c>
      <c r="B216" s="7" t="str">
        <f t="shared" si="11"/>
        <v>08</v>
      </c>
      <c r="C216" s="7" t="str">
        <f>"04"</f>
        <v>04</v>
      </c>
      <c r="D216" s="7" t="str">
        <f>"20210040804"</f>
        <v>20210040804</v>
      </c>
      <c r="E216" s="7" t="s">
        <v>225</v>
      </c>
      <c r="F216" s="7">
        <v>0</v>
      </c>
      <c r="G216" s="7">
        <v>0</v>
      </c>
      <c r="H216" s="8">
        <f t="shared" si="10"/>
        <v>0</v>
      </c>
    </row>
    <row r="217" spans="1:8" s="2" customFormat="1">
      <c r="A217" s="7" t="s">
        <v>219</v>
      </c>
      <c r="B217" s="7" t="str">
        <f t="shared" si="11"/>
        <v>08</v>
      </c>
      <c r="C217" s="7" t="str">
        <f>"05"</f>
        <v>05</v>
      </c>
      <c r="D217" s="7" t="str">
        <f>"20210040805"</f>
        <v>20210040805</v>
      </c>
      <c r="E217" s="7" t="s">
        <v>226</v>
      </c>
      <c r="F217" s="7">
        <v>0</v>
      </c>
      <c r="G217" s="7">
        <v>0</v>
      </c>
      <c r="H217" s="8">
        <f t="shared" si="10"/>
        <v>0</v>
      </c>
    </row>
    <row r="218" spans="1:8" s="2" customFormat="1">
      <c r="A218" s="7" t="s">
        <v>219</v>
      </c>
      <c r="B218" s="7" t="str">
        <f t="shared" si="11"/>
        <v>08</v>
      </c>
      <c r="C218" s="7" t="str">
        <f>"06"</f>
        <v>06</v>
      </c>
      <c r="D218" s="7" t="str">
        <f>"20210040806"</f>
        <v>20210040806</v>
      </c>
      <c r="E218" s="7" t="s">
        <v>227</v>
      </c>
      <c r="F218" s="7">
        <v>54</v>
      </c>
      <c r="G218" s="7">
        <v>53</v>
      </c>
      <c r="H218" s="8">
        <f t="shared" si="10"/>
        <v>53.699999999999996</v>
      </c>
    </row>
    <row r="219" spans="1:8" s="2" customFormat="1">
      <c r="A219" s="7" t="s">
        <v>219</v>
      </c>
      <c r="B219" s="7" t="str">
        <f t="shared" si="11"/>
        <v>08</v>
      </c>
      <c r="C219" s="7" t="str">
        <f>"07"</f>
        <v>07</v>
      </c>
      <c r="D219" s="7" t="str">
        <f>"20210040807"</f>
        <v>20210040807</v>
      </c>
      <c r="E219" s="7" t="s">
        <v>228</v>
      </c>
      <c r="F219" s="7">
        <v>0</v>
      </c>
      <c r="G219" s="7">
        <v>0</v>
      </c>
      <c r="H219" s="8">
        <f t="shared" si="10"/>
        <v>0</v>
      </c>
    </row>
    <row r="220" spans="1:8" s="2" customFormat="1">
      <c r="A220" s="7" t="s">
        <v>219</v>
      </c>
      <c r="B220" s="7" t="str">
        <f t="shared" si="11"/>
        <v>08</v>
      </c>
      <c r="C220" s="7" t="str">
        <f>"08"</f>
        <v>08</v>
      </c>
      <c r="D220" s="7" t="str">
        <f>"20210040808"</f>
        <v>20210040808</v>
      </c>
      <c r="E220" s="7" t="s">
        <v>229</v>
      </c>
      <c r="F220" s="7">
        <v>60</v>
      </c>
      <c r="G220" s="7">
        <v>69</v>
      </c>
      <c r="H220" s="8">
        <f t="shared" si="10"/>
        <v>62.7</v>
      </c>
    </row>
    <row r="221" spans="1:8" s="2" customFormat="1">
      <c r="A221" s="7" t="s">
        <v>219</v>
      </c>
      <c r="B221" s="7" t="str">
        <f t="shared" si="11"/>
        <v>08</v>
      </c>
      <c r="C221" s="7" t="str">
        <f>"09"</f>
        <v>09</v>
      </c>
      <c r="D221" s="7" t="str">
        <f>"20210040809"</f>
        <v>20210040809</v>
      </c>
      <c r="E221" s="7" t="s">
        <v>230</v>
      </c>
      <c r="F221" s="7">
        <v>61</v>
      </c>
      <c r="G221" s="7">
        <v>78</v>
      </c>
      <c r="H221" s="8">
        <f t="shared" si="10"/>
        <v>66.099999999999994</v>
      </c>
    </row>
    <row r="222" spans="1:8" s="2" customFormat="1">
      <c r="A222" s="7" t="s">
        <v>219</v>
      </c>
      <c r="B222" s="7" t="str">
        <f t="shared" si="11"/>
        <v>08</v>
      </c>
      <c r="C222" s="7" t="str">
        <f>"10"</f>
        <v>10</v>
      </c>
      <c r="D222" s="7" t="str">
        <f>"20210040810"</f>
        <v>20210040810</v>
      </c>
      <c r="E222" s="7" t="s">
        <v>231</v>
      </c>
      <c r="F222" s="7">
        <v>63</v>
      </c>
      <c r="G222" s="7">
        <v>89</v>
      </c>
      <c r="H222" s="8">
        <f t="shared" si="10"/>
        <v>70.8</v>
      </c>
    </row>
    <row r="223" spans="1:8" s="2" customFormat="1">
      <c r="A223" s="7" t="s">
        <v>219</v>
      </c>
      <c r="B223" s="7" t="str">
        <f t="shared" si="11"/>
        <v>08</v>
      </c>
      <c r="C223" s="7" t="str">
        <f>"11"</f>
        <v>11</v>
      </c>
      <c r="D223" s="7" t="str">
        <f>"20210040811"</f>
        <v>20210040811</v>
      </c>
      <c r="E223" s="7" t="s">
        <v>232</v>
      </c>
      <c r="F223" s="7">
        <v>44</v>
      </c>
      <c r="G223" s="7">
        <v>44</v>
      </c>
      <c r="H223" s="8">
        <f t="shared" si="10"/>
        <v>44</v>
      </c>
    </row>
    <row r="224" spans="1:8" s="2" customFormat="1">
      <c r="A224" s="7" t="s">
        <v>219</v>
      </c>
      <c r="B224" s="7" t="str">
        <f t="shared" si="11"/>
        <v>08</v>
      </c>
      <c r="C224" s="7" t="str">
        <f>"12"</f>
        <v>12</v>
      </c>
      <c r="D224" s="7" t="str">
        <f>"20210040812"</f>
        <v>20210040812</v>
      </c>
      <c r="E224" s="7" t="s">
        <v>233</v>
      </c>
      <c r="F224" s="7">
        <v>83</v>
      </c>
      <c r="G224" s="7">
        <v>81</v>
      </c>
      <c r="H224" s="8">
        <f t="shared" si="10"/>
        <v>82.399999999999991</v>
      </c>
    </row>
    <row r="225" spans="1:8" s="2" customFormat="1">
      <c r="A225" s="7" t="s">
        <v>219</v>
      </c>
      <c r="B225" s="7" t="str">
        <f t="shared" si="11"/>
        <v>08</v>
      </c>
      <c r="C225" s="7" t="str">
        <f>"13"</f>
        <v>13</v>
      </c>
      <c r="D225" s="7" t="str">
        <f>"20210040813"</f>
        <v>20210040813</v>
      </c>
      <c r="E225" s="7" t="s">
        <v>234</v>
      </c>
      <c r="F225" s="7">
        <v>0</v>
      </c>
      <c r="G225" s="7">
        <v>0</v>
      </c>
      <c r="H225" s="8">
        <f t="shared" si="10"/>
        <v>0</v>
      </c>
    </row>
    <row r="226" spans="1:8" s="2" customFormat="1">
      <c r="A226" s="7" t="s">
        <v>219</v>
      </c>
      <c r="B226" s="7" t="str">
        <f t="shared" si="11"/>
        <v>08</v>
      </c>
      <c r="C226" s="7" t="str">
        <f>"14"</f>
        <v>14</v>
      </c>
      <c r="D226" s="7" t="str">
        <f>"20210040814"</f>
        <v>20210040814</v>
      </c>
      <c r="E226" s="7" t="s">
        <v>235</v>
      </c>
      <c r="F226" s="7">
        <v>45</v>
      </c>
      <c r="G226" s="7">
        <v>73</v>
      </c>
      <c r="H226" s="8">
        <f t="shared" si="10"/>
        <v>53.399999999999991</v>
      </c>
    </row>
    <row r="227" spans="1:8" s="2" customFormat="1">
      <c r="A227" s="7" t="s">
        <v>219</v>
      </c>
      <c r="B227" s="7" t="str">
        <f t="shared" si="11"/>
        <v>08</v>
      </c>
      <c r="C227" s="7" t="str">
        <f>"15"</f>
        <v>15</v>
      </c>
      <c r="D227" s="7" t="str">
        <f>"20210040815"</f>
        <v>20210040815</v>
      </c>
      <c r="E227" s="7" t="s">
        <v>236</v>
      </c>
      <c r="F227" s="7">
        <v>56</v>
      </c>
      <c r="G227" s="7">
        <v>79</v>
      </c>
      <c r="H227" s="8">
        <f t="shared" si="10"/>
        <v>62.899999999999991</v>
      </c>
    </row>
    <row r="228" spans="1:8" s="2" customFormat="1">
      <c r="A228" s="7" t="s">
        <v>219</v>
      </c>
      <c r="B228" s="7" t="str">
        <f t="shared" si="11"/>
        <v>08</v>
      </c>
      <c r="C228" s="7" t="str">
        <f>"16"</f>
        <v>16</v>
      </c>
      <c r="D228" s="7" t="str">
        <f>"20210040816"</f>
        <v>20210040816</v>
      </c>
      <c r="E228" s="7" t="s">
        <v>237</v>
      </c>
      <c r="F228" s="7">
        <v>65</v>
      </c>
      <c r="G228" s="7">
        <v>86</v>
      </c>
      <c r="H228" s="8">
        <f t="shared" si="10"/>
        <v>71.3</v>
      </c>
    </row>
    <row r="229" spans="1:8" s="2" customFormat="1">
      <c r="A229" s="7" t="s">
        <v>219</v>
      </c>
      <c r="B229" s="7" t="str">
        <f t="shared" si="11"/>
        <v>08</v>
      </c>
      <c r="C229" s="7" t="str">
        <f>"17"</f>
        <v>17</v>
      </c>
      <c r="D229" s="7" t="str">
        <f>"20210040817"</f>
        <v>20210040817</v>
      </c>
      <c r="E229" s="7" t="s">
        <v>238</v>
      </c>
      <c r="F229" s="7">
        <v>58</v>
      </c>
      <c r="G229" s="7">
        <v>89</v>
      </c>
      <c r="H229" s="8">
        <f t="shared" si="10"/>
        <v>67.3</v>
      </c>
    </row>
    <row r="230" spans="1:8" s="2" customFormat="1">
      <c r="A230" s="7" t="s">
        <v>219</v>
      </c>
      <c r="B230" s="7" t="str">
        <f t="shared" si="11"/>
        <v>08</v>
      </c>
      <c r="C230" s="7" t="str">
        <f>"18"</f>
        <v>18</v>
      </c>
      <c r="D230" s="7" t="str">
        <f>"20210040818"</f>
        <v>20210040818</v>
      </c>
      <c r="E230" s="7" t="s">
        <v>239</v>
      </c>
      <c r="F230" s="7">
        <v>52</v>
      </c>
      <c r="G230" s="7">
        <v>73</v>
      </c>
      <c r="H230" s="8">
        <f t="shared" si="10"/>
        <v>58.3</v>
      </c>
    </row>
    <row r="231" spans="1:8" s="2" customFormat="1">
      <c r="A231" s="7" t="s">
        <v>219</v>
      </c>
      <c r="B231" s="7" t="str">
        <f t="shared" si="11"/>
        <v>08</v>
      </c>
      <c r="C231" s="7" t="str">
        <f>"19"</f>
        <v>19</v>
      </c>
      <c r="D231" s="7" t="str">
        <f>"20210040819"</f>
        <v>20210040819</v>
      </c>
      <c r="E231" s="7" t="s">
        <v>240</v>
      </c>
      <c r="F231" s="7">
        <v>45</v>
      </c>
      <c r="G231" s="7">
        <v>53</v>
      </c>
      <c r="H231" s="8">
        <f t="shared" si="10"/>
        <v>47.399999999999991</v>
      </c>
    </row>
    <row r="232" spans="1:8" s="2" customFormat="1">
      <c r="A232" s="7" t="s">
        <v>219</v>
      </c>
      <c r="B232" s="7" t="str">
        <f t="shared" si="11"/>
        <v>08</v>
      </c>
      <c r="C232" s="7" t="str">
        <f>"20"</f>
        <v>20</v>
      </c>
      <c r="D232" s="7" t="str">
        <f>"20210040820"</f>
        <v>20210040820</v>
      </c>
      <c r="E232" s="7" t="s">
        <v>241</v>
      </c>
      <c r="F232" s="7">
        <v>62</v>
      </c>
      <c r="G232" s="7">
        <v>66</v>
      </c>
      <c r="H232" s="8">
        <f t="shared" si="10"/>
        <v>63.2</v>
      </c>
    </row>
    <row r="233" spans="1:8" s="2" customFormat="1">
      <c r="A233" s="7" t="s">
        <v>219</v>
      </c>
      <c r="B233" s="7" t="str">
        <f t="shared" si="11"/>
        <v>08</v>
      </c>
      <c r="C233" s="7" t="str">
        <f>"21"</f>
        <v>21</v>
      </c>
      <c r="D233" s="7" t="str">
        <f>"20210040821"</f>
        <v>20210040821</v>
      </c>
      <c r="E233" s="7" t="s">
        <v>242</v>
      </c>
      <c r="F233" s="7">
        <v>53</v>
      </c>
      <c r="G233" s="7">
        <v>76</v>
      </c>
      <c r="H233" s="8">
        <f t="shared" si="10"/>
        <v>59.899999999999991</v>
      </c>
    </row>
    <row r="234" spans="1:8" s="2" customFormat="1">
      <c r="A234" s="7" t="s">
        <v>219</v>
      </c>
      <c r="B234" s="7" t="str">
        <f t="shared" si="11"/>
        <v>08</v>
      </c>
      <c r="C234" s="7" t="str">
        <f>"22"</f>
        <v>22</v>
      </c>
      <c r="D234" s="7" t="str">
        <f>"20210040822"</f>
        <v>20210040822</v>
      </c>
      <c r="E234" s="7" t="s">
        <v>243</v>
      </c>
      <c r="F234" s="7">
        <v>36</v>
      </c>
      <c r="G234" s="7">
        <v>49</v>
      </c>
      <c r="H234" s="8">
        <f t="shared" si="10"/>
        <v>39.9</v>
      </c>
    </row>
    <row r="235" spans="1:8" s="2" customFormat="1">
      <c r="A235" s="7" t="s">
        <v>219</v>
      </c>
      <c r="B235" s="7" t="str">
        <f t="shared" si="11"/>
        <v>08</v>
      </c>
      <c r="C235" s="7" t="str">
        <f>"23"</f>
        <v>23</v>
      </c>
      <c r="D235" s="7" t="str">
        <f>"20210040823"</f>
        <v>20210040823</v>
      </c>
      <c r="E235" s="7" t="s">
        <v>244</v>
      </c>
      <c r="F235" s="7">
        <v>66</v>
      </c>
      <c r="G235" s="7">
        <v>82</v>
      </c>
      <c r="H235" s="8">
        <f t="shared" si="10"/>
        <v>70.8</v>
      </c>
    </row>
    <row r="236" spans="1:8" s="2" customFormat="1">
      <c r="A236" s="7" t="s">
        <v>219</v>
      </c>
      <c r="B236" s="7" t="str">
        <f t="shared" si="11"/>
        <v>08</v>
      </c>
      <c r="C236" s="7" t="str">
        <f>"24"</f>
        <v>24</v>
      </c>
      <c r="D236" s="7" t="str">
        <f>"20210040824"</f>
        <v>20210040824</v>
      </c>
      <c r="E236" s="7" t="s">
        <v>245</v>
      </c>
      <c r="F236" s="7">
        <v>63</v>
      </c>
      <c r="G236" s="7">
        <v>81</v>
      </c>
      <c r="H236" s="8">
        <f t="shared" si="10"/>
        <v>68.399999999999991</v>
      </c>
    </row>
    <row r="237" spans="1:8" s="2" customFormat="1">
      <c r="A237" s="7" t="s">
        <v>219</v>
      </c>
      <c r="B237" s="7" t="str">
        <f t="shared" si="11"/>
        <v>08</v>
      </c>
      <c r="C237" s="7" t="str">
        <f>"25"</f>
        <v>25</v>
      </c>
      <c r="D237" s="7" t="str">
        <f>"20210040825"</f>
        <v>20210040825</v>
      </c>
      <c r="E237" s="7" t="s">
        <v>246</v>
      </c>
      <c r="F237" s="7">
        <v>47.5</v>
      </c>
      <c r="G237" s="7">
        <v>50</v>
      </c>
      <c r="H237" s="8">
        <f t="shared" si="10"/>
        <v>48.25</v>
      </c>
    </row>
    <row r="238" spans="1:8" s="2" customFormat="1">
      <c r="A238" s="7" t="s">
        <v>219</v>
      </c>
      <c r="B238" s="7" t="str">
        <f t="shared" si="11"/>
        <v>08</v>
      </c>
      <c r="C238" s="7" t="str">
        <f>"26"</f>
        <v>26</v>
      </c>
      <c r="D238" s="7" t="str">
        <f>"20210040826"</f>
        <v>20210040826</v>
      </c>
      <c r="E238" s="7" t="s">
        <v>247</v>
      </c>
      <c r="F238" s="7">
        <v>53</v>
      </c>
      <c r="G238" s="7">
        <v>61</v>
      </c>
      <c r="H238" s="8">
        <f t="shared" si="10"/>
        <v>55.399999999999991</v>
      </c>
    </row>
    <row r="239" spans="1:8" s="2" customFormat="1">
      <c r="A239" s="7" t="s">
        <v>219</v>
      </c>
      <c r="B239" s="7" t="str">
        <f t="shared" si="11"/>
        <v>08</v>
      </c>
      <c r="C239" s="7" t="str">
        <f>"27"</f>
        <v>27</v>
      </c>
      <c r="D239" s="7" t="str">
        <f>"20210040827"</f>
        <v>20210040827</v>
      </c>
      <c r="E239" s="7" t="s">
        <v>248</v>
      </c>
      <c r="F239" s="7">
        <v>68</v>
      </c>
      <c r="G239" s="7">
        <v>82</v>
      </c>
      <c r="H239" s="8">
        <f t="shared" si="10"/>
        <v>72.199999999999989</v>
      </c>
    </row>
    <row r="240" spans="1:8" s="2" customFormat="1">
      <c r="A240" s="7" t="s">
        <v>219</v>
      </c>
      <c r="B240" s="7" t="str">
        <f t="shared" si="11"/>
        <v>08</v>
      </c>
      <c r="C240" s="7" t="str">
        <f>"28"</f>
        <v>28</v>
      </c>
      <c r="D240" s="7" t="str">
        <f>"20210040828"</f>
        <v>20210040828</v>
      </c>
      <c r="E240" s="7" t="s">
        <v>249</v>
      </c>
      <c r="F240" s="7">
        <v>56</v>
      </c>
      <c r="G240" s="7">
        <v>83</v>
      </c>
      <c r="H240" s="8">
        <f t="shared" si="10"/>
        <v>64.099999999999994</v>
      </c>
    </row>
    <row r="241" spans="1:8" s="2" customFormat="1">
      <c r="A241" s="7" t="s">
        <v>219</v>
      </c>
      <c r="B241" s="7" t="str">
        <f t="shared" si="11"/>
        <v>08</v>
      </c>
      <c r="C241" s="7" t="str">
        <f>"29"</f>
        <v>29</v>
      </c>
      <c r="D241" s="7" t="str">
        <f>"20210040829"</f>
        <v>20210040829</v>
      </c>
      <c r="E241" s="7" t="s">
        <v>250</v>
      </c>
      <c r="F241" s="7">
        <v>65</v>
      </c>
      <c r="G241" s="7">
        <v>79</v>
      </c>
      <c r="H241" s="8">
        <f t="shared" si="10"/>
        <v>69.2</v>
      </c>
    </row>
    <row r="242" spans="1:8" s="2" customFormat="1">
      <c r="A242" s="7" t="s">
        <v>219</v>
      </c>
      <c r="B242" s="7" t="str">
        <f t="shared" si="11"/>
        <v>08</v>
      </c>
      <c r="C242" s="7" t="str">
        <f>"30"</f>
        <v>30</v>
      </c>
      <c r="D242" s="7" t="str">
        <f>"20210040830"</f>
        <v>20210040830</v>
      </c>
      <c r="E242" s="7" t="s">
        <v>251</v>
      </c>
      <c r="F242" s="7">
        <v>56</v>
      </c>
      <c r="G242" s="7">
        <v>70</v>
      </c>
      <c r="H242" s="8">
        <f t="shared" si="10"/>
        <v>60.199999999999996</v>
      </c>
    </row>
    <row r="243" spans="1:8" s="2" customFormat="1">
      <c r="A243" s="7" t="s">
        <v>219</v>
      </c>
      <c r="B243" s="7" t="str">
        <f t="shared" ref="B243:B272" si="12">"09"</f>
        <v>09</v>
      </c>
      <c r="C243" s="7" t="str">
        <f>"01"</f>
        <v>01</v>
      </c>
      <c r="D243" s="7" t="str">
        <f>"20210040901"</f>
        <v>20210040901</v>
      </c>
      <c r="E243" s="7" t="s">
        <v>252</v>
      </c>
      <c r="F243" s="7">
        <v>62</v>
      </c>
      <c r="G243" s="7">
        <v>80</v>
      </c>
      <c r="H243" s="8">
        <f t="shared" si="10"/>
        <v>67.400000000000006</v>
      </c>
    </row>
    <row r="244" spans="1:8" s="2" customFormat="1">
      <c r="A244" s="7" t="s">
        <v>219</v>
      </c>
      <c r="B244" s="7" t="str">
        <f t="shared" si="12"/>
        <v>09</v>
      </c>
      <c r="C244" s="7" t="str">
        <f>"02"</f>
        <v>02</v>
      </c>
      <c r="D244" s="7" t="str">
        <f>"20210040902"</f>
        <v>20210040902</v>
      </c>
      <c r="E244" s="7" t="s">
        <v>253</v>
      </c>
      <c r="F244" s="7">
        <v>41</v>
      </c>
      <c r="G244" s="7">
        <v>56</v>
      </c>
      <c r="H244" s="8">
        <f t="shared" si="10"/>
        <v>45.5</v>
      </c>
    </row>
    <row r="245" spans="1:8" s="2" customFormat="1">
      <c r="A245" s="7" t="s">
        <v>219</v>
      </c>
      <c r="B245" s="7" t="str">
        <f t="shared" si="12"/>
        <v>09</v>
      </c>
      <c r="C245" s="7" t="str">
        <f>"03"</f>
        <v>03</v>
      </c>
      <c r="D245" s="7" t="str">
        <f>"20210040903"</f>
        <v>20210040903</v>
      </c>
      <c r="E245" s="7" t="s">
        <v>254</v>
      </c>
      <c r="F245" s="7">
        <v>42</v>
      </c>
      <c r="G245" s="7">
        <v>42</v>
      </c>
      <c r="H245" s="8">
        <f t="shared" si="10"/>
        <v>42</v>
      </c>
    </row>
    <row r="246" spans="1:8" s="2" customFormat="1">
      <c r="A246" s="7" t="s">
        <v>219</v>
      </c>
      <c r="B246" s="7" t="str">
        <f t="shared" si="12"/>
        <v>09</v>
      </c>
      <c r="C246" s="7" t="str">
        <f>"04"</f>
        <v>04</v>
      </c>
      <c r="D246" s="7" t="str">
        <f>"20210040904"</f>
        <v>20210040904</v>
      </c>
      <c r="E246" s="7" t="s">
        <v>255</v>
      </c>
      <c r="F246" s="7">
        <v>0</v>
      </c>
      <c r="G246" s="7">
        <v>0</v>
      </c>
      <c r="H246" s="8">
        <f t="shared" si="10"/>
        <v>0</v>
      </c>
    </row>
    <row r="247" spans="1:8" s="2" customFormat="1">
      <c r="A247" s="7" t="s">
        <v>219</v>
      </c>
      <c r="B247" s="7" t="str">
        <f t="shared" si="12"/>
        <v>09</v>
      </c>
      <c r="C247" s="7" t="str">
        <f>"05"</f>
        <v>05</v>
      </c>
      <c r="D247" s="7" t="str">
        <f>"20210040905"</f>
        <v>20210040905</v>
      </c>
      <c r="E247" s="7" t="s">
        <v>256</v>
      </c>
      <c r="F247" s="7">
        <v>46</v>
      </c>
      <c r="G247" s="7">
        <v>42</v>
      </c>
      <c r="H247" s="8">
        <f t="shared" si="10"/>
        <v>44.8</v>
      </c>
    </row>
    <row r="248" spans="1:8" s="2" customFormat="1">
      <c r="A248" s="7" t="s">
        <v>219</v>
      </c>
      <c r="B248" s="7" t="str">
        <f t="shared" si="12"/>
        <v>09</v>
      </c>
      <c r="C248" s="7" t="str">
        <f>"06"</f>
        <v>06</v>
      </c>
      <c r="D248" s="7" t="str">
        <f>"20210040906"</f>
        <v>20210040906</v>
      </c>
      <c r="E248" s="7" t="s">
        <v>257</v>
      </c>
      <c r="F248" s="7">
        <v>56</v>
      </c>
      <c r="G248" s="7">
        <v>60</v>
      </c>
      <c r="H248" s="8">
        <f t="shared" si="10"/>
        <v>57.199999999999996</v>
      </c>
    </row>
    <row r="249" spans="1:8" s="2" customFormat="1">
      <c r="A249" s="7" t="s">
        <v>219</v>
      </c>
      <c r="B249" s="7" t="str">
        <f t="shared" si="12"/>
        <v>09</v>
      </c>
      <c r="C249" s="7" t="str">
        <f>"07"</f>
        <v>07</v>
      </c>
      <c r="D249" s="7" t="str">
        <f>"20210040907"</f>
        <v>20210040907</v>
      </c>
      <c r="E249" s="7" t="s">
        <v>258</v>
      </c>
      <c r="F249" s="7">
        <v>50</v>
      </c>
      <c r="G249" s="7">
        <v>43</v>
      </c>
      <c r="H249" s="8">
        <f t="shared" si="10"/>
        <v>47.9</v>
      </c>
    </row>
    <row r="250" spans="1:8" s="2" customFormat="1">
      <c r="A250" s="7" t="s">
        <v>219</v>
      </c>
      <c r="B250" s="7" t="str">
        <f t="shared" si="12"/>
        <v>09</v>
      </c>
      <c r="C250" s="7" t="str">
        <f>"08"</f>
        <v>08</v>
      </c>
      <c r="D250" s="7" t="str">
        <f>"20210040908"</f>
        <v>20210040908</v>
      </c>
      <c r="E250" s="7" t="s">
        <v>259</v>
      </c>
      <c r="F250" s="7">
        <v>69.5</v>
      </c>
      <c r="G250" s="7">
        <v>70</v>
      </c>
      <c r="H250" s="8">
        <f t="shared" si="10"/>
        <v>69.650000000000006</v>
      </c>
    </row>
    <row r="251" spans="1:8" s="2" customFormat="1">
      <c r="A251" s="7" t="s">
        <v>219</v>
      </c>
      <c r="B251" s="7" t="str">
        <f t="shared" si="12"/>
        <v>09</v>
      </c>
      <c r="C251" s="7" t="str">
        <f>"09"</f>
        <v>09</v>
      </c>
      <c r="D251" s="7" t="str">
        <f>"20210040909"</f>
        <v>20210040909</v>
      </c>
      <c r="E251" s="7" t="s">
        <v>260</v>
      </c>
      <c r="F251" s="7">
        <v>85</v>
      </c>
      <c r="G251" s="7">
        <v>93</v>
      </c>
      <c r="H251" s="8">
        <f t="shared" si="10"/>
        <v>87.399999999999991</v>
      </c>
    </row>
    <row r="252" spans="1:8" s="2" customFormat="1">
      <c r="A252" s="7" t="s">
        <v>219</v>
      </c>
      <c r="B252" s="7" t="str">
        <f t="shared" si="12"/>
        <v>09</v>
      </c>
      <c r="C252" s="7" t="str">
        <f>"10"</f>
        <v>10</v>
      </c>
      <c r="D252" s="7" t="str">
        <f>"20210040910"</f>
        <v>20210040910</v>
      </c>
      <c r="E252" s="7" t="s">
        <v>169</v>
      </c>
      <c r="F252" s="7">
        <v>47</v>
      </c>
      <c r="G252" s="7">
        <v>44</v>
      </c>
      <c r="H252" s="8">
        <f t="shared" si="10"/>
        <v>46.099999999999994</v>
      </c>
    </row>
    <row r="253" spans="1:8" s="2" customFormat="1">
      <c r="A253" s="7" t="s">
        <v>219</v>
      </c>
      <c r="B253" s="7" t="str">
        <f t="shared" si="12"/>
        <v>09</v>
      </c>
      <c r="C253" s="7" t="str">
        <f>"11"</f>
        <v>11</v>
      </c>
      <c r="D253" s="7" t="str">
        <f>"20210040911"</f>
        <v>20210040911</v>
      </c>
      <c r="E253" s="7" t="s">
        <v>261</v>
      </c>
      <c r="F253" s="7">
        <v>57</v>
      </c>
      <c r="G253" s="7">
        <v>68</v>
      </c>
      <c r="H253" s="8">
        <f t="shared" si="10"/>
        <v>60.3</v>
      </c>
    </row>
    <row r="254" spans="1:8" s="2" customFormat="1">
      <c r="A254" s="7" t="s">
        <v>219</v>
      </c>
      <c r="B254" s="7" t="str">
        <f t="shared" si="12"/>
        <v>09</v>
      </c>
      <c r="C254" s="7" t="str">
        <f>"12"</f>
        <v>12</v>
      </c>
      <c r="D254" s="7" t="str">
        <f>"20210040912"</f>
        <v>20210040912</v>
      </c>
      <c r="E254" s="7" t="s">
        <v>262</v>
      </c>
      <c r="F254" s="7">
        <v>57.5</v>
      </c>
      <c r="G254" s="7">
        <v>56</v>
      </c>
      <c r="H254" s="8">
        <f t="shared" si="10"/>
        <v>57.05</v>
      </c>
    </row>
    <row r="255" spans="1:8" s="2" customFormat="1">
      <c r="A255" s="7" t="s">
        <v>219</v>
      </c>
      <c r="B255" s="7" t="str">
        <f t="shared" si="12"/>
        <v>09</v>
      </c>
      <c r="C255" s="7" t="str">
        <f>"13"</f>
        <v>13</v>
      </c>
      <c r="D255" s="7" t="str">
        <f>"20210040913"</f>
        <v>20210040913</v>
      </c>
      <c r="E255" s="7" t="s">
        <v>263</v>
      </c>
      <c r="F255" s="7">
        <v>82</v>
      </c>
      <c r="G255" s="7">
        <v>92</v>
      </c>
      <c r="H255" s="8">
        <f t="shared" si="10"/>
        <v>85</v>
      </c>
    </row>
    <row r="256" spans="1:8" s="2" customFormat="1">
      <c r="A256" s="7" t="s">
        <v>219</v>
      </c>
      <c r="B256" s="7" t="str">
        <f t="shared" si="12"/>
        <v>09</v>
      </c>
      <c r="C256" s="7" t="str">
        <f>"14"</f>
        <v>14</v>
      </c>
      <c r="D256" s="7" t="str">
        <f>"20210040914"</f>
        <v>20210040914</v>
      </c>
      <c r="E256" s="7" t="s">
        <v>264</v>
      </c>
      <c r="F256" s="7">
        <v>52.5</v>
      </c>
      <c r="G256" s="7">
        <v>59</v>
      </c>
      <c r="H256" s="8">
        <f t="shared" si="10"/>
        <v>54.45</v>
      </c>
    </row>
    <row r="257" spans="1:8" s="2" customFormat="1">
      <c r="A257" s="7" t="s">
        <v>219</v>
      </c>
      <c r="B257" s="7" t="str">
        <f t="shared" si="12"/>
        <v>09</v>
      </c>
      <c r="C257" s="7" t="str">
        <f>"15"</f>
        <v>15</v>
      </c>
      <c r="D257" s="7" t="str">
        <f>"20210040915"</f>
        <v>20210040915</v>
      </c>
      <c r="E257" s="7" t="s">
        <v>265</v>
      </c>
      <c r="F257" s="7">
        <v>69</v>
      </c>
      <c r="G257" s="7">
        <v>70</v>
      </c>
      <c r="H257" s="8">
        <f t="shared" si="10"/>
        <v>69.3</v>
      </c>
    </row>
    <row r="258" spans="1:8" s="2" customFormat="1">
      <c r="A258" s="7" t="s">
        <v>219</v>
      </c>
      <c r="B258" s="7" t="str">
        <f t="shared" si="12"/>
        <v>09</v>
      </c>
      <c r="C258" s="7" t="str">
        <f>"16"</f>
        <v>16</v>
      </c>
      <c r="D258" s="7" t="str">
        <f>"20210040916"</f>
        <v>20210040916</v>
      </c>
      <c r="E258" s="7" t="s">
        <v>266</v>
      </c>
      <c r="F258" s="7">
        <v>0</v>
      </c>
      <c r="G258" s="7">
        <v>0</v>
      </c>
      <c r="H258" s="8">
        <f t="shared" si="10"/>
        <v>0</v>
      </c>
    </row>
    <row r="259" spans="1:8" s="2" customFormat="1">
      <c r="A259" s="7" t="s">
        <v>219</v>
      </c>
      <c r="B259" s="7" t="str">
        <f t="shared" si="12"/>
        <v>09</v>
      </c>
      <c r="C259" s="7" t="str">
        <f>"17"</f>
        <v>17</v>
      </c>
      <c r="D259" s="7" t="str">
        <f>"20210040917"</f>
        <v>20210040917</v>
      </c>
      <c r="E259" s="7" t="s">
        <v>267</v>
      </c>
      <c r="F259" s="7">
        <v>75</v>
      </c>
      <c r="G259" s="7">
        <v>80</v>
      </c>
      <c r="H259" s="8">
        <f t="shared" ref="H259:H322" si="13">F259*0.7+G259*0.3</f>
        <v>76.5</v>
      </c>
    </row>
    <row r="260" spans="1:8" s="2" customFormat="1">
      <c r="A260" s="7" t="s">
        <v>219</v>
      </c>
      <c r="B260" s="7" t="str">
        <f t="shared" si="12"/>
        <v>09</v>
      </c>
      <c r="C260" s="7" t="str">
        <f>"18"</f>
        <v>18</v>
      </c>
      <c r="D260" s="7" t="str">
        <f>"20210040918"</f>
        <v>20210040918</v>
      </c>
      <c r="E260" s="7" t="s">
        <v>268</v>
      </c>
      <c r="F260" s="7">
        <v>65</v>
      </c>
      <c r="G260" s="7">
        <v>69</v>
      </c>
      <c r="H260" s="8">
        <f t="shared" si="13"/>
        <v>66.2</v>
      </c>
    </row>
    <row r="261" spans="1:8" s="2" customFormat="1">
      <c r="A261" s="7" t="s">
        <v>219</v>
      </c>
      <c r="B261" s="7" t="str">
        <f t="shared" si="12"/>
        <v>09</v>
      </c>
      <c r="C261" s="7" t="str">
        <f>"19"</f>
        <v>19</v>
      </c>
      <c r="D261" s="7" t="str">
        <f>"20210040919"</f>
        <v>20210040919</v>
      </c>
      <c r="E261" s="7" t="s">
        <v>269</v>
      </c>
      <c r="F261" s="7">
        <v>67</v>
      </c>
      <c r="G261" s="7">
        <v>78</v>
      </c>
      <c r="H261" s="8">
        <f t="shared" si="13"/>
        <v>70.3</v>
      </c>
    </row>
    <row r="262" spans="1:8" s="2" customFormat="1">
      <c r="A262" s="7" t="s">
        <v>219</v>
      </c>
      <c r="B262" s="7" t="str">
        <f t="shared" si="12"/>
        <v>09</v>
      </c>
      <c r="C262" s="7" t="str">
        <f>"20"</f>
        <v>20</v>
      </c>
      <c r="D262" s="7" t="str">
        <f>"20210040920"</f>
        <v>20210040920</v>
      </c>
      <c r="E262" s="7" t="s">
        <v>270</v>
      </c>
      <c r="F262" s="7">
        <v>74</v>
      </c>
      <c r="G262" s="7">
        <v>69</v>
      </c>
      <c r="H262" s="8">
        <f t="shared" si="13"/>
        <v>72.5</v>
      </c>
    </row>
    <row r="263" spans="1:8" s="2" customFormat="1">
      <c r="A263" s="7" t="s">
        <v>219</v>
      </c>
      <c r="B263" s="7" t="str">
        <f t="shared" si="12"/>
        <v>09</v>
      </c>
      <c r="C263" s="7" t="str">
        <f>"21"</f>
        <v>21</v>
      </c>
      <c r="D263" s="7" t="str">
        <f>"20210040921"</f>
        <v>20210040921</v>
      </c>
      <c r="E263" s="7" t="s">
        <v>271</v>
      </c>
      <c r="F263" s="7">
        <v>60</v>
      </c>
      <c r="G263" s="7">
        <v>71</v>
      </c>
      <c r="H263" s="8">
        <f t="shared" si="13"/>
        <v>63.3</v>
      </c>
    </row>
    <row r="264" spans="1:8" s="2" customFormat="1">
      <c r="A264" s="7" t="s">
        <v>219</v>
      </c>
      <c r="B264" s="7" t="str">
        <f t="shared" si="12"/>
        <v>09</v>
      </c>
      <c r="C264" s="7" t="str">
        <f>"22"</f>
        <v>22</v>
      </c>
      <c r="D264" s="7" t="str">
        <f>"20210040922"</f>
        <v>20210040922</v>
      </c>
      <c r="E264" s="7" t="s">
        <v>272</v>
      </c>
      <c r="F264" s="7">
        <v>75</v>
      </c>
      <c r="G264" s="7">
        <v>66</v>
      </c>
      <c r="H264" s="8">
        <f t="shared" si="13"/>
        <v>72.3</v>
      </c>
    </row>
    <row r="265" spans="1:8" s="2" customFormat="1">
      <c r="A265" s="7" t="s">
        <v>219</v>
      </c>
      <c r="B265" s="7" t="str">
        <f t="shared" si="12"/>
        <v>09</v>
      </c>
      <c r="C265" s="7" t="str">
        <f>"23"</f>
        <v>23</v>
      </c>
      <c r="D265" s="7" t="str">
        <f>"20210040923"</f>
        <v>20210040923</v>
      </c>
      <c r="E265" s="7" t="s">
        <v>273</v>
      </c>
      <c r="F265" s="7">
        <v>49</v>
      </c>
      <c r="G265" s="7">
        <v>46</v>
      </c>
      <c r="H265" s="8">
        <f t="shared" si="13"/>
        <v>48.099999999999994</v>
      </c>
    </row>
    <row r="266" spans="1:8" s="2" customFormat="1">
      <c r="A266" s="7" t="s">
        <v>219</v>
      </c>
      <c r="B266" s="7" t="str">
        <f t="shared" si="12"/>
        <v>09</v>
      </c>
      <c r="C266" s="7" t="str">
        <f>"24"</f>
        <v>24</v>
      </c>
      <c r="D266" s="7" t="str">
        <f>"20210040924"</f>
        <v>20210040924</v>
      </c>
      <c r="E266" s="7" t="s">
        <v>274</v>
      </c>
      <c r="F266" s="7">
        <v>51</v>
      </c>
      <c r="G266" s="7">
        <v>39</v>
      </c>
      <c r="H266" s="8">
        <f t="shared" si="13"/>
        <v>47.399999999999991</v>
      </c>
    </row>
    <row r="267" spans="1:8" s="2" customFormat="1">
      <c r="A267" s="7" t="s">
        <v>219</v>
      </c>
      <c r="B267" s="7" t="str">
        <f t="shared" si="12"/>
        <v>09</v>
      </c>
      <c r="C267" s="7" t="str">
        <f>"25"</f>
        <v>25</v>
      </c>
      <c r="D267" s="7" t="str">
        <f>"20210040925"</f>
        <v>20210040925</v>
      </c>
      <c r="E267" s="7" t="s">
        <v>275</v>
      </c>
      <c r="F267" s="7">
        <v>0</v>
      </c>
      <c r="G267" s="7">
        <v>0</v>
      </c>
      <c r="H267" s="8">
        <f t="shared" si="13"/>
        <v>0</v>
      </c>
    </row>
    <row r="268" spans="1:8" s="2" customFormat="1">
      <c r="A268" s="7" t="s">
        <v>219</v>
      </c>
      <c r="B268" s="7" t="str">
        <f t="shared" si="12"/>
        <v>09</v>
      </c>
      <c r="C268" s="7" t="str">
        <f>"26"</f>
        <v>26</v>
      </c>
      <c r="D268" s="7" t="str">
        <f>"20210040926"</f>
        <v>20210040926</v>
      </c>
      <c r="E268" s="7" t="s">
        <v>276</v>
      </c>
      <c r="F268" s="7">
        <v>53</v>
      </c>
      <c r="G268" s="7">
        <v>42</v>
      </c>
      <c r="H268" s="8">
        <f t="shared" si="13"/>
        <v>49.699999999999996</v>
      </c>
    </row>
    <row r="269" spans="1:8" s="2" customFormat="1">
      <c r="A269" s="7" t="s">
        <v>219</v>
      </c>
      <c r="B269" s="7" t="str">
        <f t="shared" si="12"/>
        <v>09</v>
      </c>
      <c r="C269" s="7" t="str">
        <f>"27"</f>
        <v>27</v>
      </c>
      <c r="D269" s="7" t="str">
        <f>"20210040927"</f>
        <v>20210040927</v>
      </c>
      <c r="E269" s="7" t="s">
        <v>277</v>
      </c>
      <c r="F269" s="7">
        <v>37.5</v>
      </c>
      <c r="G269" s="7">
        <v>35</v>
      </c>
      <c r="H269" s="8">
        <f t="shared" si="13"/>
        <v>36.75</v>
      </c>
    </row>
    <row r="270" spans="1:8" s="2" customFormat="1">
      <c r="A270" s="7" t="s">
        <v>219</v>
      </c>
      <c r="B270" s="7" t="str">
        <f t="shared" si="12"/>
        <v>09</v>
      </c>
      <c r="C270" s="7" t="str">
        <f>"28"</f>
        <v>28</v>
      </c>
      <c r="D270" s="7" t="str">
        <f>"20210040928"</f>
        <v>20210040928</v>
      </c>
      <c r="E270" s="7" t="s">
        <v>278</v>
      </c>
      <c r="F270" s="7">
        <v>35</v>
      </c>
      <c r="G270" s="7">
        <v>48</v>
      </c>
      <c r="H270" s="8">
        <f t="shared" si="13"/>
        <v>38.9</v>
      </c>
    </row>
    <row r="271" spans="1:8" s="2" customFormat="1">
      <c r="A271" s="7" t="s">
        <v>219</v>
      </c>
      <c r="B271" s="7" t="str">
        <f t="shared" si="12"/>
        <v>09</v>
      </c>
      <c r="C271" s="7" t="str">
        <f>"29"</f>
        <v>29</v>
      </c>
      <c r="D271" s="7" t="str">
        <f>"20210040929"</f>
        <v>20210040929</v>
      </c>
      <c r="E271" s="7" t="s">
        <v>279</v>
      </c>
      <c r="F271" s="7">
        <v>70</v>
      </c>
      <c r="G271" s="7">
        <v>78</v>
      </c>
      <c r="H271" s="8">
        <f t="shared" si="13"/>
        <v>72.400000000000006</v>
      </c>
    </row>
    <row r="272" spans="1:8" s="2" customFormat="1">
      <c r="A272" s="7" t="s">
        <v>219</v>
      </c>
      <c r="B272" s="7" t="str">
        <f t="shared" si="12"/>
        <v>09</v>
      </c>
      <c r="C272" s="7" t="str">
        <f>"30"</f>
        <v>30</v>
      </c>
      <c r="D272" s="7" t="str">
        <f>"20210040930"</f>
        <v>20210040930</v>
      </c>
      <c r="E272" s="7" t="s">
        <v>280</v>
      </c>
      <c r="F272" s="7">
        <v>58</v>
      </c>
      <c r="G272" s="7">
        <v>62</v>
      </c>
      <c r="H272" s="8">
        <f t="shared" si="13"/>
        <v>59.199999999999989</v>
      </c>
    </row>
    <row r="273" spans="1:8" s="2" customFormat="1">
      <c r="A273" s="7" t="s">
        <v>219</v>
      </c>
      <c r="B273" s="7" t="str">
        <f t="shared" ref="B273:B302" si="14">"10"</f>
        <v>10</v>
      </c>
      <c r="C273" s="7" t="str">
        <f>"01"</f>
        <v>01</v>
      </c>
      <c r="D273" s="7" t="str">
        <f>"20210041001"</f>
        <v>20210041001</v>
      </c>
      <c r="E273" s="7" t="s">
        <v>281</v>
      </c>
      <c r="F273" s="7">
        <v>73</v>
      </c>
      <c r="G273" s="7">
        <v>66</v>
      </c>
      <c r="H273" s="8">
        <f t="shared" si="13"/>
        <v>70.899999999999991</v>
      </c>
    </row>
    <row r="274" spans="1:8" s="2" customFormat="1">
      <c r="A274" s="7" t="s">
        <v>219</v>
      </c>
      <c r="B274" s="7" t="str">
        <f t="shared" si="14"/>
        <v>10</v>
      </c>
      <c r="C274" s="7" t="str">
        <f>"02"</f>
        <v>02</v>
      </c>
      <c r="D274" s="7" t="str">
        <f>"20210041002"</f>
        <v>20210041002</v>
      </c>
      <c r="E274" s="7" t="s">
        <v>282</v>
      </c>
      <c r="F274" s="7">
        <v>0</v>
      </c>
      <c r="G274" s="7">
        <v>0</v>
      </c>
      <c r="H274" s="8">
        <f t="shared" si="13"/>
        <v>0</v>
      </c>
    </row>
    <row r="275" spans="1:8" s="2" customFormat="1">
      <c r="A275" s="7" t="s">
        <v>219</v>
      </c>
      <c r="B275" s="7" t="str">
        <f t="shared" si="14"/>
        <v>10</v>
      </c>
      <c r="C275" s="7" t="str">
        <f>"03"</f>
        <v>03</v>
      </c>
      <c r="D275" s="7" t="str">
        <f>"20210041003"</f>
        <v>20210041003</v>
      </c>
      <c r="E275" s="7" t="s">
        <v>283</v>
      </c>
      <c r="F275" s="7">
        <v>54</v>
      </c>
      <c r="G275" s="7">
        <v>75</v>
      </c>
      <c r="H275" s="8">
        <f t="shared" si="13"/>
        <v>60.3</v>
      </c>
    </row>
    <row r="276" spans="1:8" s="2" customFormat="1">
      <c r="A276" s="7" t="s">
        <v>219</v>
      </c>
      <c r="B276" s="7" t="str">
        <f t="shared" si="14"/>
        <v>10</v>
      </c>
      <c r="C276" s="7" t="str">
        <f>"04"</f>
        <v>04</v>
      </c>
      <c r="D276" s="7" t="str">
        <f>"20210041004"</f>
        <v>20210041004</v>
      </c>
      <c r="E276" s="7" t="s">
        <v>284</v>
      </c>
      <c r="F276" s="7">
        <v>67</v>
      </c>
      <c r="G276" s="7">
        <v>63</v>
      </c>
      <c r="H276" s="8">
        <f t="shared" si="13"/>
        <v>65.8</v>
      </c>
    </row>
    <row r="277" spans="1:8" s="2" customFormat="1">
      <c r="A277" s="7" t="s">
        <v>219</v>
      </c>
      <c r="B277" s="7" t="str">
        <f t="shared" si="14"/>
        <v>10</v>
      </c>
      <c r="C277" s="7" t="str">
        <f>"05"</f>
        <v>05</v>
      </c>
      <c r="D277" s="7" t="str">
        <f>"20210041005"</f>
        <v>20210041005</v>
      </c>
      <c r="E277" s="7" t="s">
        <v>285</v>
      </c>
      <c r="F277" s="7">
        <v>85</v>
      </c>
      <c r="G277" s="7">
        <v>92</v>
      </c>
      <c r="H277" s="8">
        <f t="shared" si="13"/>
        <v>87.1</v>
      </c>
    </row>
    <row r="278" spans="1:8" s="2" customFormat="1">
      <c r="A278" s="7" t="s">
        <v>219</v>
      </c>
      <c r="B278" s="7" t="str">
        <f t="shared" si="14"/>
        <v>10</v>
      </c>
      <c r="C278" s="7" t="str">
        <f>"06"</f>
        <v>06</v>
      </c>
      <c r="D278" s="7" t="str">
        <f>"20210041006"</f>
        <v>20210041006</v>
      </c>
      <c r="E278" s="7" t="s">
        <v>286</v>
      </c>
      <c r="F278" s="7">
        <v>59</v>
      </c>
      <c r="G278" s="7">
        <v>62</v>
      </c>
      <c r="H278" s="8">
        <f t="shared" si="13"/>
        <v>59.899999999999991</v>
      </c>
    </row>
    <row r="279" spans="1:8" s="2" customFormat="1">
      <c r="A279" s="7" t="s">
        <v>219</v>
      </c>
      <c r="B279" s="7" t="str">
        <f t="shared" si="14"/>
        <v>10</v>
      </c>
      <c r="C279" s="7" t="str">
        <f>"07"</f>
        <v>07</v>
      </c>
      <c r="D279" s="7" t="str">
        <f>"20210041007"</f>
        <v>20210041007</v>
      </c>
      <c r="E279" s="7" t="s">
        <v>287</v>
      </c>
      <c r="F279" s="7">
        <v>47</v>
      </c>
      <c r="G279" s="7">
        <v>50</v>
      </c>
      <c r="H279" s="8">
        <f t="shared" si="13"/>
        <v>47.9</v>
      </c>
    </row>
    <row r="280" spans="1:8" s="2" customFormat="1">
      <c r="A280" s="7" t="s">
        <v>288</v>
      </c>
      <c r="B280" s="7" t="str">
        <f t="shared" si="14"/>
        <v>10</v>
      </c>
      <c r="C280" s="7" t="str">
        <f>"08"</f>
        <v>08</v>
      </c>
      <c r="D280" s="7" t="str">
        <f>"20210051008"</f>
        <v>20210051008</v>
      </c>
      <c r="E280" s="7" t="s">
        <v>289</v>
      </c>
      <c r="F280" s="7">
        <v>46.5</v>
      </c>
      <c r="G280" s="7">
        <v>53</v>
      </c>
      <c r="H280" s="8">
        <f t="shared" si="13"/>
        <v>48.449999999999996</v>
      </c>
    </row>
    <row r="281" spans="1:8" s="2" customFormat="1">
      <c r="A281" s="7" t="s">
        <v>288</v>
      </c>
      <c r="B281" s="7" t="str">
        <f t="shared" si="14"/>
        <v>10</v>
      </c>
      <c r="C281" s="7" t="str">
        <f>"09"</f>
        <v>09</v>
      </c>
      <c r="D281" s="7" t="str">
        <f>"20210051009"</f>
        <v>20210051009</v>
      </c>
      <c r="E281" s="7" t="s">
        <v>290</v>
      </c>
      <c r="F281" s="7">
        <v>58</v>
      </c>
      <c r="G281" s="7">
        <v>67</v>
      </c>
      <c r="H281" s="8">
        <f t="shared" si="13"/>
        <v>60.699999999999989</v>
      </c>
    </row>
    <row r="282" spans="1:8" s="2" customFormat="1">
      <c r="A282" s="7" t="s">
        <v>288</v>
      </c>
      <c r="B282" s="7" t="str">
        <f t="shared" si="14"/>
        <v>10</v>
      </c>
      <c r="C282" s="7" t="str">
        <f>"10"</f>
        <v>10</v>
      </c>
      <c r="D282" s="7" t="str">
        <f>"20210051010"</f>
        <v>20210051010</v>
      </c>
      <c r="E282" s="7" t="s">
        <v>291</v>
      </c>
      <c r="F282" s="7">
        <v>31</v>
      </c>
      <c r="G282" s="7">
        <v>48</v>
      </c>
      <c r="H282" s="8">
        <f t="shared" si="13"/>
        <v>36.099999999999994</v>
      </c>
    </row>
    <row r="283" spans="1:8" s="2" customFormat="1">
      <c r="A283" s="7" t="s">
        <v>288</v>
      </c>
      <c r="B283" s="7" t="str">
        <f t="shared" si="14"/>
        <v>10</v>
      </c>
      <c r="C283" s="7" t="str">
        <f>"11"</f>
        <v>11</v>
      </c>
      <c r="D283" s="7" t="str">
        <f>"20210051011"</f>
        <v>20210051011</v>
      </c>
      <c r="E283" s="7" t="s">
        <v>292</v>
      </c>
      <c r="F283" s="7">
        <v>54</v>
      </c>
      <c r="G283" s="7">
        <v>54</v>
      </c>
      <c r="H283" s="8">
        <f t="shared" si="13"/>
        <v>54</v>
      </c>
    </row>
    <row r="284" spans="1:8" s="2" customFormat="1">
      <c r="A284" s="7" t="s">
        <v>288</v>
      </c>
      <c r="B284" s="7" t="str">
        <f t="shared" si="14"/>
        <v>10</v>
      </c>
      <c r="C284" s="7" t="str">
        <f>"12"</f>
        <v>12</v>
      </c>
      <c r="D284" s="7" t="str">
        <f>"20210051012"</f>
        <v>20210051012</v>
      </c>
      <c r="E284" s="7" t="s">
        <v>293</v>
      </c>
      <c r="F284" s="7">
        <v>69</v>
      </c>
      <c r="G284" s="7">
        <v>78</v>
      </c>
      <c r="H284" s="8">
        <f t="shared" si="13"/>
        <v>71.699999999999989</v>
      </c>
    </row>
    <row r="285" spans="1:8" s="2" customFormat="1">
      <c r="A285" s="7" t="s">
        <v>288</v>
      </c>
      <c r="B285" s="7" t="str">
        <f t="shared" si="14"/>
        <v>10</v>
      </c>
      <c r="C285" s="7" t="str">
        <f>"13"</f>
        <v>13</v>
      </c>
      <c r="D285" s="7" t="str">
        <f>"20210051013"</f>
        <v>20210051013</v>
      </c>
      <c r="E285" s="7" t="s">
        <v>294</v>
      </c>
      <c r="F285" s="7">
        <v>75</v>
      </c>
      <c r="G285" s="7">
        <v>54</v>
      </c>
      <c r="H285" s="8">
        <f t="shared" si="13"/>
        <v>68.7</v>
      </c>
    </row>
    <row r="286" spans="1:8" s="2" customFormat="1">
      <c r="A286" s="7" t="s">
        <v>288</v>
      </c>
      <c r="B286" s="7" t="str">
        <f t="shared" si="14"/>
        <v>10</v>
      </c>
      <c r="C286" s="7" t="str">
        <f>"14"</f>
        <v>14</v>
      </c>
      <c r="D286" s="7" t="str">
        <f>"20210051014"</f>
        <v>20210051014</v>
      </c>
      <c r="E286" s="7" t="s">
        <v>295</v>
      </c>
      <c r="F286" s="7">
        <v>63</v>
      </c>
      <c r="G286" s="7">
        <v>60</v>
      </c>
      <c r="H286" s="8">
        <f t="shared" si="13"/>
        <v>62.099999999999994</v>
      </c>
    </row>
    <row r="287" spans="1:8" s="2" customFormat="1">
      <c r="A287" s="7" t="s">
        <v>288</v>
      </c>
      <c r="B287" s="7" t="str">
        <f t="shared" si="14"/>
        <v>10</v>
      </c>
      <c r="C287" s="7" t="str">
        <f>"15"</f>
        <v>15</v>
      </c>
      <c r="D287" s="7" t="str">
        <f>"20210051015"</f>
        <v>20210051015</v>
      </c>
      <c r="E287" s="7" t="s">
        <v>296</v>
      </c>
      <c r="F287" s="7">
        <v>50</v>
      </c>
      <c r="G287" s="7">
        <v>73</v>
      </c>
      <c r="H287" s="8">
        <f t="shared" si="13"/>
        <v>56.9</v>
      </c>
    </row>
    <row r="288" spans="1:8" s="2" customFormat="1">
      <c r="A288" s="7" t="s">
        <v>288</v>
      </c>
      <c r="B288" s="7" t="str">
        <f t="shared" si="14"/>
        <v>10</v>
      </c>
      <c r="C288" s="7" t="str">
        <f>"16"</f>
        <v>16</v>
      </c>
      <c r="D288" s="7" t="str">
        <f>"20210051016"</f>
        <v>20210051016</v>
      </c>
      <c r="E288" s="7" t="s">
        <v>297</v>
      </c>
      <c r="F288" s="7">
        <v>55.5</v>
      </c>
      <c r="G288" s="7">
        <v>80</v>
      </c>
      <c r="H288" s="8">
        <f t="shared" si="13"/>
        <v>62.849999999999994</v>
      </c>
    </row>
    <row r="289" spans="1:8" s="2" customFormat="1">
      <c r="A289" s="7" t="s">
        <v>288</v>
      </c>
      <c r="B289" s="7" t="str">
        <f t="shared" si="14"/>
        <v>10</v>
      </c>
      <c r="C289" s="7" t="str">
        <f>"17"</f>
        <v>17</v>
      </c>
      <c r="D289" s="7" t="str">
        <f>"20210051017"</f>
        <v>20210051017</v>
      </c>
      <c r="E289" s="7" t="s">
        <v>298</v>
      </c>
      <c r="F289" s="7">
        <v>72</v>
      </c>
      <c r="G289" s="7">
        <v>94</v>
      </c>
      <c r="H289" s="8">
        <f t="shared" si="13"/>
        <v>78.599999999999994</v>
      </c>
    </row>
    <row r="290" spans="1:8" s="2" customFormat="1">
      <c r="A290" s="7" t="s">
        <v>288</v>
      </c>
      <c r="B290" s="7" t="str">
        <f t="shared" si="14"/>
        <v>10</v>
      </c>
      <c r="C290" s="7" t="str">
        <f>"18"</f>
        <v>18</v>
      </c>
      <c r="D290" s="7" t="str">
        <f>"20210051018"</f>
        <v>20210051018</v>
      </c>
      <c r="E290" s="7" t="s">
        <v>299</v>
      </c>
      <c r="F290" s="7">
        <v>65</v>
      </c>
      <c r="G290" s="7">
        <v>76</v>
      </c>
      <c r="H290" s="8">
        <f t="shared" si="13"/>
        <v>68.3</v>
      </c>
    </row>
    <row r="291" spans="1:8" s="2" customFormat="1">
      <c r="A291" s="7" t="s">
        <v>288</v>
      </c>
      <c r="B291" s="7" t="str">
        <f t="shared" si="14"/>
        <v>10</v>
      </c>
      <c r="C291" s="7" t="str">
        <f>"19"</f>
        <v>19</v>
      </c>
      <c r="D291" s="7" t="str">
        <f>"20210051019"</f>
        <v>20210051019</v>
      </c>
      <c r="E291" s="7" t="s">
        <v>300</v>
      </c>
      <c r="F291" s="7">
        <v>46</v>
      </c>
      <c r="G291" s="7">
        <v>57</v>
      </c>
      <c r="H291" s="8">
        <f t="shared" si="13"/>
        <v>49.3</v>
      </c>
    </row>
    <row r="292" spans="1:8" s="2" customFormat="1">
      <c r="A292" s="7" t="s">
        <v>288</v>
      </c>
      <c r="B292" s="7" t="str">
        <f t="shared" si="14"/>
        <v>10</v>
      </c>
      <c r="C292" s="7" t="str">
        <f>"20"</f>
        <v>20</v>
      </c>
      <c r="D292" s="7" t="str">
        <f>"20210051020"</f>
        <v>20210051020</v>
      </c>
      <c r="E292" s="7" t="s">
        <v>301</v>
      </c>
      <c r="F292" s="7">
        <v>47</v>
      </c>
      <c r="G292" s="7">
        <v>76</v>
      </c>
      <c r="H292" s="8">
        <f t="shared" si="13"/>
        <v>55.7</v>
      </c>
    </row>
    <row r="293" spans="1:8" s="2" customFormat="1">
      <c r="A293" s="7" t="s">
        <v>288</v>
      </c>
      <c r="B293" s="7" t="str">
        <f t="shared" si="14"/>
        <v>10</v>
      </c>
      <c r="C293" s="7" t="str">
        <f>"21"</f>
        <v>21</v>
      </c>
      <c r="D293" s="7" t="str">
        <f>"20210051021"</f>
        <v>20210051021</v>
      </c>
      <c r="E293" s="7" t="s">
        <v>302</v>
      </c>
      <c r="F293" s="7">
        <v>54</v>
      </c>
      <c r="G293" s="7">
        <v>86</v>
      </c>
      <c r="H293" s="8">
        <f t="shared" si="13"/>
        <v>63.599999999999994</v>
      </c>
    </row>
    <row r="294" spans="1:8" s="2" customFormat="1">
      <c r="A294" s="7" t="s">
        <v>288</v>
      </c>
      <c r="B294" s="7" t="str">
        <f t="shared" si="14"/>
        <v>10</v>
      </c>
      <c r="C294" s="7" t="str">
        <f>"22"</f>
        <v>22</v>
      </c>
      <c r="D294" s="7" t="str">
        <f>"20210051022"</f>
        <v>20210051022</v>
      </c>
      <c r="E294" s="7" t="s">
        <v>303</v>
      </c>
      <c r="F294" s="7">
        <v>50</v>
      </c>
      <c r="G294" s="7">
        <v>63</v>
      </c>
      <c r="H294" s="8">
        <f t="shared" si="13"/>
        <v>53.9</v>
      </c>
    </row>
    <row r="295" spans="1:8" s="2" customFormat="1">
      <c r="A295" s="7" t="s">
        <v>288</v>
      </c>
      <c r="B295" s="7" t="str">
        <f t="shared" si="14"/>
        <v>10</v>
      </c>
      <c r="C295" s="7" t="str">
        <f>"23"</f>
        <v>23</v>
      </c>
      <c r="D295" s="7" t="str">
        <f>"20210051023"</f>
        <v>20210051023</v>
      </c>
      <c r="E295" s="7" t="s">
        <v>304</v>
      </c>
      <c r="F295" s="7">
        <v>51</v>
      </c>
      <c r="G295" s="7">
        <v>46</v>
      </c>
      <c r="H295" s="8">
        <f t="shared" si="13"/>
        <v>49.499999999999993</v>
      </c>
    </row>
    <row r="296" spans="1:8" s="2" customFormat="1">
      <c r="A296" s="7" t="s">
        <v>288</v>
      </c>
      <c r="B296" s="7" t="str">
        <f t="shared" si="14"/>
        <v>10</v>
      </c>
      <c r="C296" s="7" t="str">
        <f>"24"</f>
        <v>24</v>
      </c>
      <c r="D296" s="7" t="str">
        <f>"20210051024"</f>
        <v>20210051024</v>
      </c>
      <c r="E296" s="7" t="s">
        <v>305</v>
      </c>
      <c r="F296" s="7">
        <v>65</v>
      </c>
      <c r="G296" s="7">
        <v>69</v>
      </c>
      <c r="H296" s="8">
        <f t="shared" si="13"/>
        <v>66.2</v>
      </c>
    </row>
    <row r="297" spans="1:8" s="2" customFormat="1">
      <c r="A297" s="7" t="s">
        <v>288</v>
      </c>
      <c r="B297" s="7" t="str">
        <f t="shared" si="14"/>
        <v>10</v>
      </c>
      <c r="C297" s="7" t="str">
        <f>"25"</f>
        <v>25</v>
      </c>
      <c r="D297" s="7" t="str">
        <f>"20210051025"</f>
        <v>20210051025</v>
      </c>
      <c r="E297" s="7" t="s">
        <v>306</v>
      </c>
      <c r="F297" s="7">
        <v>66.5</v>
      </c>
      <c r="G297" s="7">
        <v>63</v>
      </c>
      <c r="H297" s="8">
        <f t="shared" si="13"/>
        <v>65.449999999999989</v>
      </c>
    </row>
    <row r="298" spans="1:8" s="2" customFormat="1">
      <c r="A298" s="7" t="s">
        <v>288</v>
      </c>
      <c r="B298" s="7" t="str">
        <f t="shared" si="14"/>
        <v>10</v>
      </c>
      <c r="C298" s="7" t="str">
        <f>"26"</f>
        <v>26</v>
      </c>
      <c r="D298" s="7" t="str">
        <f>"20210051026"</f>
        <v>20210051026</v>
      </c>
      <c r="E298" s="7" t="s">
        <v>307</v>
      </c>
      <c r="F298" s="7">
        <v>73</v>
      </c>
      <c r="G298" s="7">
        <v>64</v>
      </c>
      <c r="H298" s="8">
        <f t="shared" si="13"/>
        <v>70.3</v>
      </c>
    </row>
    <row r="299" spans="1:8" s="2" customFormat="1">
      <c r="A299" s="7" t="s">
        <v>288</v>
      </c>
      <c r="B299" s="7" t="str">
        <f t="shared" si="14"/>
        <v>10</v>
      </c>
      <c r="C299" s="7" t="str">
        <f>"27"</f>
        <v>27</v>
      </c>
      <c r="D299" s="7" t="str">
        <f>"20210051027"</f>
        <v>20210051027</v>
      </c>
      <c r="E299" s="7" t="s">
        <v>308</v>
      </c>
      <c r="F299" s="7">
        <v>62</v>
      </c>
      <c r="G299" s="7">
        <v>84</v>
      </c>
      <c r="H299" s="8">
        <f t="shared" si="13"/>
        <v>68.599999999999994</v>
      </c>
    </row>
    <row r="300" spans="1:8" s="2" customFormat="1">
      <c r="A300" s="7" t="s">
        <v>288</v>
      </c>
      <c r="B300" s="7" t="str">
        <f t="shared" si="14"/>
        <v>10</v>
      </c>
      <c r="C300" s="7" t="str">
        <f>"28"</f>
        <v>28</v>
      </c>
      <c r="D300" s="7" t="str">
        <f>"20210051028"</f>
        <v>20210051028</v>
      </c>
      <c r="E300" s="7" t="s">
        <v>309</v>
      </c>
      <c r="F300" s="7">
        <v>0</v>
      </c>
      <c r="G300" s="7">
        <v>0</v>
      </c>
      <c r="H300" s="8">
        <f t="shared" si="13"/>
        <v>0</v>
      </c>
    </row>
    <row r="301" spans="1:8" s="2" customFormat="1">
      <c r="A301" s="7" t="s">
        <v>288</v>
      </c>
      <c r="B301" s="7" t="str">
        <f t="shared" si="14"/>
        <v>10</v>
      </c>
      <c r="C301" s="7" t="str">
        <f>"29"</f>
        <v>29</v>
      </c>
      <c r="D301" s="7" t="str">
        <f>"20210051029"</f>
        <v>20210051029</v>
      </c>
      <c r="E301" s="7" t="s">
        <v>310</v>
      </c>
      <c r="F301" s="7">
        <v>55</v>
      </c>
      <c r="G301" s="7">
        <v>77</v>
      </c>
      <c r="H301" s="8">
        <f t="shared" si="13"/>
        <v>61.599999999999994</v>
      </c>
    </row>
    <row r="302" spans="1:8" s="2" customFormat="1">
      <c r="A302" s="7" t="s">
        <v>288</v>
      </c>
      <c r="B302" s="7" t="str">
        <f t="shared" si="14"/>
        <v>10</v>
      </c>
      <c r="C302" s="7" t="str">
        <f>"30"</f>
        <v>30</v>
      </c>
      <c r="D302" s="7" t="str">
        <f>"20210051030"</f>
        <v>20210051030</v>
      </c>
      <c r="E302" s="7" t="s">
        <v>311</v>
      </c>
      <c r="F302" s="7">
        <v>61</v>
      </c>
      <c r="G302" s="7">
        <v>72</v>
      </c>
      <c r="H302" s="8">
        <f t="shared" si="13"/>
        <v>64.3</v>
      </c>
    </row>
    <row r="303" spans="1:8" s="2" customFormat="1">
      <c r="A303" s="7" t="s">
        <v>288</v>
      </c>
      <c r="B303" s="7" t="str">
        <f t="shared" ref="B303:B332" si="15">"11"</f>
        <v>11</v>
      </c>
      <c r="C303" s="7" t="str">
        <f>"01"</f>
        <v>01</v>
      </c>
      <c r="D303" s="7" t="str">
        <f>"20210051101"</f>
        <v>20210051101</v>
      </c>
      <c r="E303" s="7" t="s">
        <v>312</v>
      </c>
      <c r="F303" s="7">
        <v>66.5</v>
      </c>
      <c r="G303" s="7">
        <v>81</v>
      </c>
      <c r="H303" s="8">
        <f t="shared" si="13"/>
        <v>70.849999999999994</v>
      </c>
    </row>
    <row r="304" spans="1:8" s="2" customFormat="1">
      <c r="A304" s="7" t="s">
        <v>288</v>
      </c>
      <c r="B304" s="7" t="str">
        <f t="shared" si="15"/>
        <v>11</v>
      </c>
      <c r="C304" s="7" t="str">
        <f>"02"</f>
        <v>02</v>
      </c>
      <c r="D304" s="7" t="str">
        <f>"20210051102"</f>
        <v>20210051102</v>
      </c>
      <c r="E304" s="7" t="s">
        <v>313</v>
      </c>
      <c r="F304" s="7">
        <v>59</v>
      </c>
      <c r="G304" s="7">
        <v>60</v>
      </c>
      <c r="H304" s="8">
        <f t="shared" si="13"/>
        <v>59.3</v>
      </c>
    </row>
    <row r="305" spans="1:8" s="2" customFormat="1">
      <c r="A305" s="7" t="s">
        <v>288</v>
      </c>
      <c r="B305" s="7" t="str">
        <f t="shared" si="15"/>
        <v>11</v>
      </c>
      <c r="C305" s="7" t="str">
        <f>"03"</f>
        <v>03</v>
      </c>
      <c r="D305" s="7" t="str">
        <f>"20210051103"</f>
        <v>20210051103</v>
      </c>
      <c r="E305" s="7" t="s">
        <v>314</v>
      </c>
      <c r="F305" s="7">
        <v>57</v>
      </c>
      <c r="G305" s="7">
        <v>57</v>
      </c>
      <c r="H305" s="8">
        <f t="shared" si="13"/>
        <v>57</v>
      </c>
    </row>
    <row r="306" spans="1:8" s="2" customFormat="1">
      <c r="A306" s="7" t="s">
        <v>288</v>
      </c>
      <c r="B306" s="7" t="str">
        <f t="shared" si="15"/>
        <v>11</v>
      </c>
      <c r="C306" s="7" t="str">
        <f>"04"</f>
        <v>04</v>
      </c>
      <c r="D306" s="7" t="str">
        <f>"20210051104"</f>
        <v>20210051104</v>
      </c>
      <c r="E306" s="7" t="s">
        <v>315</v>
      </c>
      <c r="F306" s="7">
        <v>69</v>
      </c>
      <c r="G306" s="7">
        <v>68</v>
      </c>
      <c r="H306" s="8">
        <f t="shared" si="13"/>
        <v>68.699999999999989</v>
      </c>
    </row>
    <row r="307" spans="1:8" s="2" customFormat="1">
      <c r="A307" s="7" t="s">
        <v>288</v>
      </c>
      <c r="B307" s="7" t="str">
        <f t="shared" si="15"/>
        <v>11</v>
      </c>
      <c r="C307" s="7" t="str">
        <f>"05"</f>
        <v>05</v>
      </c>
      <c r="D307" s="7" t="str">
        <f>"20210051105"</f>
        <v>20210051105</v>
      </c>
      <c r="E307" s="7" t="s">
        <v>316</v>
      </c>
      <c r="F307" s="7">
        <v>59</v>
      </c>
      <c r="G307" s="7">
        <v>78</v>
      </c>
      <c r="H307" s="8">
        <f t="shared" si="13"/>
        <v>64.699999999999989</v>
      </c>
    </row>
    <row r="308" spans="1:8" s="2" customFormat="1">
      <c r="A308" s="7" t="s">
        <v>288</v>
      </c>
      <c r="B308" s="7" t="str">
        <f t="shared" si="15"/>
        <v>11</v>
      </c>
      <c r="C308" s="7" t="str">
        <f>"06"</f>
        <v>06</v>
      </c>
      <c r="D308" s="7" t="str">
        <f>"20210051106"</f>
        <v>20210051106</v>
      </c>
      <c r="E308" s="7" t="s">
        <v>317</v>
      </c>
      <c r="F308" s="7">
        <v>61</v>
      </c>
      <c r="G308" s="7">
        <v>67</v>
      </c>
      <c r="H308" s="8">
        <f t="shared" si="13"/>
        <v>62.8</v>
      </c>
    </row>
    <row r="309" spans="1:8" s="2" customFormat="1">
      <c r="A309" s="7" t="s">
        <v>288</v>
      </c>
      <c r="B309" s="7" t="str">
        <f t="shared" si="15"/>
        <v>11</v>
      </c>
      <c r="C309" s="7" t="str">
        <f>"07"</f>
        <v>07</v>
      </c>
      <c r="D309" s="7" t="str">
        <f>"20210051107"</f>
        <v>20210051107</v>
      </c>
      <c r="E309" s="7" t="s">
        <v>318</v>
      </c>
      <c r="F309" s="7">
        <v>71.5</v>
      </c>
      <c r="G309" s="7">
        <v>80</v>
      </c>
      <c r="H309" s="8">
        <f t="shared" si="13"/>
        <v>74.05</v>
      </c>
    </row>
    <row r="310" spans="1:8" s="2" customFormat="1">
      <c r="A310" s="7" t="s">
        <v>288</v>
      </c>
      <c r="B310" s="7" t="str">
        <f t="shared" si="15"/>
        <v>11</v>
      </c>
      <c r="C310" s="7" t="str">
        <f>"08"</f>
        <v>08</v>
      </c>
      <c r="D310" s="7" t="str">
        <f>"20210051108"</f>
        <v>20210051108</v>
      </c>
      <c r="E310" s="7" t="s">
        <v>319</v>
      </c>
      <c r="F310" s="7">
        <v>43</v>
      </c>
      <c r="G310" s="7">
        <v>37</v>
      </c>
      <c r="H310" s="8">
        <f t="shared" si="13"/>
        <v>41.199999999999996</v>
      </c>
    </row>
    <row r="311" spans="1:8" s="2" customFormat="1">
      <c r="A311" s="7" t="s">
        <v>288</v>
      </c>
      <c r="B311" s="7" t="str">
        <f t="shared" si="15"/>
        <v>11</v>
      </c>
      <c r="C311" s="7" t="str">
        <f>"09"</f>
        <v>09</v>
      </c>
      <c r="D311" s="7" t="str">
        <f>"20210051109"</f>
        <v>20210051109</v>
      </c>
      <c r="E311" s="7" t="s">
        <v>191</v>
      </c>
      <c r="F311" s="7">
        <v>46</v>
      </c>
      <c r="G311" s="7">
        <v>27</v>
      </c>
      <c r="H311" s="8">
        <f t="shared" si="13"/>
        <v>40.299999999999997</v>
      </c>
    </row>
    <row r="312" spans="1:8" s="2" customFormat="1">
      <c r="A312" s="7" t="s">
        <v>288</v>
      </c>
      <c r="B312" s="7" t="str">
        <f t="shared" si="15"/>
        <v>11</v>
      </c>
      <c r="C312" s="7" t="str">
        <f>"10"</f>
        <v>10</v>
      </c>
      <c r="D312" s="7" t="str">
        <f>"20210051110"</f>
        <v>20210051110</v>
      </c>
      <c r="E312" s="7" t="s">
        <v>320</v>
      </c>
      <c r="F312" s="7">
        <v>49.5</v>
      </c>
      <c r="G312" s="7">
        <v>38</v>
      </c>
      <c r="H312" s="8">
        <f t="shared" si="13"/>
        <v>46.05</v>
      </c>
    </row>
    <row r="313" spans="1:8" s="2" customFormat="1">
      <c r="A313" s="7" t="s">
        <v>288</v>
      </c>
      <c r="B313" s="7" t="str">
        <f t="shared" si="15"/>
        <v>11</v>
      </c>
      <c r="C313" s="7" t="str">
        <f>"11"</f>
        <v>11</v>
      </c>
      <c r="D313" s="7" t="str">
        <f>"20210051111"</f>
        <v>20210051111</v>
      </c>
      <c r="E313" s="7" t="s">
        <v>321</v>
      </c>
      <c r="F313" s="7">
        <v>50</v>
      </c>
      <c r="G313" s="7">
        <v>60</v>
      </c>
      <c r="H313" s="8">
        <f t="shared" si="13"/>
        <v>53</v>
      </c>
    </row>
    <row r="314" spans="1:8" s="2" customFormat="1">
      <c r="A314" s="7" t="s">
        <v>288</v>
      </c>
      <c r="B314" s="7" t="str">
        <f t="shared" si="15"/>
        <v>11</v>
      </c>
      <c r="C314" s="7" t="str">
        <f>"12"</f>
        <v>12</v>
      </c>
      <c r="D314" s="7" t="str">
        <f>"20210051112"</f>
        <v>20210051112</v>
      </c>
      <c r="E314" s="7" t="s">
        <v>322</v>
      </c>
      <c r="F314" s="7">
        <v>59.5</v>
      </c>
      <c r="G314" s="7">
        <v>76</v>
      </c>
      <c r="H314" s="8">
        <f t="shared" si="13"/>
        <v>64.45</v>
      </c>
    </row>
    <row r="315" spans="1:8" s="2" customFormat="1">
      <c r="A315" s="7" t="s">
        <v>288</v>
      </c>
      <c r="B315" s="7" t="str">
        <f t="shared" si="15"/>
        <v>11</v>
      </c>
      <c r="C315" s="7" t="str">
        <f>"13"</f>
        <v>13</v>
      </c>
      <c r="D315" s="7" t="str">
        <f>"20210051113"</f>
        <v>20210051113</v>
      </c>
      <c r="E315" s="7" t="s">
        <v>323</v>
      </c>
      <c r="F315" s="7">
        <v>55</v>
      </c>
      <c r="G315" s="7">
        <v>62</v>
      </c>
      <c r="H315" s="8">
        <f t="shared" si="13"/>
        <v>57.099999999999994</v>
      </c>
    </row>
    <row r="316" spans="1:8" s="2" customFormat="1">
      <c r="A316" s="7" t="s">
        <v>288</v>
      </c>
      <c r="B316" s="7" t="str">
        <f t="shared" si="15"/>
        <v>11</v>
      </c>
      <c r="C316" s="7" t="str">
        <f>"14"</f>
        <v>14</v>
      </c>
      <c r="D316" s="7" t="str">
        <f>"20210051114"</f>
        <v>20210051114</v>
      </c>
      <c r="E316" s="7" t="s">
        <v>324</v>
      </c>
      <c r="F316" s="7">
        <v>54</v>
      </c>
      <c r="G316" s="7">
        <v>63</v>
      </c>
      <c r="H316" s="8">
        <f t="shared" si="13"/>
        <v>56.699999999999996</v>
      </c>
    </row>
    <row r="317" spans="1:8" s="2" customFormat="1">
      <c r="A317" s="7" t="s">
        <v>288</v>
      </c>
      <c r="B317" s="7" t="str">
        <f t="shared" si="15"/>
        <v>11</v>
      </c>
      <c r="C317" s="7" t="str">
        <f>"15"</f>
        <v>15</v>
      </c>
      <c r="D317" s="7" t="str">
        <f>"20210051115"</f>
        <v>20210051115</v>
      </c>
      <c r="E317" s="7" t="s">
        <v>325</v>
      </c>
      <c r="F317" s="7">
        <v>0</v>
      </c>
      <c r="G317" s="7">
        <v>0</v>
      </c>
      <c r="H317" s="8">
        <f t="shared" si="13"/>
        <v>0</v>
      </c>
    </row>
    <row r="318" spans="1:8" s="2" customFormat="1">
      <c r="A318" s="7" t="s">
        <v>288</v>
      </c>
      <c r="B318" s="7" t="str">
        <f t="shared" si="15"/>
        <v>11</v>
      </c>
      <c r="C318" s="7" t="str">
        <f>"16"</f>
        <v>16</v>
      </c>
      <c r="D318" s="7" t="str">
        <f>"20210051116"</f>
        <v>20210051116</v>
      </c>
      <c r="E318" s="7" t="s">
        <v>326</v>
      </c>
      <c r="F318" s="7">
        <v>41</v>
      </c>
      <c r="G318" s="7">
        <v>40</v>
      </c>
      <c r="H318" s="8">
        <f t="shared" si="13"/>
        <v>40.700000000000003</v>
      </c>
    </row>
    <row r="319" spans="1:8" s="2" customFormat="1">
      <c r="A319" s="7" t="s">
        <v>288</v>
      </c>
      <c r="B319" s="7" t="str">
        <f t="shared" si="15"/>
        <v>11</v>
      </c>
      <c r="C319" s="7" t="str">
        <f>"17"</f>
        <v>17</v>
      </c>
      <c r="D319" s="7" t="str">
        <f>"20210051117"</f>
        <v>20210051117</v>
      </c>
      <c r="E319" s="7" t="s">
        <v>327</v>
      </c>
      <c r="F319" s="7">
        <v>62</v>
      </c>
      <c r="G319" s="7">
        <v>68</v>
      </c>
      <c r="H319" s="8">
        <f t="shared" si="13"/>
        <v>63.8</v>
      </c>
    </row>
    <row r="320" spans="1:8" s="2" customFormat="1">
      <c r="A320" s="7" t="s">
        <v>288</v>
      </c>
      <c r="B320" s="7" t="str">
        <f t="shared" si="15"/>
        <v>11</v>
      </c>
      <c r="C320" s="7" t="str">
        <f>"18"</f>
        <v>18</v>
      </c>
      <c r="D320" s="7" t="str">
        <f>"20210051118"</f>
        <v>20210051118</v>
      </c>
      <c r="E320" s="7" t="s">
        <v>328</v>
      </c>
      <c r="F320" s="7">
        <v>62.5</v>
      </c>
      <c r="G320" s="7">
        <v>81</v>
      </c>
      <c r="H320" s="8">
        <f t="shared" si="13"/>
        <v>68.05</v>
      </c>
    </row>
    <row r="321" spans="1:8" s="2" customFormat="1">
      <c r="A321" s="7" t="s">
        <v>288</v>
      </c>
      <c r="B321" s="7" t="str">
        <f t="shared" si="15"/>
        <v>11</v>
      </c>
      <c r="C321" s="7" t="str">
        <f>"19"</f>
        <v>19</v>
      </c>
      <c r="D321" s="7" t="str">
        <f>"20210051119"</f>
        <v>20210051119</v>
      </c>
      <c r="E321" s="7" t="s">
        <v>188</v>
      </c>
      <c r="F321" s="7">
        <v>54</v>
      </c>
      <c r="G321" s="7">
        <v>65</v>
      </c>
      <c r="H321" s="8">
        <f t="shared" si="13"/>
        <v>57.3</v>
      </c>
    </row>
    <row r="322" spans="1:8" s="2" customFormat="1">
      <c r="A322" s="7" t="s">
        <v>288</v>
      </c>
      <c r="B322" s="7" t="str">
        <f t="shared" si="15"/>
        <v>11</v>
      </c>
      <c r="C322" s="7" t="str">
        <f>"20"</f>
        <v>20</v>
      </c>
      <c r="D322" s="7" t="str">
        <f>"20210051120"</f>
        <v>20210051120</v>
      </c>
      <c r="E322" s="7" t="s">
        <v>329</v>
      </c>
      <c r="F322" s="7">
        <v>68.5</v>
      </c>
      <c r="G322" s="7">
        <v>73</v>
      </c>
      <c r="H322" s="8">
        <f t="shared" si="13"/>
        <v>69.849999999999994</v>
      </c>
    </row>
    <row r="323" spans="1:8" s="2" customFormat="1">
      <c r="A323" s="7" t="s">
        <v>288</v>
      </c>
      <c r="B323" s="7" t="str">
        <f t="shared" si="15"/>
        <v>11</v>
      </c>
      <c r="C323" s="7" t="str">
        <f>"21"</f>
        <v>21</v>
      </c>
      <c r="D323" s="7" t="str">
        <f>"20210051121"</f>
        <v>20210051121</v>
      </c>
      <c r="E323" s="7" t="s">
        <v>330</v>
      </c>
      <c r="F323" s="7">
        <v>0</v>
      </c>
      <c r="G323" s="7">
        <v>0</v>
      </c>
      <c r="H323" s="8">
        <f t="shared" ref="H323:H386" si="16">F323*0.7+G323*0.3</f>
        <v>0</v>
      </c>
    </row>
    <row r="324" spans="1:8" s="2" customFormat="1">
      <c r="A324" s="7" t="s">
        <v>288</v>
      </c>
      <c r="B324" s="7" t="str">
        <f t="shared" si="15"/>
        <v>11</v>
      </c>
      <c r="C324" s="7" t="str">
        <f>"22"</f>
        <v>22</v>
      </c>
      <c r="D324" s="7" t="str">
        <f>"20210051122"</f>
        <v>20210051122</v>
      </c>
      <c r="E324" s="7" t="s">
        <v>331</v>
      </c>
      <c r="F324" s="7">
        <v>41</v>
      </c>
      <c r="G324" s="7">
        <v>47</v>
      </c>
      <c r="H324" s="8">
        <f t="shared" si="16"/>
        <v>42.8</v>
      </c>
    </row>
    <row r="325" spans="1:8" s="2" customFormat="1">
      <c r="A325" s="7" t="s">
        <v>288</v>
      </c>
      <c r="B325" s="7" t="str">
        <f t="shared" si="15"/>
        <v>11</v>
      </c>
      <c r="C325" s="7" t="str">
        <f>"23"</f>
        <v>23</v>
      </c>
      <c r="D325" s="7" t="str">
        <f>"20210051123"</f>
        <v>20210051123</v>
      </c>
      <c r="E325" s="7" t="s">
        <v>332</v>
      </c>
      <c r="F325" s="7">
        <v>55</v>
      </c>
      <c r="G325" s="7">
        <v>51</v>
      </c>
      <c r="H325" s="8">
        <f t="shared" si="16"/>
        <v>53.8</v>
      </c>
    </row>
    <row r="326" spans="1:8" s="2" customFormat="1">
      <c r="A326" s="7" t="s">
        <v>288</v>
      </c>
      <c r="B326" s="7" t="str">
        <f t="shared" si="15"/>
        <v>11</v>
      </c>
      <c r="C326" s="7" t="str">
        <f>"24"</f>
        <v>24</v>
      </c>
      <c r="D326" s="7" t="str">
        <f>"20210051124"</f>
        <v>20210051124</v>
      </c>
      <c r="E326" s="7" t="s">
        <v>333</v>
      </c>
      <c r="F326" s="7">
        <v>62.5</v>
      </c>
      <c r="G326" s="7">
        <v>38</v>
      </c>
      <c r="H326" s="8">
        <f t="shared" si="16"/>
        <v>55.15</v>
      </c>
    </row>
    <row r="327" spans="1:8" s="2" customFormat="1">
      <c r="A327" s="7" t="s">
        <v>288</v>
      </c>
      <c r="B327" s="7" t="str">
        <f t="shared" si="15"/>
        <v>11</v>
      </c>
      <c r="C327" s="7" t="str">
        <f>"25"</f>
        <v>25</v>
      </c>
      <c r="D327" s="7" t="str">
        <f>"20210051125"</f>
        <v>20210051125</v>
      </c>
      <c r="E327" s="7" t="s">
        <v>334</v>
      </c>
      <c r="F327" s="7">
        <v>0</v>
      </c>
      <c r="G327" s="7">
        <v>0</v>
      </c>
      <c r="H327" s="8">
        <f t="shared" si="16"/>
        <v>0</v>
      </c>
    </row>
    <row r="328" spans="1:8" s="2" customFormat="1">
      <c r="A328" s="7" t="s">
        <v>288</v>
      </c>
      <c r="B328" s="7" t="str">
        <f t="shared" si="15"/>
        <v>11</v>
      </c>
      <c r="C328" s="7" t="str">
        <f>"26"</f>
        <v>26</v>
      </c>
      <c r="D328" s="7" t="str">
        <f>"20210051126"</f>
        <v>20210051126</v>
      </c>
      <c r="E328" s="7" t="s">
        <v>335</v>
      </c>
      <c r="F328" s="7">
        <v>51.5</v>
      </c>
      <c r="G328" s="7">
        <v>48</v>
      </c>
      <c r="H328" s="8">
        <f t="shared" si="16"/>
        <v>50.449999999999996</v>
      </c>
    </row>
    <row r="329" spans="1:8" s="2" customFormat="1">
      <c r="A329" s="7" t="s">
        <v>288</v>
      </c>
      <c r="B329" s="7" t="str">
        <f t="shared" si="15"/>
        <v>11</v>
      </c>
      <c r="C329" s="7" t="str">
        <f>"27"</f>
        <v>27</v>
      </c>
      <c r="D329" s="7" t="str">
        <f>"20210051127"</f>
        <v>20210051127</v>
      </c>
      <c r="E329" s="7" t="s">
        <v>336</v>
      </c>
      <c r="F329" s="7">
        <v>48</v>
      </c>
      <c r="G329" s="7">
        <v>56</v>
      </c>
      <c r="H329" s="8">
        <f t="shared" si="16"/>
        <v>50.399999999999991</v>
      </c>
    </row>
    <row r="330" spans="1:8" s="2" customFormat="1">
      <c r="A330" s="7" t="s">
        <v>288</v>
      </c>
      <c r="B330" s="7" t="str">
        <f t="shared" si="15"/>
        <v>11</v>
      </c>
      <c r="C330" s="7" t="str">
        <f>"28"</f>
        <v>28</v>
      </c>
      <c r="D330" s="7" t="str">
        <f>"20210051128"</f>
        <v>20210051128</v>
      </c>
      <c r="E330" s="7" t="s">
        <v>337</v>
      </c>
      <c r="F330" s="7">
        <v>61</v>
      </c>
      <c r="G330" s="7">
        <v>80</v>
      </c>
      <c r="H330" s="8">
        <f t="shared" si="16"/>
        <v>66.699999999999989</v>
      </c>
    </row>
    <row r="331" spans="1:8" s="2" customFormat="1">
      <c r="A331" s="7" t="s">
        <v>288</v>
      </c>
      <c r="B331" s="7" t="str">
        <f t="shared" si="15"/>
        <v>11</v>
      </c>
      <c r="C331" s="7" t="str">
        <f>"29"</f>
        <v>29</v>
      </c>
      <c r="D331" s="7" t="str">
        <f>"20210051129"</f>
        <v>20210051129</v>
      </c>
      <c r="E331" s="7" t="s">
        <v>338</v>
      </c>
      <c r="F331" s="7">
        <v>32</v>
      </c>
      <c r="G331" s="7">
        <v>46</v>
      </c>
      <c r="H331" s="8">
        <f t="shared" si="16"/>
        <v>36.199999999999996</v>
      </c>
    </row>
    <row r="332" spans="1:8" s="2" customFormat="1">
      <c r="A332" s="7" t="s">
        <v>288</v>
      </c>
      <c r="B332" s="7" t="str">
        <f t="shared" si="15"/>
        <v>11</v>
      </c>
      <c r="C332" s="7" t="str">
        <f>"30"</f>
        <v>30</v>
      </c>
      <c r="D332" s="7" t="str">
        <f>"20210051130"</f>
        <v>20210051130</v>
      </c>
      <c r="E332" s="7" t="s">
        <v>339</v>
      </c>
      <c r="F332" s="7">
        <v>60</v>
      </c>
      <c r="G332" s="7">
        <v>68</v>
      </c>
      <c r="H332" s="8">
        <f t="shared" si="16"/>
        <v>62.4</v>
      </c>
    </row>
    <row r="333" spans="1:8" s="2" customFormat="1">
      <c r="A333" s="7" t="s">
        <v>288</v>
      </c>
      <c r="B333" s="7" t="str">
        <f t="shared" ref="B333:B362" si="17">"12"</f>
        <v>12</v>
      </c>
      <c r="C333" s="7" t="str">
        <f>"01"</f>
        <v>01</v>
      </c>
      <c r="D333" s="7" t="str">
        <f>"20210051201"</f>
        <v>20210051201</v>
      </c>
      <c r="E333" s="7" t="s">
        <v>340</v>
      </c>
      <c r="F333" s="7">
        <v>67</v>
      </c>
      <c r="G333" s="7">
        <v>70</v>
      </c>
      <c r="H333" s="8">
        <f t="shared" si="16"/>
        <v>67.900000000000006</v>
      </c>
    </row>
    <row r="334" spans="1:8" s="2" customFormat="1">
      <c r="A334" s="7" t="s">
        <v>288</v>
      </c>
      <c r="B334" s="7" t="str">
        <f t="shared" si="17"/>
        <v>12</v>
      </c>
      <c r="C334" s="7" t="str">
        <f>"02"</f>
        <v>02</v>
      </c>
      <c r="D334" s="7" t="str">
        <f>"20210051202"</f>
        <v>20210051202</v>
      </c>
      <c r="E334" s="7" t="s">
        <v>341</v>
      </c>
      <c r="F334" s="7">
        <v>65</v>
      </c>
      <c r="G334" s="7">
        <v>84</v>
      </c>
      <c r="H334" s="8">
        <f t="shared" si="16"/>
        <v>70.7</v>
      </c>
    </row>
    <row r="335" spans="1:8" s="2" customFormat="1">
      <c r="A335" s="7" t="s">
        <v>288</v>
      </c>
      <c r="B335" s="7" t="str">
        <f t="shared" si="17"/>
        <v>12</v>
      </c>
      <c r="C335" s="7" t="str">
        <f>"03"</f>
        <v>03</v>
      </c>
      <c r="D335" s="7" t="str">
        <f>"20210051203"</f>
        <v>20210051203</v>
      </c>
      <c r="E335" s="7" t="s">
        <v>342</v>
      </c>
      <c r="F335" s="7">
        <v>67</v>
      </c>
      <c r="G335" s="7">
        <v>81</v>
      </c>
      <c r="H335" s="8">
        <f t="shared" si="16"/>
        <v>71.2</v>
      </c>
    </row>
    <row r="336" spans="1:8" s="2" customFormat="1">
      <c r="A336" s="7" t="s">
        <v>288</v>
      </c>
      <c r="B336" s="7" t="str">
        <f t="shared" si="17"/>
        <v>12</v>
      </c>
      <c r="C336" s="7" t="str">
        <f>"04"</f>
        <v>04</v>
      </c>
      <c r="D336" s="7" t="str">
        <f>"20210051204"</f>
        <v>20210051204</v>
      </c>
      <c r="E336" s="7" t="s">
        <v>343</v>
      </c>
      <c r="F336" s="7">
        <v>69.5</v>
      </c>
      <c r="G336" s="7">
        <v>81</v>
      </c>
      <c r="H336" s="8">
        <f t="shared" si="16"/>
        <v>72.95</v>
      </c>
    </row>
    <row r="337" spans="1:8" s="2" customFormat="1">
      <c r="A337" s="7" t="s">
        <v>288</v>
      </c>
      <c r="B337" s="7" t="str">
        <f t="shared" si="17"/>
        <v>12</v>
      </c>
      <c r="C337" s="7" t="str">
        <f>"05"</f>
        <v>05</v>
      </c>
      <c r="D337" s="7" t="str">
        <f>"20210051205"</f>
        <v>20210051205</v>
      </c>
      <c r="E337" s="7" t="s">
        <v>344</v>
      </c>
      <c r="F337" s="7">
        <v>70</v>
      </c>
      <c r="G337" s="7">
        <v>77</v>
      </c>
      <c r="H337" s="8">
        <f t="shared" si="16"/>
        <v>72.099999999999994</v>
      </c>
    </row>
    <row r="338" spans="1:8" s="2" customFormat="1">
      <c r="A338" s="7" t="s">
        <v>288</v>
      </c>
      <c r="B338" s="7" t="str">
        <f t="shared" si="17"/>
        <v>12</v>
      </c>
      <c r="C338" s="7" t="str">
        <f>"06"</f>
        <v>06</v>
      </c>
      <c r="D338" s="7" t="str">
        <f>"20210051206"</f>
        <v>20210051206</v>
      </c>
      <c r="E338" s="7" t="s">
        <v>345</v>
      </c>
      <c r="F338" s="7">
        <v>64</v>
      </c>
      <c r="G338" s="7">
        <v>83</v>
      </c>
      <c r="H338" s="8">
        <f t="shared" si="16"/>
        <v>69.699999999999989</v>
      </c>
    </row>
    <row r="339" spans="1:8" s="2" customFormat="1">
      <c r="A339" s="7" t="s">
        <v>288</v>
      </c>
      <c r="B339" s="7" t="str">
        <f t="shared" si="17"/>
        <v>12</v>
      </c>
      <c r="C339" s="7" t="str">
        <f>"07"</f>
        <v>07</v>
      </c>
      <c r="D339" s="7" t="str">
        <f>"20210051207"</f>
        <v>20210051207</v>
      </c>
      <c r="E339" s="7" t="s">
        <v>346</v>
      </c>
      <c r="F339" s="7">
        <v>74</v>
      </c>
      <c r="G339" s="7">
        <v>84</v>
      </c>
      <c r="H339" s="8">
        <f t="shared" si="16"/>
        <v>77</v>
      </c>
    </row>
    <row r="340" spans="1:8" s="2" customFormat="1">
      <c r="A340" s="7" t="s">
        <v>288</v>
      </c>
      <c r="B340" s="7" t="str">
        <f t="shared" si="17"/>
        <v>12</v>
      </c>
      <c r="C340" s="7" t="str">
        <f>"08"</f>
        <v>08</v>
      </c>
      <c r="D340" s="7" t="str">
        <f>"20210051208"</f>
        <v>20210051208</v>
      </c>
      <c r="E340" s="7" t="s">
        <v>347</v>
      </c>
      <c r="F340" s="7">
        <v>45</v>
      </c>
      <c r="G340" s="7">
        <v>52</v>
      </c>
      <c r="H340" s="8">
        <f t="shared" si="16"/>
        <v>47.099999999999994</v>
      </c>
    </row>
    <row r="341" spans="1:8" s="2" customFormat="1">
      <c r="A341" s="7" t="s">
        <v>288</v>
      </c>
      <c r="B341" s="7" t="str">
        <f t="shared" si="17"/>
        <v>12</v>
      </c>
      <c r="C341" s="7" t="str">
        <f>"09"</f>
        <v>09</v>
      </c>
      <c r="D341" s="7" t="str">
        <f>"20210051209"</f>
        <v>20210051209</v>
      </c>
      <c r="E341" s="7" t="s">
        <v>348</v>
      </c>
      <c r="F341" s="7">
        <v>49.5</v>
      </c>
      <c r="G341" s="7">
        <v>47</v>
      </c>
      <c r="H341" s="8">
        <f t="shared" si="16"/>
        <v>48.75</v>
      </c>
    </row>
    <row r="342" spans="1:8" s="2" customFormat="1">
      <c r="A342" s="7" t="s">
        <v>288</v>
      </c>
      <c r="B342" s="7" t="str">
        <f t="shared" si="17"/>
        <v>12</v>
      </c>
      <c r="C342" s="7" t="str">
        <f>"10"</f>
        <v>10</v>
      </c>
      <c r="D342" s="7" t="str">
        <f>"20210051210"</f>
        <v>20210051210</v>
      </c>
      <c r="E342" s="7" t="s">
        <v>349</v>
      </c>
      <c r="F342" s="7">
        <v>0</v>
      </c>
      <c r="G342" s="7">
        <v>0</v>
      </c>
      <c r="H342" s="8">
        <f t="shared" si="16"/>
        <v>0</v>
      </c>
    </row>
    <row r="343" spans="1:8" s="2" customFormat="1">
      <c r="A343" s="7" t="s">
        <v>288</v>
      </c>
      <c r="B343" s="7" t="str">
        <f t="shared" si="17"/>
        <v>12</v>
      </c>
      <c r="C343" s="7" t="str">
        <f>"11"</f>
        <v>11</v>
      </c>
      <c r="D343" s="7" t="str">
        <f>"20210051211"</f>
        <v>20210051211</v>
      </c>
      <c r="E343" s="7" t="s">
        <v>350</v>
      </c>
      <c r="F343" s="7">
        <v>64</v>
      </c>
      <c r="G343" s="7">
        <v>45</v>
      </c>
      <c r="H343" s="8">
        <f t="shared" si="16"/>
        <v>58.3</v>
      </c>
    </row>
    <row r="344" spans="1:8" s="2" customFormat="1">
      <c r="A344" s="7" t="s">
        <v>288</v>
      </c>
      <c r="B344" s="7" t="str">
        <f t="shared" si="17"/>
        <v>12</v>
      </c>
      <c r="C344" s="7" t="str">
        <f>"12"</f>
        <v>12</v>
      </c>
      <c r="D344" s="7" t="str">
        <f>"20210051212"</f>
        <v>20210051212</v>
      </c>
      <c r="E344" s="7" t="s">
        <v>351</v>
      </c>
      <c r="F344" s="7">
        <v>47</v>
      </c>
      <c r="G344" s="7">
        <v>39</v>
      </c>
      <c r="H344" s="8">
        <f t="shared" si="16"/>
        <v>44.599999999999994</v>
      </c>
    </row>
    <row r="345" spans="1:8" s="2" customFormat="1">
      <c r="A345" s="7" t="s">
        <v>288</v>
      </c>
      <c r="B345" s="7" t="str">
        <f t="shared" si="17"/>
        <v>12</v>
      </c>
      <c r="C345" s="7" t="str">
        <f>"13"</f>
        <v>13</v>
      </c>
      <c r="D345" s="7" t="str">
        <f>"20210051213"</f>
        <v>20210051213</v>
      </c>
      <c r="E345" s="7" t="s">
        <v>352</v>
      </c>
      <c r="F345" s="7">
        <v>39.5</v>
      </c>
      <c r="G345" s="7">
        <v>59</v>
      </c>
      <c r="H345" s="8">
        <f t="shared" si="16"/>
        <v>45.349999999999994</v>
      </c>
    </row>
    <row r="346" spans="1:8" s="2" customFormat="1">
      <c r="A346" s="7" t="s">
        <v>288</v>
      </c>
      <c r="B346" s="7" t="str">
        <f t="shared" si="17"/>
        <v>12</v>
      </c>
      <c r="C346" s="7" t="str">
        <f>"14"</f>
        <v>14</v>
      </c>
      <c r="D346" s="7" t="str">
        <f>"20210051214"</f>
        <v>20210051214</v>
      </c>
      <c r="E346" s="7" t="s">
        <v>353</v>
      </c>
      <c r="F346" s="7">
        <v>66</v>
      </c>
      <c r="G346" s="7">
        <v>71</v>
      </c>
      <c r="H346" s="8">
        <f t="shared" si="16"/>
        <v>67.5</v>
      </c>
    </row>
    <row r="347" spans="1:8" s="2" customFormat="1">
      <c r="A347" s="7" t="s">
        <v>288</v>
      </c>
      <c r="B347" s="7" t="str">
        <f t="shared" si="17"/>
        <v>12</v>
      </c>
      <c r="C347" s="7" t="str">
        <f>"15"</f>
        <v>15</v>
      </c>
      <c r="D347" s="7" t="str">
        <f>"20210051215"</f>
        <v>20210051215</v>
      </c>
      <c r="E347" s="7" t="s">
        <v>354</v>
      </c>
      <c r="F347" s="7">
        <v>65</v>
      </c>
      <c r="G347" s="7">
        <v>83</v>
      </c>
      <c r="H347" s="8">
        <f t="shared" si="16"/>
        <v>70.400000000000006</v>
      </c>
    </row>
    <row r="348" spans="1:8" s="2" customFormat="1">
      <c r="A348" s="7" t="s">
        <v>288</v>
      </c>
      <c r="B348" s="7" t="str">
        <f t="shared" si="17"/>
        <v>12</v>
      </c>
      <c r="C348" s="7" t="str">
        <f>"16"</f>
        <v>16</v>
      </c>
      <c r="D348" s="7" t="str">
        <f>"20210051216"</f>
        <v>20210051216</v>
      </c>
      <c r="E348" s="7" t="s">
        <v>355</v>
      </c>
      <c r="F348" s="7">
        <v>53</v>
      </c>
      <c r="G348" s="7">
        <v>57</v>
      </c>
      <c r="H348" s="8">
        <f t="shared" si="16"/>
        <v>54.199999999999989</v>
      </c>
    </row>
    <row r="349" spans="1:8" s="2" customFormat="1">
      <c r="A349" s="7" t="s">
        <v>288</v>
      </c>
      <c r="B349" s="7" t="str">
        <f t="shared" si="17"/>
        <v>12</v>
      </c>
      <c r="C349" s="7" t="str">
        <f>"17"</f>
        <v>17</v>
      </c>
      <c r="D349" s="7" t="str">
        <f>"20210051217"</f>
        <v>20210051217</v>
      </c>
      <c r="E349" s="7" t="s">
        <v>356</v>
      </c>
      <c r="F349" s="7">
        <v>68</v>
      </c>
      <c r="G349" s="7">
        <v>80</v>
      </c>
      <c r="H349" s="8">
        <f t="shared" si="16"/>
        <v>71.599999999999994</v>
      </c>
    </row>
    <row r="350" spans="1:8" s="2" customFormat="1">
      <c r="A350" s="7" t="s">
        <v>288</v>
      </c>
      <c r="B350" s="7" t="str">
        <f t="shared" si="17"/>
        <v>12</v>
      </c>
      <c r="C350" s="7" t="str">
        <f>"18"</f>
        <v>18</v>
      </c>
      <c r="D350" s="7" t="str">
        <f>"20210051218"</f>
        <v>20210051218</v>
      </c>
      <c r="E350" s="7" t="s">
        <v>357</v>
      </c>
      <c r="F350" s="7">
        <v>68</v>
      </c>
      <c r="G350" s="7">
        <v>59</v>
      </c>
      <c r="H350" s="8">
        <f t="shared" si="16"/>
        <v>65.3</v>
      </c>
    </row>
    <row r="351" spans="1:8" s="2" customFormat="1">
      <c r="A351" s="7" t="s">
        <v>288</v>
      </c>
      <c r="B351" s="7" t="str">
        <f t="shared" si="17"/>
        <v>12</v>
      </c>
      <c r="C351" s="7" t="str">
        <f>"19"</f>
        <v>19</v>
      </c>
      <c r="D351" s="7" t="str">
        <f>"20210051219"</f>
        <v>20210051219</v>
      </c>
      <c r="E351" s="7" t="s">
        <v>358</v>
      </c>
      <c r="F351" s="7">
        <v>60.5</v>
      </c>
      <c r="G351" s="7">
        <v>57</v>
      </c>
      <c r="H351" s="8">
        <f t="shared" si="16"/>
        <v>59.449999999999989</v>
      </c>
    </row>
    <row r="352" spans="1:8" s="2" customFormat="1">
      <c r="A352" s="7" t="s">
        <v>288</v>
      </c>
      <c r="B352" s="7" t="str">
        <f t="shared" si="17"/>
        <v>12</v>
      </c>
      <c r="C352" s="7" t="str">
        <f>"20"</f>
        <v>20</v>
      </c>
      <c r="D352" s="7" t="str">
        <f>"20210051220"</f>
        <v>20210051220</v>
      </c>
      <c r="E352" s="7" t="s">
        <v>359</v>
      </c>
      <c r="F352" s="7">
        <v>77</v>
      </c>
      <c r="G352" s="7">
        <v>83</v>
      </c>
      <c r="H352" s="8">
        <f t="shared" si="16"/>
        <v>78.8</v>
      </c>
    </row>
    <row r="353" spans="1:8" s="2" customFormat="1">
      <c r="A353" s="7" t="s">
        <v>360</v>
      </c>
      <c r="B353" s="7" t="str">
        <f t="shared" si="17"/>
        <v>12</v>
      </c>
      <c r="C353" s="7" t="str">
        <f>"21"</f>
        <v>21</v>
      </c>
      <c r="D353" s="7" t="str">
        <f>"20210061221"</f>
        <v>20210061221</v>
      </c>
      <c r="E353" s="7" t="s">
        <v>361</v>
      </c>
      <c r="F353" s="7">
        <v>72</v>
      </c>
      <c r="G353" s="7">
        <v>78</v>
      </c>
      <c r="H353" s="8">
        <f t="shared" si="16"/>
        <v>73.8</v>
      </c>
    </row>
    <row r="354" spans="1:8" s="2" customFormat="1">
      <c r="A354" s="7" t="s">
        <v>360</v>
      </c>
      <c r="B354" s="7" t="str">
        <f t="shared" si="17"/>
        <v>12</v>
      </c>
      <c r="C354" s="7" t="str">
        <f>"22"</f>
        <v>22</v>
      </c>
      <c r="D354" s="7" t="str">
        <f>"20210061222"</f>
        <v>20210061222</v>
      </c>
      <c r="E354" s="7" t="s">
        <v>362</v>
      </c>
      <c r="F354" s="7">
        <v>67</v>
      </c>
      <c r="G354" s="7">
        <v>62</v>
      </c>
      <c r="H354" s="8">
        <f t="shared" si="16"/>
        <v>65.5</v>
      </c>
    </row>
    <row r="355" spans="1:8" s="2" customFormat="1">
      <c r="A355" s="7" t="s">
        <v>360</v>
      </c>
      <c r="B355" s="7" t="str">
        <f t="shared" si="17"/>
        <v>12</v>
      </c>
      <c r="C355" s="7" t="str">
        <f>"23"</f>
        <v>23</v>
      </c>
      <c r="D355" s="7" t="str">
        <f>"20210061223"</f>
        <v>20210061223</v>
      </c>
      <c r="E355" s="7" t="s">
        <v>363</v>
      </c>
      <c r="F355" s="7">
        <v>61</v>
      </c>
      <c r="G355" s="7">
        <v>84</v>
      </c>
      <c r="H355" s="8">
        <f t="shared" si="16"/>
        <v>67.899999999999991</v>
      </c>
    </row>
    <row r="356" spans="1:8" s="2" customFormat="1">
      <c r="A356" s="7" t="s">
        <v>360</v>
      </c>
      <c r="B356" s="7" t="str">
        <f t="shared" si="17"/>
        <v>12</v>
      </c>
      <c r="C356" s="7" t="str">
        <f>"24"</f>
        <v>24</v>
      </c>
      <c r="D356" s="7" t="str">
        <f>"20210061224"</f>
        <v>20210061224</v>
      </c>
      <c r="E356" s="7" t="s">
        <v>364</v>
      </c>
      <c r="F356" s="7">
        <v>73</v>
      </c>
      <c r="G356" s="7">
        <v>79</v>
      </c>
      <c r="H356" s="8">
        <f t="shared" si="16"/>
        <v>74.8</v>
      </c>
    </row>
    <row r="357" spans="1:8" s="2" customFormat="1">
      <c r="A357" s="7" t="s">
        <v>360</v>
      </c>
      <c r="B357" s="7" t="str">
        <f t="shared" si="17"/>
        <v>12</v>
      </c>
      <c r="C357" s="7" t="str">
        <f>"25"</f>
        <v>25</v>
      </c>
      <c r="D357" s="7" t="str">
        <f>"20210061225"</f>
        <v>20210061225</v>
      </c>
      <c r="E357" s="7" t="s">
        <v>365</v>
      </c>
      <c r="F357" s="7">
        <v>67</v>
      </c>
      <c r="G357" s="7">
        <v>67</v>
      </c>
      <c r="H357" s="8">
        <f t="shared" si="16"/>
        <v>67</v>
      </c>
    </row>
    <row r="358" spans="1:8" s="2" customFormat="1">
      <c r="A358" s="7" t="s">
        <v>360</v>
      </c>
      <c r="B358" s="7" t="str">
        <f t="shared" si="17"/>
        <v>12</v>
      </c>
      <c r="C358" s="7" t="str">
        <f>"26"</f>
        <v>26</v>
      </c>
      <c r="D358" s="7" t="str">
        <f>"20210061226"</f>
        <v>20210061226</v>
      </c>
      <c r="E358" s="7" t="s">
        <v>366</v>
      </c>
      <c r="F358" s="7">
        <v>0</v>
      </c>
      <c r="G358" s="7">
        <v>0</v>
      </c>
      <c r="H358" s="8">
        <f t="shared" si="16"/>
        <v>0</v>
      </c>
    </row>
    <row r="359" spans="1:8" s="2" customFormat="1">
      <c r="A359" s="7" t="s">
        <v>360</v>
      </c>
      <c r="B359" s="7" t="str">
        <f t="shared" si="17"/>
        <v>12</v>
      </c>
      <c r="C359" s="7" t="str">
        <f>"27"</f>
        <v>27</v>
      </c>
      <c r="D359" s="7" t="str">
        <f>"20210061227"</f>
        <v>20210061227</v>
      </c>
      <c r="E359" s="7" t="s">
        <v>367</v>
      </c>
      <c r="F359" s="7">
        <v>58</v>
      </c>
      <c r="G359" s="7">
        <v>72</v>
      </c>
      <c r="H359" s="8">
        <f t="shared" si="16"/>
        <v>62.199999999999989</v>
      </c>
    </row>
    <row r="360" spans="1:8" s="2" customFormat="1">
      <c r="A360" s="7" t="s">
        <v>360</v>
      </c>
      <c r="B360" s="7" t="str">
        <f t="shared" si="17"/>
        <v>12</v>
      </c>
      <c r="C360" s="7" t="str">
        <f>"28"</f>
        <v>28</v>
      </c>
      <c r="D360" s="7" t="str">
        <f>"20210061228"</f>
        <v>20210061228</v>
      </c>
      <c r="E360" s="7" t="s">
        <v>368</v>
      </c>
      <c r="F360" s="7">
        <v>63</v>
      </c>
      <c r="G360" s="7">
        <v>62</v>
      </c>
      <c r="H360" s="8">
        <f t="shared" si="16"/>
        <v>62.699999999999989</v>
      </c>
    </row>
    <row r="361" spans="1:8" s="2" customFormat="1">
      <c r="A361" s="7" t="s">
        <v>360</v>
      </c>
      <c r="B361" s="7" t="str">
        <f t="shared" si="17"/>
        <v>12</v>
      </c>
      <c r="C361" s="7" t="str">
        <f>"29"</f>
        <v>29</v>
      </c>
      <c r="D361" s="7" t="str">
        <f>"20210061229"</f>
        <v>20210061229</v>
      </c>
      <c r="E361" s="7" t="s">
        <v>260</v>
      </c>
      <c r="F361" s="7">
        <v>47</v>
      </c>
      <c r="G361" s="7">
        <v>48</v>
      </c>
      <c r="H361" s="8">
        <f t="shared" si="16"/>
        <v>47.3</v>
      </c>
    </row>
    <row r="362" spans="1:8" s="2" customFormat="1">
      <c r="A362" s="7" t="s">
        <v>360</v>
      </c>
      <c r="B362" s="7" t="str">
        <f t="shared" si="17"/>
        <v>12</v>
      </c>
      <c r="C362" s="7" t="str">
        <f>"30"</f>
        <v>30</v>
      </c>
      <c r="D362" s="7" t="str">
        <f>"20210061230"</f>
        <v>20210061230</v>
      </c>
      <c r="E362" s="7" t="s">
        <v>369</v>
      </c>
      <c r="F362" s="7">
        <v>46.5</v>
      </c>
      <c r="G362" s="7">
        <v>43</v>
      </c>
      <c r="H362" s="8">
        <f t="shared" si="16"/>
        <v>45.449999999999996</v>
      </c>
    </row>
    <row r="363" spans="1:8" s="2" customFormat="1">
      <c r="A363" s="7" t="s">
        <v>360</v>
      </c>
      <c r="B363" s="7" t="str">
        <f t="shared" ref="B363:B392" si="18">"13"</f>
        <v>13</v>
      </c>
      <c r="C363" s="7" t="str">
        <f>"01"</f>
        <v>01</v>
      </c>
      <c r="D363" s="7" t="str">
        <f>"20210061301"</f>
        <v>20210061301</v>
      </c>
      <c r="E363" s="7" t="s">
        <v>370</v>
      </c>
      <c r="F363" s="7">
        <v>48</v>
      </c>
      <c r="G363" s="7">
        <v>37</v>
      </c>
      <c r="H363" s="8">
        <f t="shared" si="16"/>
        <v>44.699999999999996</v>
      </c>
    </row>
    <row r="364" spans="1:8" s="2" customFormat="1">
      <c r="A364" s="7" t="s">
        <v>360</v>
      </c>
      <c r="B364" s="7" t="str">
        <f t="shared" si="18"/>
        <v>13</v>
      </c>
      <c r="C364" s="7" t="str">
        <f>"02"</f>
        <v>02</v>
      </c>
      <c r="D364" s="7" t="str">
        <f>"20210061302"</f>
        <v>20210061302</v>
      </c>
      <c r="E364" s="7" t="s">
        <v>371</v>
      </c>
      <c r="F364" s="7">
        <v>73</v>
      </c>
      <c r="G364" s="7">
        <v>82</v>
      </c>
      <c r="H364" s="8">
        <f t="shared" si="16"/>
        <v>75.699999999999989</v>
      </c>
    </row>
    <row r="365" spans="1:8" s="2" customFormat="1">
      <c r="A365" s="7" t="s">
        <v>360</v>
      </c>
      <c r="B365" s="7" t="str">
        <f t="shared" si="18"/>
        <v>13</v>
      </c>
      <c r="C365" s="7" t="str">
        <f>"03"</f>
        <v>03</v>
      </c>
      <c r="D365" s="7" t="str">
        <f>"20210061303"</f>
        <v>20210061303</v>
      </c>
      <c r="E365" s="7" t="s">
        <v>372</v>
      </c>
      <c r="F365" s="7">
        <v>48.5</v>
      </c>
      <c r="G365" s="7">
        <v>60</v>
      </c>
      <c r="H365" s="8">
        <f t="shared" si="16"/>
        <v>51.949999999999996</v>
      </c>
    </row>
    <row r="366" spans="1:8" s="2" customFormat="1">
      <c r="A366" s="7" t="s">
        <v>360</v>
      </c>
      <c r="B366" s="7" t="str">
        <f t="shared" si="18"/>
        <v>13</v>
      </c>
      <c r="C366" s="7" t="str">
        <f>"04"</f>
        <v>04</v>
      </c>
      <c r="D366" s="7" t="str">
        <f>"20210061304"</f>
        <v>20210061304</v>
      </c>
      <c r="E366" s="7" t="s">
        <v>373</v>
      </c>
      <c r="F366" s="7">
        <v>64.5</v>
      </c>
      <c r="G366" s="7">
        <v>79</v>
      </c>
      <c r="H366" s="8">
        <f t="shared" si="16"/>
        <v>68.849999999999994</v>
      </c>
    </row>
    <row r="367" spans="1:8" s="2" customFormat="1">
      <c r="A367" s="7" t="s">
        <v>360</v>
      </c>
      <c r="B367" s="7" t="str">
        <f t="shared" si="18"/>
        <v>13</v>
      </c>
      <c r="C367" s="7" t="str">
        <f>"05"</f>
        <v>05</v>
      </c>
      <c r="D367" s="7" t="str">
        <f>"20210061305"</f>
        <v>20210061305</v>
      </c>
      <c r="E367" s="7" t="s">
        <v>374</v>
      </c>
      <c r="F367" s="7">
        <v>62.5</v>
      </c>
      <c r="G367" s="7">
        <v>54</v>
      </c>
      <c r="H367" s="8">
        <f t="shared" si="16"/>
        <v>59.95</v>
      </c>
    </row>
    <row r="368" spans="1:8" s="2" customFormat="1">
      <c r="A368" s="7" t="s">
        <v>360</v>
      </c>
      <c r="B368" s="7" t="str">
        <f t="shared" si="18"/>
        <v>13</v>
      </c>
      <c r="C368" s="7" t="str">
        <f>"06"</f>
        <v>06</v>
      </c>
      <c r="D368" s="7" t="str">
        <f>"20210061306"</f>
        <v>20210061306</v>
      </c>
      <c r="E368" s="7" t="s">
        <v>375</v>
      </c>
      <c r="F368" s="7">
        <v>56.5</v>
      </c>
      <c r="G368" s="7">
        <v>64</v>
      </c>
      <c r="H368" s="8">
        <f t="shared" si="16"/>
        <v>58.75</v>
      </c>
    </row>
    <row r="369" spans="1:8" s="2" customFormat="1">
      <c r="A369" s="7" t="s">
        <v>360</v>
      </c>
      <c r="B369" s="7" t="str">
        <f t="shared" si="18"/>
        <v>13</v>
      </c>
      <c r="C369" s="7" t="str">
        <f>"07"</f>
        <v>07</v>
      </c>
      <c r="D369" s="7" t="str">
        <f>"20210061307"</f>
        <v>20210061307</v>
      </c>
      <c r="E369" s="7" t="s">
        <v>376</v>
      </c>
      <c r="F369" s="7">
        <v>66</v>
      </c>
      <c r="G369" s="7">
        <v>62</v>
      </c>
      <c r="H369" s="8">
        <f t="shared" si="16"/>
        <v>64.8</v>
      </c>
    </row>
    <row r="370" spans="1:8" s="2" customFormat="1">
      <c r="A370" s="7" t="s">
        <v>360</v>
      </c>
      <c r="B370" s="7" t="str">
        <f t="shared" si="18"/>
        <v>13</v>
      </c>
      <c r="C370" s="7" t="str">
        <f>"08"</f>
        <v>08</v>
      </c>
      <c r="D370" s="7" t="str">
        <f>"20210061308"</f>
        <v>20210061308</v>
      </c>
      <c r="E370" s="7" t="s">
        <v>377</v>
      </c>
      <c r="F370" s="7">
        <v>53.5</v>
      </c>
      <c r="G370" s="7">
        <v>71</v>
      </c>
      <c r="H370" s="8">
        <f t="shared" si="16"/>
        <v>58.75</v>
      </c>
    </row>
    <row r="371" spans="1:8" s="2" customFormat="1">
      <c r="A371" s="7" t="s">
        <v>360</v>
      </c>
      <c r="B371" s="7" t="str">
        <f t="shared" si="18"/>
        <v>13</v>
      </c>
      <c r="C371" s="7" t="str">
        <f>"09"</f>
        <v>09</v>
      </c>
      <c r="D371" s="7" t="str">
        <f>"20210061309"</f>
        <v>20210061309</v>
      </c>
      <c r="E371" s="7" t="s">
        <v>378</v>
      </c>
      <c r="F371" s="7">
        <v>69</v>
      </c>
      <c r="G371" s="7">
        <v>76</v>
      </c>
      <c r="H371" s="8">
        <f t="shared" si="16"/>
        <v>71.099999999999994</v>
      </c>
    </row>
    <row r="372" spans="1:8" s="2" customFormat="1">
      <c r="A372" s="7" t="s">
        <v>360</v>
      </c>
      <c r="B372" s="7" t="str">
        <f t="shared" si="18"/>
        <v>13</v>
      </c>
      <c r="C372" s="7" t="str">
        <f>"10"</f>
        <v>10</v>
      </c>
      <c r="D372" s="7" t="str">
        <f>"20210061310"</f>
        <v>20210061310</v>
      </c>
      <c r="E372" s="7" t="s">
        <v>379</v>
      </c>
      <c r="F372" s="7">
        <v>66</v>
      </c>
      <c r="G372" s="7">
        <v>83</v>
      </c>
      <c r="H372" s="8">
        <f t="shared" si="16"/>
        <v>71.099999999999994</v>
      </c>
    </row>
    <row r="373" spans="1:8" s="2" customFormat="1">
      <c r="A373" s="7" t="s">
        <v>360</v>
      </c>
      <c r="B373" s="7" t="str">
        <f t="shared" si="18"/>
        <v>13</v>
      </c>
      <c r="C373" s="7" t="str">
        <f>"11"</f>
        <v>11</v>
      </c>
      <c r="D373" s="7" t="str">
        <f>"20210061311"</f>
        <v>20210061311</v>
      </c>
      <c r="E373" s="7" t="s">
        <v>380</v>
      </c>
      <c r="F373" s="7">
        <v>56</v>
      </c>
      <c r="G373" s="7">
        <v>69</v>
      </c>
      <c r="H373" s="8">
        <f t="shared" si="16"/>
        <v>59.899999999999991</v>
      </c>
    </row>
    <row r="374" spans="1:8" s="2" customFormat="1">
      <c r="A374" s="7" t="s">
        <v>360</v>
      </c>
      <c r="B374" s="7" t="str">
        <f t="shared" si="18"/>
        <v>13</v>
      </c>
      <c r="C374" s="7" t="str">
        <f>"12"</f>
        <v>12</v>
      </c>
      <c r="D374" s="7" t="str">
        <f>"20210061312"</f>
        <v>20210061312</v>
      </c>
      <c r="E374" s="7" t="s">
        <v>381</v>
      </c>
      <c r="F374" s="7">
        <v>62</v>
      </c>
      <c r="G374" s="7">
        <v>75</v>
      </c>
      <c r="H374" s="8">
        <f t="shared" si="16"/>
        <v>65.900000000000006</v>
      </c>
    </row>
    <row r="375" spans="1:8" s="2" customFormat="1">
      <c r="A375" s="7" t="s">
        <v>360</v>
      </c>
      <c r="B375" s="7" t="str">
        <f t="shared" si="18"/>
        <v>13</v>
      </c>
      <c r="C375" s="7" t="str">
        <f>"13"</f>
        <v>13</v>
      </c>
      <c r="D375" s="7" t="str">
        <f>"20210061313"</f>
        <v>20210061313</v>
      </c>
      <c r="E375" s="7" t="s">
        <v>382</v>
      </c>
      <c r="F375" s="7">
        <v>59</v>
      </c>
      <c r="G375" s="7">
        <v>72</v>
      </c>
      <c r="H375" s="8">
        <f t="shared" si="16"/>
        <v>62.899999999999991</v>
      </c>
    </row>
    <row r="376" spans="1:8" s="2" customFormat="1">
      <c r="A376" s="7" t="s">
        <v>360</v>
      </c>
      <c r="B376" s="7" t="str">
        <f t="shared" si="18"/>
        <v>13</v>
      </c>
      <c r="C376" s="7" t="str">
        <f>"14"</f>
        <v>14</v>
      </c>
      <c r="D376" s="7" t="str">
        <f>"20210061314"</f>
        <v>20210061314</v>
      </c>
      <c r="E376" s="7" t="s">
        <v>383</v>
      </c>
      <c r="F376" s="7">
        <v>0</v>
      </c>
      <c r="G376" s="7">
        <v>0</v>
      </c>
      <c r="H376" s="8">
        <f t="shared" si="16"/>
        <v>0</v>
      </c>
    </row>
    <row r="377" spans="1:8" s="2" customFormat="1">
      <c r="A377" s="7" t="s">
        <v>360</v>
      </c>
      <c r="B377" s="7" t="str">
        <f t="shared" si="18"/>
        <v>13</v>
      </c>
      <c r="C377" s="7" t="str">
        <f>"15"</f>
        <v>15</v>
      </c>
      <c r="D377" s="7" t="str">
        <f>"20210061315"</f>
        <v>20210061315</v>
      </c>
      <c r="E377" s="7" t="s">
        <v>384</v>
      </c>
      <c r="F377" s="7">
        <v>70</v>
      </c>
      <c r="G377" s="7">
        <v>63</v>
      </c>
      <c r="H377" s="8">
        <f t="shared" si="16"/>
        <v>67.900000000000006</v>
      </c>
    </row>
    <row r="378" spans="1:8" s="2" customFormat="1">
      <c r="A378" s="7" t="s">
        <v>360</v>
      </c>
      <c r="B378" s="7" t="str">
        <f t="shared" si="18"/>
        <v>13</v>
      </c>
      <c r="C378" s="7" t="str">
        <f>"16"</f>
        <v>16</v>
      </c>
      <c r="D378" s="7" t="str">
        <f>"20210061316"</f>
        <v>20210061316</v>
      </c>
      <c r="E378" s="7" t="s">
        <v>385</v>
      </c>
      <c r="F378" s="7">
        <v>69</v>
      </c>
      <c r="G378" s="7">
        <v>68</v>
      </c>
      <c r="H378" s="8">
        <f t="shared" si="16"/>
        <v>68.699999999999989</v>
      </c>
    </row>
    <row r="379" spans="1:8" s="2" customFormat="1">
      <c r="A379" s="7" t="s">
        <v>360</v>
      </c>
      <c r="B379" s="7" t="str">
        <f t="shared" si="18"/>
        <v>13</v>
      </c>
      <c r="C379" s="7" t="str">
        <f>"17"</f>
        <v>17</v>
      </c>
      <c r="D379" s="7" t="str">
        <f>"20210061317"</f>
        <v>20210061317</v>
      </c>
      <c r="E379" s="7" t="s">
        <v>386</v>
      </c>
      <c r="F379" s="7">
        <v>76.5</v>
      </c>
      <c r="G379" s="7">
        <v>87</v>
      </c>
      <c r="H379" s="8">
        <f t="shared" si="16"/>
        <v>79.649999999999991</v>
      </c>
    </row>
    <row r="380" spans="1:8" s="2" customFormat="1">
      <c r="A380" s="7" t="s">
        <v>360</v>
      </c>
      <c r="B380" s="7" t="str">
        <f t="shared" si="18"/>
        <v>13</v>
      </c>
      <c r="C380" s="7" t="str">
        <f>"18"</f>
        <v>18</v>
      </c>
      <c r="D380" s="7" t="str">
        <f>"20210061318"</f>
        <v>20210061318</v>
      </c>
      <c r="E380" s="7" t="s">
        <v>387</v>
      </c>
      <c r="F380" s="7">
        <v>57</v>
      </c>
      <c r="G380" s="7">
        <v>57</v>
      </c>
      <c r="H380" s="8">
        <f t="shared" si="16"/>
        <v>57</v>
      </c>
    </row>
    <row r="381" spans="1:8" s="2" customFormat="1">
      <c r="A381" s="7" t="s">
        <v>360</v>
      </c>
      <c r="B381" s="7" t="str">
        <f t="shared" si="18"/>
        <v>13</v>
      </c>
      <c r="C381" s="7" t="str">
        <f>"19"</f>
        <v>19</v>
      </c>
      <c r="D381" s="7" t="str">
        <f>"20210061319"</f>
        <v>20210061319</v>
      </c>
      <c r="E381" s="7" t="s">
        <v>388</v>
      </c>
      <c r="F381" s="7">
        <v>60</v>
      </c>
      <c r="G381" s="7">
        <v>57</v>
      </c>
      <c r="H381" s="8">
        <f t="shared" si="16"/>
        <v>59.099999999999994</v>
      </c>
    </row>
    <row r="382" spans="1:8" s="2" customFormat="1">
      <c r="A382" s="7" t="s">
        <v>360</v>
      </c>
      <c r="B382" s="7" t="str">
        <f t="shared" si="18"/>
        <v>13</v>
      </c>
      <c r="C382" s="7" t="str">
        <f>"20"</f>
        <v>20</v>
      </c>
      <c r="D382" s="7" t="str">
        <f>"20210061320"</f>
        <v>20210061320</v>
      </c>
      <c r="E382" s="7" t="s">
        <v>389</v>
      </c>
      <c r="F382" s="7">
        <v>70</v>
      </c>
      <c r="G382" s="7">
        <v>80</v>
      </c>
      <c r="H382" s="8">
        <f t="shared" si="16"/>
        <v>73</v>
      </c>
    </row>
    <row r="383" spans="1:8" s="2" customFormat="1">
      <c r="A383" s="7" t="s">
        <v>360</v>
      </c>
      <c r="B383" s="7" t="str">
        <f t="shared" si="18"/>
        <v>13</v>
      </c>
      <c r="C383" s="7" t="str">
        <f>"21"</f>
        <v>21</v>
      </c>
      <c r="D383" s="7" t="str">
        <f>"20210061321"</f>
        <v>20210061321</v>
      </c>
      <c r="E383" s="7" t="s">
        <v>390</v>
      </c>
      <c r="F383" s="7">
        <v>62</v>
      </c>
      <c r="G383" s="7">
        <v>36</v>
      </c>
      <c r="H383" s="8">
        <f t="shared" si="16"/>
        <v>54.199999999999996</v>
      </c>
    </row>
    <row r="384" spans="1:8" s="2" customFormat="1">
      <c r="A384" s="7" t="s">
        <v>360</v>
      </c>
      <c r="B384" s="7" t="str">
        <f t="shared" si="18"/>
        <v>13</v>
      </c>
      <c r="C384" s="7" t="str">
        <f>"22"</f>
        <v>22</v>
      </c>
      <c r="D384" s="7" t="str">
        <f>"20210061322"</f>
        <v>20210061322</v>
      </c>
      <c r="E384" s="7" t="s">
        <v>391</v>
      </c>
      <c r="F384" s="7">
        <v>60</v>
      </c>
      <c r="G384" s="7">
        <v>60</v>
      </c>
      <c r="H384" s="8">
        <f t="shared" si="16"/>
        <v>60</v>
      </c>
    </row>
    <row r="385" spans="1:8" s="2" customFormat="1">
      <c r="A385" s="7" t="s">
        <v>360</v>
      </c>
      <c r="B385" s="7" t="str">
        <f t="shared" si="18"/>
        <v>13</v>
      </c>
      <c r="C385" s="7" t="str">
        <f>"23"</f>
        <v>23</v>
      </c>
      <c r="D385" s="7" t="str">
        <f>"20210061323"</f>
        <v>20210061323</v>
      </c>
      <c r="E385" s="7" t="s">
        <v>392</v>
      </c>
      <c r="F385" s="7">
        <v>62</v>
      </c>
      <c r="G385" s="7">
        <v>62</v>
      </c>
      <c r="H385" s="8">
        <f t="shared" si="16"/>
        <v>62</v>
      </c>
    </row>
    <row r="386" spans="1:8" s="2" customFormat="1">
      <c r="A386" s="7" t="s">
        <v>360</v>
      </c>
      <c r="B386" s="7" t="str">
        <f t="shared" si="18"/>
        <v>13</v>
      </c>
      <c r="C386" s="7" t="str">
        <f>"24"</f>
        <v>24</v>
      </c>
      <c r="D386" s="7" t="str">
        <f>"20210061324"</f>
        <v>20210061324</v>
      </c>
      <c r="E386" s="7" t="s">
        <v>393</v>
      </c>
      <c r="F386" s="7">
        <v>58.5</v>
      </c>
      <c r="G386" s="7">
        <v>51</v>
      </c>
      <c r="H386" s="8">
        <f t="shared" si="16"/>
        <v>56.249999999999993</v>
      </c>
    </row>
    <row r="387" spans="1:8" s="2" customFormat="1">
      <c r="A387" s="7" t="s">
        <v>360</v>
      </c>
      <c r="B387" s="7" t="str">
        <f t="shared" si="18"/>
        <v>13</v>
      </c>
      <c r="C387" s="7" t="str">
        <f>"25"</f>
        <v>25</v>
      </c>
      <c r="D387" s="7" t="str">
        <f>"20210061325"</f>
        <v>20210061325</v>
      </c>
      <c r="E387" s="7" t="s">
        <v>394</v>
      </c>
      <c r="F387" s="7">
        <v>69.5</v>
      </c>
      <c r="G387" s="7">
        <v>75</v>
      </c>
      <c r="H387" s="8">
        <f t="shared" ref="H387:H450" si="19">F387*0.7+G387*0.3</f>
        <v>71.150000000000006</v>
      </c>
    </row>
    <row r="388" spans="1:8" s="2" customFormat="1">
      <c r="A388" s="7" t="s">
        <v>360</v>
      </c>
      <c r="B388" s="7" t="str">
        <f t="shared" si="18"/>
        <v>13</v>
      </c>
      <c r="C388" s="7" t="str">
        <f>"26"</f>
        <v>26</v>
      </c>
      <c r="D388" s="7" t="str">
        <f>"20210061326"</f>
        <v>20210061326</v>
      </c>
      <c r="E388" s="7" t="s">
        <v>395</v>
      </c>
      <c r="F388" s="7">
        <v>50</v>
      </c>
      <c r="G388" s="7">
        <v>82</v>
      </c>
      <c r="H388" s="8">
        <f t="shared" si="19"/>
        <v>59.599999999999994</v>
      </c>
    </row>
    <row r="389" spans="1:8" s="2" customFormat="1">
      <c r="A389" s="7" t="s">
        <v>360</v>
      </c>
      <c r="B389" s="7" t="str">
        <f t="shared" si="18"/>
        <v>13</v>
      </c>
      <c r="C389" s="7" t="str">
        <f>"27"</f>
        <v>27</v>
      </c>
      <c r="D389" s="7" t="str">
        <f>"20210061327"</f>
        <v>20210061327</v>
      </c>
      <c r="E389" s="7" t="s">
        <v>396</v>
      </c>
      <c r="F389" s="7">
        <v>54</v>
      </c>
      <c r="G389" s="7">
        <v>50</v>
      </c>
      <c r="H389" s="8">
        <f t="shared" si="19"/>
        <v>52.8</v>
      </c>
    </row>
    <row r="390" spans="1:8" s="2" customFormat="1">
      <c r="A390" s="7" t="s">
        <v>360</v>
      </c>
      <c r="B390" s="7" t="str">
        <f t="shared" si="18"/>
        <v>13</v>
      </c>
      <c r="C390" s="7" t="str">
        <f>"28"</f>
        <v>28</v>
      </c>
      <c r="D390" s="7" t="str">
        <f>"20210061328"</f>
        <v>20210061328</v>
      </c>
      <c r="E390" s="7" t="s">
        <v>397</v>
      </c>
      <c r="F390" s="7">
        <v>43</v>
      </c>
      <c r="G390" s="7">
        <v>76</v>
      </c>
      <c r="H390" s="8">
        <f t="shared" si="19"/>
        <v>52.9</v>
      </c>
    </row>
    <row r="391" spans="1:8" s="2" customFormat="1">
      <c r="A391" s="7" t="s">
        <v>360</v>
      </c>
      <c r="B391" s="7" t="str">
        <f t="shared" si="18"/>
        <v>13</v>
      </c>
      <c r="C391" s="7" t="str">
        <f>"29"</f>
        <v>29</v>
      </c>
      <c r="D391" s="7" t="str">
        <f>"20210061329"</f>
        <v>20210061329</v>
      </c>
      <c r="E391" s="7" t="s">
        <v>398</v>
      </c>
      <c r="F391" s="7">
        <v>54</v>
      </c>
      <c r="G391" s="7">
        <v>53</v>
      </c>
      <c r="H391" s="8">
        <f t="shared" si="19"/>
        <v>53.699999999999996</v>
      </c>
    </row>
    <row r="392" spans="1:8" s="2" customFormat="1">
      <c r="A392" s="7" t="s">
        <v>360</v>
      </c>
      <c r="B392" s="7" t="str">
        <f t="shared" si="18"/>
        <v>13</v>
      </c>
      <c r="C392" s="7" t="str">
        <f>"30"</f>
        <v>30</v>
      </c>
      <c r="D392" s="7" t="str">
        <f>"20210061330"</f>
        <v>20210061330</v>
      </c>
      <c r="E392" s="7" t="s">
        <v>399</v>
      </c>
      <c r="F392" s="7">
        <v>51</v>
      </c>
      <c r="G392" s="7">
        <v>80</v>
      </c>
      <c r="H392" s="8">
        <f t="shared" si="19"/>
        <v>59.699999999999996</v>
      </c>
    </row>
    <row r="393" spans="1:8" s="2" customFormat="1">
      <c r="A393" s="7" t="s">
        <v>360</v>
      </c>
      <c r="B393" s="7" t="str">
        <f t="shared" ref="B393:B422" si="20">"14"</f>
        <v>14</v>
      </c>
      <c r="C393" s="7" t="str">
        <f>"01"</f>
        <v>01</v>
      </c>
      <c r="D393" s="7" t="str">
        <f>"20210061401"</f>
        <v>20210061401</v>
      </c>
      <c r="E393" s="7" t="s">
        <v>400</v>
      </c>
      <c r="F393" s="7">
        <v>79</v>
      </c>
      <c r="G393" s="7">
        <v>86</v>
      </c>
      <c r="H393" s="8">
        <f t="shared" si="19"/>
        <v>81.099999999999994</v>
      </c>
    </row>
    <row r="394" spans="1:8" s="2" customFormat="1">
      <c r="A394" s="7" t="s">
        <v>360</v>
      </c>
      <c r="B394" s="7" t="str">
        <f t="shared" si="20"/>
        <v>14</v>
      </c>
      <c r="C394" s="7" t="str">
        <f>"02"</f>
        <v>02</v>
      </c>
      <c r="D394" s="7" t="str">
        <f>"20210061402"</f>
        <v>20210061402</v>
      </c>
      <c r="E394" s="7" t="s">
        <v>401</v>
      </c>
      <c r="F394" s="7">
        <v>70</v>
      </c>
      <c r="G394" s="7">
        <v>73</v>
      </c>
      <c r="H394" s="8">
        <f t="shared" si="19"/>
        <v>70.900000000000006</v>
      </c>
    </row>
    <row r="395" spans="1:8" s="2" customFormat="1">
      <c r="A395" s="7" t="s">
        <v>360</v>
      </c>
      <c r="B395" s="7" t="str">
        <f t="shared" si="20"/>
        <v>14</v>
      </c>
      <c r="C395" s="7" t="str">
        <f>"03"</f>
        <v>03</v>
      </c>
      <c r="D395" s="7" t="str">
        <f>"20210061403"</f>
        <v>20210061403</v>
      </c>
      <c r="E395" s="7" t="s">
        <v>402</v>
      </c>
      <c r="F395" s="7">
        <v>49</v>
      </c>
      <c r="G395" s="7">
        <v>62</v>
      </c>
      <c r="H395" s="8">
        <f t="shared" si="19"/>
        <v>52.899999999999991</v>
      </c>
    </row>
    <row r="396" spans="1:8" s="2" customFormat="1">
      <c r="A396" s="7" t="s">
        <v>360</v>
      </c>
      <c r="B396" s="7" t="str">
        <f t="shared" si="20"/>
        <v>14</v>
      </c>
      <c r="C396" s="7" t="str">
        <f>"04"</f>
        <v>04</v>
      </c>
      <c r="D396" s="7" t="str">
        <f>"20210061404"</f>
        <v>20210061404</v>
      </c>
      <c r="E396" s="7" t="s">
        <v>403</v>
      </c>
      <c r="F396" s="7">
        <v>59</v>
      </c>
      <c r="G396" s="7">
        <v>81</v>
      </c>
      <c r="H396" s="8">
        <f t="shared" si="19"/>
        <v>65.599999999999994</v>
      </c>
    </row>
    <row r="397" spans="1:8" s="2" customFormat="1">
      <c r="A397" s="7" t="s">
        <v>360</v>
      </c>
      <c r="B397" s="7" t="str">
        <f t="shared" si="20"/>
        <v>14</v>
      </c>
      <c r="C397" s="7" t="str">
        <f>"05"</f>
        <v>05</v>
      </c>
      <c r="D397" s="7" t="str">
        <f>"20210061405"</f>
        <v>20210061405</v>
      </c>
      <c r="E397" s="7" t="s">
        <v>404</v>
      </c>
      <c r="F397" s="7">
        <v>59</v>
      </c>
      <c r="G397" s="7">
        <v>81</v>
      </c>
      <c r="H397" s="8">
        <f t="shared" si="19"/>
        <v>65.599999999999994</v>
      </c>
    </row>
    <row r="398" spans="1:8" s="2" customFormat="1">
      <c r="A398" s="7" t="s">
        <v>360</v>
      </c>
      <c r="B398" s="7" t="str">
        <f t="shared" si="20"/>
        <v>14</v>
      </c>
      <c r="C398" s="7" t="str">
        <f>"06"</f>
        <v>06</v>
      </c>
      <c r="D398" s="7" t="str">
        <f>"20210061406"</f>
        <v>20210061406</v>
      </c>
      <c r="E398" s="7" t="s">
        <v>405</v>
      </c>
      <c r="F398" s="7">
        <v>52</v>
      </c>
      <c r="G398" s="7">
        <v>54</v>
      </c>
      <c r="H398" s="8">
        <f t="shared" si="19"/>
        <v>52.599999999999994</v>
      </c>
    </row>
    <row r="399" spans="1:8" s="2" customFormat="1">
      <c r="A399" s="7" t="s">
        <v>360</v>
      </c>
      <c r="B399" s="7" t="str">
        <f t="shared" si="20"/>
        <v>14</v>
      </c>
      <c r="C399" s="7" t="str">
        <f>"07"</f>
        <v>07</v>
      </c>
      <c r="D399" s="7" t="str">
        <f>"20210061407"</f>
        <v>20210061407</v>
      </c>
      <c r="E399" s="7" t="s">
        <v>406</v>
      </c>
      <c r="F399" s="7">
        <v>66</v>
      </c>
      <c r="G399" s="7">
        <v>82</v>
      </c>
      <c r="H399" s="8">
        <f t="shared" si="19"/>
        <v>70.8</v>
      </c>
    </row>
    <row r="400" spans="1:8" s="2" customFormat="1">
      <c r="A400" s="7" t="s">
        <v>360</v>
      </c>
      <c r="B400" s="7" t="str">
        <f t="shared" si="20"/>
        <v>14</v>
      </c>
      <c r="C400" s="7" t="str">
        <f>"08"</f>
        <v>08</v>
      </c>
      <c r="D400" s="7" t="str">
        <f>"20210061408"</f>
        <v>20210061408</v>
      </c>
      <c r="E400" s="7" t="s">
        <v>407</v>
      </c>
      <c r="F400" s="7">
        <v>77</v>
      </c>
      <c r="G400" s="7">
        <v>83</v>
      </c>
      <c r="H400" s="8">
        <f t="shared" si="19"/>
        <v>78.8</v>
      </c>
    </row>
    <row r="401" spans="1:8" s="2" customFormat="1">
      <c r="A401" s="7" t="s">
        <v>360</v>
      </c>
      <c r="B401" s="7" t="str">
        <f t="shared" si="20"/>
        <v>14</v>
      </c>
      <c r="C401" s="7" t="str">
        <f>"09"</f>
        <v>09</v>
      </c>
      <c r="D401" s="7" t="str">
        <f>"20210061409"</f>
        <v>20210061409</v>
      </c>
      <c r="E401" s="7" t="s">
        <v>408</v>
      </c>
      <c r="F401" s="7">
        <v>71</v>
      </c>
      <c r="G401" s="7">
        <v>74</v>
      </c>
      <c r="H401" s="8">
        <f t="shared" si="19"/>
        <v>71.899999999999991</v>
      </c>
    </row>
    <row r="402" spans="1:8" s="2" customFormat="1">
      <c r="A402" s="7" t="s">
        <v>360</v>
      </c>
      <c r="B402" s="7" t="str">
        <f t="shared" si="20"/>
        <v>14</v>
      </c>
      <c r="C402" s="7" t="str">
        <f>"10"</f>
        <v>10</v>
      </c>
      <c r="D402" s="7" t="str">
        <f>"20210061410"</f>
        <v>20210061410</v>
      </c>
      <c r="E402" s="7" t="s">
        <v>409</v>
      </c>
      <c r="F402" s="7">
        <v>0</v>
      </c>
      <c r="G402" s="7">
        <v>0</v>
      </c>
      <c r="H402" s="8">
        <f t="shared" si="19"/>
        <v>0</v>
      </c>
    </row>
    <row r="403" spans="1:8" s="2" customFormat="1">
      <c r="A403" s="7" t="s">
        <v>360</v>
      </c>
      <c r="B403" s="7" t="str">
        <f t="shared" si="20"/>
        <v>14</v>
      </c>
      <c r="C403" s="7" t="str">
        <f>"11"</f>
        <v>11</v>
      </c>
      <c r="D403" s="7" t="str">
        <f>"20210061411"</f>
        <v>20210061411</v>
      </c>
      <c r="E403" s="7" t="s">
        <v>96</v>
      </c>
      <c r="F403" s="7">
        <v>80</v>
      </c>
      <c r="G403" s="7">
        <v>80</v>
      </c>
      <c r="H403" s="8">
        <f t="shared" si="19"/>
        <v>80</v>
      </c>
    </row>
    <row r="404" spans="1:8" s="2" customFormat="1">
      <c r="A404" s="7" t="s">
        <v>360</v>
      </c>
      <c r="B404" s="7" t="str">
        <f t="shared" si="20"/>
        <v>14</v>
      </c>
      <c r="C404" s="7" t="str">
        <f>"12"</f>
        <v>12</v>
      </c>
      <c r="D404" s="7" t="str">
        <f>"20210061412"</f>
        <v>20210061412</v>
      </c>
      <c r="E404" s="7" t="s">
        <v>410</v>
      </c>
      <c r="F404" s="7">
        <v>46.5</v>
      </c>
      <c r="G404" s="7">
        <v>55</v>
      </c>
      <c r="H404" s="8">
        <f t="shared" si="19"/>
        <v>49.05</v>
      </c>
    </row>
    <row r="405" spans="1:8" s="2" customFormat="1">
      <c r="A405" s="7" t="s">
        <v>360</v>
      </c>
      <c r="B405" s="7" t="str">
        <f t="shared" si="20"/>
        <v>14</v>
      </c>
      <c r="C405" s="7" t="str">
        <f>"13"</f>
        <v>13</v>
      </c>
      <c r="D405" s="7" t="str">
        <f>"20210061413"</f>
        <v>20210061413</v>
      </c>
      <c r="E405" s="7" t="s">
        <v>411</v>
      </c>
      <c r="F405" s="7">
        <v>41.5</v>
      </c>
      <c r="G405" s="7">
        <v>36</v>
      </c>
      <c r="H405" s="8">
        <f t="shared" si="19"/>
        <v>39.849999999999994</v>
      </c>
    </row>
    <row r="406" spans="1:8" s="2" customFormat="1">
      <c r="A406" s="7" t="s">
        <v>360</v>
      </c>
      <c r="B406" s="7" t="str">
        <f t="shared" si="20"/>
        <v>14</v>
      </c>
      <c r="C406" s="7" t="str">
        <f>"14"</f>
        <v>14</v>
      </c>
      <c r="D406" s="7" t="str">
        <f>"20210061414"</f>
        <v>20210061414</v>
      </c>
      <c r="E406" s="7" t="s">
        <v>412</v>
      </c>
      <c r="F406" s="7">
        <v>66</v>
      </c>
      <c r="G406" s="7">
        <v>92</v>
      </c>
      <c r="H406" s="8">
        <f t="shared" si="19"/>
        <v>73.8</v>
      </c>
    </row>
    <row r="407" spans="1:8" s="2" customFormat="1">
      <c r="A407" s="7" t="s">
        <v>360</v>
      </c>
      <c r="B407" s="7" t="str">
        <f t="shared" si="20"/>
        <v>14</v>
      </c>
      <c r="C407" s="7" t="str">
        <f>"15"</f>
        <v>15</v>
      </c>
      <c r="D407" s="7" t="str">
        <f>"20210061415"</f>
        <v>20210061415</v>
      </c>
      <c r="E407" s="7" t="s">
        <v>413</v>
      </c>
      <c r="F407" s="7">
        <v>49</v>
      </c>
      <c r="G407" s="7">
        <v>59</v>
      </c>
      <c r="H407" s="8">
        <f t="shared" si="19"/>
        <v>52</v>
      </c>
    </row>
    <row r="408" spans="1:8" s="2" customFormat="1">
      <c r="A408" s="7" t="s">
        <v>360</v>
      </c>
      <c r="B408" s="7" t="str">
        <f t="shared" si="20"/>
        <v>14</v>
      </c>
      <c r="C408" s="7" t="str">
        <f>"16"</f>
        <v>16</v>
      </c>
      <c r="D408" s="7" t="str">
        <f>"20210061416"</f>
        <v>20210061416</v>
      </c>
      <c r="E408" s="7" t="s">
        <v>414</v>
      </c>
      <c r="F408" s="7">
        <v>77</v>
      </c>
      <c r="G408" s="7">
        <v>80</v>
      </c>
      <c r="H408" s="8">
        <f t="shared" si="19"/>
        <v>77.900000000000006</v>
      </c>
    </row>
    <row r="409" spans="1:8" s="2" customFormat="1">
      <c r="A409" s="7" t="s">
        <v>360</v>
      </c>
      <c r="B409" s="7" t="str">
        <f t="shared" si="20"/>
        <v>14</v>
      </c>
      <c r="C409" s="7" t="str">
        <f>"17"</f>
        <v>17</v>
      </c>
      <c r="D409" s="7" t="str">
        <f>"20210061417"</f>
        <v>20210061417</v>
      </c>
      <c r="E409" s="7" t="s">
        <v>415</v>
      </c>
      <c r="F409" s="7">
        <v>72</v>
      </c>
      <c r="G409" s="7">
        <v>81</v>
      </c>
      <c r="H409" s="8">
        <f t="shared" si="19"/>
        <v>74.7</v>
      </c>
    </row>
    <row r="410" spans="1:8" s="2" customFormat="1">
      <c r="A410" s="7" t="s">
        <v>360</v>
      </c>
      <c r="B410" s="7" t="str">
        <f t="shared" si="20"/>
        <v>14</v>
      </c>
      <c r="C410" s="7" t="str">
        <f>"18"</f>
        <v>18</v>
      </c>
      <c r="D410" s="7" t="str">
        <f>"20210061418"</f>
        <v>20210061418</v>
      </c>
      <c r="E410" s="7" t="s">
        <v>416</v>
      </c>
      <c r="F410" s="7">
        <v>74</v>
      </c>
      <c r="G410" s="7">
        <v>83</v>
      </c>
      <c r="H410" s="8">
        <f t="shared" si="19"/>
        <v>76.699999999999989</v>
      </c>
    </row>
    <row r="411" spans="1:8" s="2" customFormat="1">
      <c r="A411" s="7" t="s">
        <v>360</v>
      </c>
      <c r="B411" s="7" t="str">
        <f t="shared" si="20"/>
        <v>14</v>
      </c>
      <c r="C411" s="7" t="str">
        <f>"19"</f>
        <v>19</v>
      </c>
      <c r="D411" s="7" t="str">
        <f>"20210061419"</f>
        <v>20210061419</v>
      </c>
      <c r="E411" s="7" t="s">
        <v>417</v>
      </c>
      <c r="F411" s="7">
        <v>67</v>
      </c>
      <c r="G411" s="7">
        <v>65</v>
      </c>
      <c r="H411" s="8">
        <f t="shared" si="19"/>
        <v>66.400000000000006</v>
      </c>
    </row>
    <row r="412" spans="1:8" s="2" customFormat="1">
      <c r="A412" s="7" t="s">
        <v>360</v>
      </c>
      <c r="B412" s="7" t="str">
        <f t="shared" si="20"/>
        <v>14</v>
      </c>
      <c r="C412" s="7" t="str">
        <f>"20"</f>
        <v>20</v>
      </c>
      <c r="D412" s="7" t="str">
        <f>"20210061420"</f>
        <v>20210061420</v>
      </c>
      <c r="E412" s="7" t="s">
        <v>418</v>
      </c>
      <c r="F412" s="7">
        <v>72</v>
      </c>
      <c r="G412" s="7">
        <v>71</v>
      </c>
      <c r="H412" s="8">
        <f t="shared" si="19"/>
        <v>71.7</v>
      </c>
    </row>
    <row r="413" spans="1:8" s="2" customFormat="1">
      <c r="A413" s="7" t="s">
        <v>360</v>
      </c>
      <c r="B413" s="7" t="str">
        <f t="shared" si="20"/>
        <v>14</v>
      </c>
      <c r="C413" s="7" t="str">
        <f>"21"</f>
        <v>21</v>
      </c>
      <c r="D413" s="7" t="str">
        <f>"20210061421"</f>
        <v>20210061421</v>
      </c>
      <c r="E413" s="7" t="s">
        <v>419</v>
      </c>
      <c r="F413" s="7">
        <v>62</v>
      </c>
      <c r="G413" s="7">
        <v>93</v>
      </c>
      <c r="H413" s="8">
        <f t="shared" si="19"/>
        <v>71.3</v>
      </c>
    </row>
    <row r="414" spans="1:8" s="2" customFormat="1">
      <c r="A414" s="7" t="s">
        <v>360</v>
      </c>
      <c r="B414" s="7" t="str">
        <f t="shared" si="20"/>
        <v>14</v>
      </c>
      <c r="C414" s="7" t="str">
        <f>"22"</f>
        <v>22</v>
      </c>
      <c r="D414" s="7" t="str">
        <f>"20210061422"</f>
        <v>20210061422</v>
      </c>
      <c r="E414" s="7" t="s">
        <v>420</v>
      </c>
      <c r="F414" s="7">
        <v>0</v>
      </c>
      <c r="G414" s="7">
        <v>0</v>
      </c>
      <c r="H414" s="8">
        <f t="shared" si="19"/>
        <v>0</v>
      </c>
    </row>
    <row r="415" spans="1:8" s="2" customFormat="1">
      <c r="A415" s="7" t="s">
        <v>360</v>
      </c>
      <c r="B415" s="7" t="str">
        <f t="shared" si="20"/>
        <v>14</v>
      </c>
      <c r="C415" s="7" t="str">
        <f>"23"</f>
        <v>23</v>
      </c>
      <c r="D415" s="7" t="str">
        <f>"20210061423"</f>
        <v>20210061423</v>
      </c>
      <c r="E415" s="7" t="s">
        <v>421</v>
      </c>
      <c r="F415" s="7">
        <v>68.5</v>
      </c>
      <c r="G415" s="7">
        <v>57</v>
      </c>
      <c r="H415" s="8">
        <f t="shared" si="19"/>
        <v>65.05</v>
      </c>
    </row>
    <row r="416" spans="1:8" s="2" customFormat="1">
      <c r="A416" s="7" t="s">
        <v>360</v>
      </c>
      <c r="B416" s="7" t="str">
        <f t="shared" si="20"/>
        <v>14</v>
      </c>
      <c r="C416" s="7" t="str">
        <f>"24"</f>
        <v>24</v>
      </c>
      <c r="D416" s="7" t="str">
        <f>"20210061424"</f>
        <v>20210061424</v>
      </c>
      <c r="E416" s="7" t="s">
        <v>422</v>
      </c>
      <c r="F416" s="7">
        <v>66</v>
      </c>
      <c r="G416" s="7">
        <v>67</v>
      </c>
      <c r="H416" s="8">
        <f t="shared" si="19"/>
        <v>66.3</v>
      </c>
    </row>
    <row r="417" spans="1:8" s="2" customFormat="1">
      <c r="A417" s="7" t="s">
        <v>360</v>
      </c>
      <c r="B417" s="7" t="str">
        <f t="shared" si="20"/>
        <v>14</v>
      </c>
      <c r="C417" s="7" t="str">
        <f>"25"</f>
        <v>25</v>
      </c>
      <c r="D417" s="7" t="str">
        <f>"20210061425"</f>
        <v>20210061425</v>
      </c>
      <c r="E417" s="7" t="s">
        <v>423</v>
      </c>
      <c r="F417" s="7">
        <v>61</v>
      </c>
      <c r="G417" s="7">
        <v>44</v>
      </c>
      <c r="H417" s="8">
        <f t="shared" si="19"/>
        <v>55.899999999999991</v>
      </c>
    </row>
    <row r="418" spans="1:8" s="2" customFormat="1">
      <c r="A418" s="7" t="s">
        <v>360</v>
      </c>
      <c r="B418" s="7" t="str">
        <f t="shared" si="20"/>
        <v>14</v>
      </c>
      <c r="C418" s="7" t="str">
        <f>"26"</f>
        <v>26</v>
      </c>
      <c r="D418" s="7" t="str">
        <f>"20210061426"</f>
        <v>20210061426</v>
      </c>
      <c r="E418" s="7" t="s">
        <v>424</v>
      </c>
      <c r="F418" s="7">
        <v>69</v>
      </c>
      <c r="G418" s="7">
        <v>78</v>
      </c>
      <c r="H418" s="8">
        <f t="shared" si="19"/>
        <v>71.699999999999989</v>
      </c>
    </row>
    <row r="419" spans="1:8" s="2" customFormat="1">
      <c r="A419" s="7" t="s">
        <v>360</v>
      </c>
      <c r="B419" s="7" t="str">
        <f t="shared" si="20"/>
        <v>14</v>
      </c>
      <c r="C419" s="7" t="str">
        <f>"27"</f>
        <v>27</v>
      </c>
      <c r="D419" s="7" t="str">
        <f>"20210061427"</f>
        <v>20210061427</v>
      </c>
      <c r="E419" s="7" t="s">
        <v>425</v>
      </c>
      <c r="F419" s="7">
        <v>68.5</v>
      </c>
      <c r="G419" s="7">
        <v>57</v>
      </c>
      <c r="H419" s="8">
        <f t="shared" si="19"/>
        <v>65.05</v>
      </c>
    </row>
    <row r="420" spans="1:8" s="2" customFormat="1">
      <c r="A420" s="7" t="s">
        <v>360</v>
      </c>
      <c r="B420" s="7" t="str">
        <f t="shared" si="20"/>
        <v>14</v>
      </c>
      <c r="C420" s="7" t="str">
        <f>"28"</f>
        <v>28</v>
      </c>
      <c r="D420" s="7" t="str">
        <f>"20210061428"</f>
        <v>20210061428</v>
      </c>
      <c r="E420" s="7" t="s">
        <v>426</v>
      </c>
      <c r="F420" s="7">
        <v>67</v>
      </c>
      <c r="G420" s="7">
        <v>65</v>
      </c>
      <c r="H420" s="8">
        <f t="shared" si="19"/>
        <v>66.400000000000006</v>
      </c>
    </row>
    <row r="421" spans="1:8" s="2" customFormat="1">
      <c r="A421" s="7" t="s">
        <v>360</v>
      </c>
      <c r="B421" s="7" t="str">
        <f t="shared" si="20"/>
        <v>14</v>
      </c>
      <c r="C421" s="7" t="str">
        <f>"29"</f>
        <v>29</v>
      </c>
      <c r="D421" s="7" t="str">
        <f>"20210061429"</f>
        <v>20210061429</v>
      </c>
      <c r="E421" s="7" t="s">
        <v>427</v>
      </c>
      <c r="F421" s="7">
        <v>0</v>
      </c>
      <c r="G421" s="7">
        <v>0</v>
      </c>
      <c r="H421" s="8">
        <f t="shared" si="19"/>
        <v>0</v>
      </c>
    </row>
    <row r="422" spans="1:8" s="2" customFormat="1">
      <c r="A422" s="7" t="s">
        <v>360</v>
      </c>
      <c r="B422" s="7" t="str">
        <f t="shared" si="20"/>
        <v>14</v>
      </c>
      <c r="C422" s="7" t="str">
        <f>"30"</f>
        <v>30</v>
      </c>
      <c r="D422" s="7" t="str">
        <f>"20210061430"</f>
        <v>20210061430</v>
      </c>
      <c r="E422" s="7" t="s">
        <v>428</v>
      </c>
      <c r="F422" s="7">
        <v>56</v>
      </c>
      <c r="G422" s="7">
        <v>69</v>
      </c>
      <c r="H422" s="8">
        <f t="shared" si="19"/>
        <v>59.899999999999991</v>
      </c>
    </row>
    <row r="423" spans="1:8" s="2" customFormat="1">
      <c r="A423" s="7" t="s">
        <v>360</v>
      </c>
      <c r="B423" s="7" t="str">
        <f t="shared" ref="B423:B452" si="21">"15"</f>
        <v>15</v>
      </c>
      <c r="C423" s="7" t="str">
        <f>"01"</f>
        <v>01</v>
      </c>
      <c r="D423" s="7" t="str">
        <f>"20210061501"</f>
        <v>20210061501</v>
      </c>
      <c r="E423" s="7" t="s">
        <v>429</v>
      </c>
      <c r="F423" s="7">
        <v>76</v>
      </c>
      <c r="G423" s="7">
        <v>81</v>
      </c>
      <c r="H423" s="8">
        <f t="shared" si="19"/>
        <v>77.5</v>
      </c>
    </row>
    <row r="424" spans="1:8" s="2" customFormat="1">
      <c r="A424" s="7" t="s">
        <v>360</v>
      </c>
      <c r="B424" s="7" t="str">
        <f t="shared" si="21"/>
        <v>15</v>
      </c>
      <c r="C424" s="7" t="str">
        <f>"02"</f>
        <v>02</v>
      </c>
      <c r="D424" s="7" t="str">
        <f>"20210061502"</f>
        <v>20210061502</v>
      </c>
      <c r="E424" s="7" t="s">
        <v>430</v>
      </c>
      <c r="F424" s="7">
        <v>52.5</v>
      </c>
      <c r="G424" s="7">
        <v>63</v>
      </c>
      <c r="H424" s="8">
        <f t="shared" si="19"/>
        <v>55.65</v>
      </c>
    </row>
    <row r="425" spans="1:8" s="2" customFormat="1">
      <c r="A425" s="7" t="s">
        <v>360</v>
      </c>
      <c r="B425" s="7" t="str">
        <f t="shared" si="21"/>
        <v>15</v>
      </c>
      <c r="C425" s="7" t="str">
        <f>"03"</f>
        <v>03</v>
      </c>
      <c r="D425" s="7" t="str">
        <f>"20210061503"</f>
        <v>20210061503</v>
      </c>
      <c r="E425" s="7" t="s">
        <v>431</v>
      </c>
      <c r="F425" s="7">
        <v>0</v>
      </c>
      <c r="G425" s="7">
        <v>0</v>
      </c>
      <c r="H425" s="8">
        <f t="shared" si="19"/>
        <v>0</v>
      </c>
    </row>
    <row r="426" spans="1:8" s="2" customFormat="1">
      <c r="A426" s="7" t="s">
        <v>360</v>
      </c>
      <c r="B426" s="7" t="str">
        <f t="shared" si="21"/>
        <v>15</v>
      </c>
      <c r="C426" s="7" t="str">
        <f>"04"</f>
        <v>04</v>
      </c>
      <c r="D426" s="7" t="str">
        <f>"20210061504"</f>
        <v>20210061504</v>
      </c>
      <c r="E426" s="7" t="s">
        <v>432</v>
      </c>
      <c r="F426" s="7">
        <v>69</v>
      </c>
      <c r="G426" s="7">
        <v>76</v>
      </c>
      <c r="H426" s="8">
        <f t="shared" si="19"/>
        <v>71.099999999999994</v>
      </c>
    </row>
    <row r="427" spans="1:8" s="2" customFormat="1">
      <c r="A427" s="7" t="s">
        <v>433</v>
      </c>
      <c r="B427" s="7" t="str">
        <f t="shared" si="21"/>
        <v>15</v>
      </c>
      <c r="C427" s="7" t="str">
        <f>"05"</f>
        <v>05</v>
      </c>
      <c r="D427" s="7" t="str">
        <f>"20210071505"</f>
        <v>20210071505</v>
      </c>
      <c r="E427" s="7" t="s">
        <v>434</v>
      </c>
      <c r="F427" s="7">
        <v>57</v>
      </c>
      <c r="G427" s="7">
        <v>78</v>
      </c>
      <c r="H427" s="8">
        <f t="shared" si="19"/>
        <v>63.3</v>
      </c>
    </row>
    <row r="428" spans="1:8" s="2" customFormat="1">
      <c r="A428" s="7" t="s">
        <v>433</v>
      </c>
      <c r="B428" s="7" t="str">
        <f t="shared" si="21"/>
        <v>15</v>
      </c>
      <c r="C428" s="7" t="str">
        <f>"06"</f>
        <v>06</v>
      </c>
      <c r="D428" s="7" t="str">
        <f>"20210071506"</f>
        <v>20210071506</v>
      </c>
      <c r="E428" s="7" t="s">
        <v>435</v>
      </c>
      <c r="F428" s="7">
        <v>64.5</v>
      </c>
      <c r="G428" s="7">
        <v>74</v>
      </c>
      <c r="H428" s="8">
        <f t="shared" si="19"/>
        <v>67.349999999999994</v>
      </c>
    </row>
    <row r="429" spans="1:8" s="2" customFormat="1">
      <c r="A429" s="7" t="s">
        <v>433</v>
      </c>
      <c r="B429" s="7" t="str">
        <f t="shared" si="21"/>
        <v>15</v>
      </c>
      <c r="C429" s="7" t="str">
        <f>"07"</f>
        <v>07</v>
      </c>
      <c r="D429" s="7" t="str">
        <f>"20210071507"</f>
        <v>20210071507</v>
      </c>
      <c r="E429" s="7" t="s">
        <v>436</v>
      </c>
      <c r="F429" s="7">
        <v>47</v>
      </c>
      <c r="G429" s="7">
        <v>73</v>
      </c>
      <c r="H429" s="8">
        <f t="shared" si="19"/>
        <v>54.8</v>
      </c>
    </row>
    <row r="430" spans="1:8" s="2" customFormat="1">
      <c r="A430" s="7" t="s">
        <v>433</v>
      </c>
      <c r="B430" s="7" t="str">
        <f t="shared" si="21"/>
        <v>15</v>
      </c>
      <c r="C430" s="7" t="str">
        <f>"08"</f>
        <v>08</v>
      </c>
      <c r="D430" s="7" t="str">
        <f>"20210071508"</f>
        <v>20210071508</v>
      </c>
      <c r="E430" s="7" t="s">
        <v>437</v>
      </c>
      <c r="F430" s="7">
        <v>77</v>
      </c>
      <c r="G430" s="7">
        <v>69</v>
      </c>
      <c r="H430" s="8">
        <f t="shared" si="19"/>
        <v>74.599999999999994</v>
      </c>
    </row>
    <row r="431" spans="1:8" s="2" customFormat="1">
      <c r="A431" s="7" t="s">
        <v>433</v>
      </c>
      <c r="B431" s="7" t="str">
        <f t="shared" si="21"/>
        <v>15</v>
      </c>
      <c r="C431" s="7" t="str">
        <f>"09"</f>
        <v>09</v>
      </c>
      <c r="D431" s="7" t="str">
        <f>"20210071509"</f>
        <v>20210071509</v>
      </c>
      <c r="E431" s="7" t="s">
        <v>438</v>
      </c>
      <c r="F431" s="7">
        <v>0</v>
      </c>
      <c r="G431" s="7">
        <v>0</v>
      </c>
      <c r="H431" s="8">
        <f t="shared" si="19"/>
        <v>0</v>
      </c>
    </row>
    <row r="432" spans="1:8" s="2" customFormat="1">
      <c r="A432" s="7" t="s">
        <v>433</v>
      </c>
      <c r="B432" s="7" t="str">
        <f t="shared" si="21"/>
        <v>15</v>
      </c>
      <c r="C432" s="7" t="str">
        <f>"10"</f>
        <v>10</v>
      </c>
      <c r="D432" s="7" t="str">
        <f>"20210071510"</f>
        <v>20210071510</v>
      </c>
      <c r="E432" s="7" t="s">
        <v>354</v>
      </c>
      <c r="F432" s="7">
        <v>73</v>
      </c>
      <c r="G432" s="7">
        <v>82</v>
      </c>
      <c r="H432" s="8">
        <f t="shared" si="19"/>
        <v>75.699999999999989</v>
      </c>
    </row>
    <row r="433" spans="1:8" s="2" customFormat="1">
      <c r="A433" s="7" t="s">
        <v>433</v>
      </c>
      <c r="B433" s="7" t="str">
        <f t="shared" si="21"/>
        <v>15</v>
      </c>
      <c r="C433" s="7" t="str">
        <f>"11"</f>
        <v>11</v>
      </c>
      <c r="D433" s="7" t="str">
        <f>"20210071511"</f>
        <v>20210071511</v>
      </c>
      <c r="E433" s="7" t="s">
        <v>439</v>
      </c>
      <c r="F433" s="7">
        <v>39</v>
      </c>
      <c r="G433" s="7">
        <v>44</v>
      </c>
      <c r="H433" s="8">
        <f t="shared" si="19"/>
        <v>40.5</v>
      </c>
    </row>
    <row r="434" spans="1:8" s="2" customFormat="1">
      <c r="A434" s="7" t="s">
        <v>433</v>
      </c>
      <c r="B434" s="7" t="str">
        <f t="shared" si="21"/>
        <v>15</v>
      </c>
      <c r="C434" s="7" t="str">
        <f>"12"</f>
        <v>12</v>
      </c>
      <c r="D434" s="7" t="str">
        <f>"20210071512"</f>
        <v>20210071512</v>
      </c>
      <c r="E434" s="7" t="s">
        <v>440</v>
      </c>
      <c r="F434" s="7">
        <v>70</v>
      </c>
      <c r="G434" s="7">
        <v>93</v>
      </c>
      <c r="H434" s="8">
        <f t="shared" si="19"/>
        <v>76.900000000000006</v>
      </c>
    </row>
    <row r="435" spans="1:8" s="2" customFormat="1">
      <c r="A435" s="7" t="s">
        <v>433</v>
      </c>
      <c r="B435" s="7" t="str">
        <f t="shared" si="21"/>
        <v>15</v>
      </c>
      <c r="C435" s="7" t="str">
        <f>"13"</f>
        <v>13</v>
      </c>
      <c r="D435" s="7" t="str">
        <f>"20210071513"</f>
        <v>20210071513</v>
      </c>
      <c r="E435" s="7" t="s">
        <v>441</v>
      </c>
      <c r="F435" s="7">
        <v>0</v>
      </c>
      <c r="G435" s="7">
        <v>0</v>
      </c>
      <c r="H435" s="8">
        <f t="shared" si="19"/>
        <v>0</v>
      </c>
    </row>
    <row r="436" spans="1:8" s="2" customFormat="1">
      <c r="A436" s="7" t="s">
        <v>433</v>
      </c>
      <c r="B436" s="7" t="str">
        <f t="shared" si="21"/>
        <v>15</v>
      </c>
      <c r="C436" s="7" t="str">
        <f>"14"</f>
        <v>14</v>
      </c>
      <c r="D436" s="7" t="str">
        <f>"20210071514"</f>
        <v>20210071514</v>
      </c>
      <c r="E436" s="7" t="s">
        <v>442</v>
      </c>
      <c r="F436" s="7">
        <v>63</v>
      </c>
      <c r="G436" s="7">
        <v>74</v>
      </c>
      <c r="H436" s="8">
        <f t="shared" si="19"/>
        <v>66.3</v>
      </c>
    </row>
    <row r="437" spans="1:8" s="2" customFormat="1">
      <c r="A437" s="7" t="s">
        <v>433</v>
      </c>
      <c r="B437" s="7" t="str">
        <f t="shared" si="21"/>
        <v>15</v>
      </c>
      <c r="C437" s="7" t="str">
        <f>"15"</f>
        <v>15</v>
      </c>
      <c r="D437" s="7" t="str">
        <f>"20210071515"</f>
        <v>20210071515</v>
      </c>
      <c r="E437" s="7" t="s">
        <v>443</v>
      </c>
      <c r="F437" s="7">
        <v>49</v>
      </c>
      <c r="G437" s="7">
        <v>50</v>
      </c>
      <c r="H437" s="8">
        <f t="shared" si="19"/>
        <v>49.3</v>
      </c>
    </row>
    <row r="438" spans="1:8" s="2" customFormat="1">
      <c r="A438" s="7" t="s">
        <v>433</v>
      </c>
      <c r="B438" s="7" t="str">
        <f t="shared" si="21"/>
        <v>15</v>
      </c>
      <c r="C438" s="7" t="str">
        <f>"16"</f>
        <v>16</v>
      </c>
      <c r="D438" s="7" t="str">
        <f>"20210071516"</f>
        <v>20210071516</v>
      </c>
      <c r="E438" s="7" t="s">
        <v>444</v>
      </c>
      <c r="F438" s="7">
        <v>65</v>
      </c>
      <c r="G438" s="7">
        <v>71</v>
      </c>
      <c r="H438" s="8">
        <f t="shared" si="19"/>
        <v>66.8</v>
      </c>
    </row>
    <row r="439" spans="1:8" s="2" customFormat="1">
      <c r="A439" s="7" t="s">
        <v>433</v>
      </c>
      <c r="B439" s="7" t="str">
        <f t="shared" si="21"/>
        <v>15</v>
      </c>
      <c r="C439" s="7" t="str">
        <f>"17"</f>
        <v>17</v>
      </c>
      <c r="D439" s="7" t="str">
        <f>"20210071517"</f>
        <v>20210071517</v>
      </c>
      <c r="E439" s="7" t="s">
        <v>445</v>
      </c>
      <c r="F439" s="7">
        <v>68</v>
      </c>
      <c r="G439" s="7">
        <v>76</v>
      </c>
      <c r="H439" s="8">
        <f t="shared" si="19"/>
        <v>70.399999999999991</v>
      </c>
    </row>
    <row r="440" spans="1:8" s="2" customFormat="1">
      <c r="A440" s="7" t="s">
        <v>433</v>
      </c>
      <c r="B440" s="7" t="str">
        <f t="shared" si="21"/>
        <v>15</v>
      </c>
      <c r="C440" s="7" t="str">
        <f>"18"</f>
        <v>18</v>
      </c>
      <c r="D440" s="7" t="str">
        <f>"20210071518"</f>
        <v>20210071518</v>
      </c>
      <c r="E440" s="7" t="s">
        <v>446</v>
      </c>
      <c r="F440" s="7">
        <v>64</v>
      </c>
      <c r="G440" s="7">
        <v>51</v>
      </c>
      <c r="H440" s="8">
        <f t="shared" si="19"/>
        <v>60.099999999999994</v>
      </c>
    </row>
    <row r="441" spans="1:8" s="2" customFormat="1">
      <c r="A441" s="7" t="s">
        <v>433</v>
      </c>
      <c r="B441" s="7" t="str">
        <f t="shared" si="21"/>
        <v>15</v>
      </c>
      <c r="C441" s="7" t="str">
        <f>"19"</f>
        <v>19</v>
      </c>
      <c r="D441" s="7" t="str">
        <f>"20210071519"</f>
        <v>20210071519</v>
      </c>
      <c r="E441" s="7" t="s">
        <v>447</v>
      </c>
      <c r="F441" s="7">
        <v>55</v>
      </c>
      <c r="G441" s="7">
        <v>64</v>
      </c>
      <c r="H441" s="8">
        <f t="shared" si="19"/>
        <v>57.7</v>
      </c>
    </row>
    <row r="442" spans="1:8" s="2" customFormat="1">
      <c r="A442" s="7" t="s">
        <v>433</v>
      </c>
      <c r="B442" s="7" t="str">
        <f t="shared" si="21"/>
        <v>15</v>
      </c>
      <c r="C442" s="7" t="str">
        <f>"20"</f>
        <v>20</v>
      </c>
      <c r="D442" s="7" t="str">
        <f>"20210071520"</f>
        <v>20210071520</v>
      </c>
      <c r="E442" s="7" t="s">
        <v>448</v>
      </c>
      <c r="F442" s="7">
        <v>66</v>
      </c>
      <c r="G442" s="7">
        <v>71</v>
      </c>
      <c r="H442" s="8">
        <f t="shared" si="19"/>
        <v>67.5</v>
      </c>
    </row>
    <row r="443" spans="1:8" s="2" customFormat="1">
      <c r="A443" s="7" t="s">
        <v>433</v>
      </c>
      <c r="B443" s="7" t="str">
        <f t="shared" si="21"/>
        <v>15</v>
      </c>
      <c r="C443" s="7" t="str">
        <f>"21"</f>
        <v>21</v>
      </c>
      <c r="D443" s="7" t="str">
        <f>"20210071521"</f>
        <v>20210071521</v>
      </c>
      <c r="E443" s="7" t="s">
        <v>449</v>
      </c>
      <c r="F443" s="7">
        <v>66</v>
      </c>
      <c r="G443" s="7">
        <v>71</v>
      </c>
      <c r="H443" s="8">
        <f t="shared" si="19"/>
        <v>67.5</v>
      </c>
    </row>
    <row r="444" spans="1:8" s="2" customFormat="1">
      <c r="A444" s="7" t="s">
        <v>433</v>
      </c>
      <c r="B444" s="7" t="str">
        <f t="shared" si="21"/>
        <v>15</v>
      </c>
      <c r="C444" s="7" t="str">
        <f>"22"</f>
        <v>22</v>
      </c>
      <c r="D444" s="7" t="str">
        <f>"20210071522"</f>
        <v>20210071522</v>
      </c>
      <c r="E444" s="7" t="s">
        <v>450</v>
      </c>
      <c r="F444" s="7">
        <v>82</v>
      </c>
      <c r="G444" s="7">
        <v>88</v>
      </c>
      <c r="H444" s="8">
        <f t="shared" si="19"/>
        <v>83.8</v>
      </c>
    </row>
    <row r="445" spans="1:8" s="2" customFormat="1">
      <c r="A445" s="7" t="s">
        <v>433</v>
      </c>
      <c r="B445" s="7" t="str">
        <f t="shared" si="21"/>
        <v>15</v>
      </c>
      <c r="C445" s="7" t="str">
        <f>"23"</f>
        <v>23</v>
      </c>
      <c r="D445" s="7" t="str">
        <f>"20210071523"</f>
        <v>20210071523</v>
      </c>
      <c r="E445" s="7" t="s">
        <v>451</v>
      </c>
      <c r="F445" s="7">
        <v>58</v>
      </c>
      <c r="G445" s="7">
        <v>46</v>
      </c>
      <c r="H445" s="8">
        <f t="shared" si="19"/>
        <v>54.399999999999991</v>
      </c>
    </row>
    <row r="446" spans="1:8" s="2" customFormat="1">
      <c r="A446" s="7" t="s">
        <v>433</v>
      </c>
      <c r="B446" s="7" t="str">
        <f t="shared" si="21"/>
        <v>15</v>
      </c>
      <c r="C446" s="7" t="str">
        <f>"24"</f>
        <v>24</v>
      </c>
      <c r="D446" s="7" t="str">
        <f>"20210071524"</f>
        <v>20210071524</v>
      </c>
      <c r="E446" s="7" t="s">
        <v>452</v>
      </c>
      <c r="F446" s="7">
        <v>49</v>
      </c>
      <c r="G446" s="7">
        <v>78</v>
      </c>
      <c r="H446" s="8">
        <f t="shared" si="19"/>
        <v>57.699999999999996</v>
      </c>
    </row>
    <row r="447" spans="1:8" s="2" customFormat="1">
      <c r="A447" s="7" t="s">
        <v>433</v>
      </c>
      <c r="B447" s="7" t="str">
        <f t="shared" si="21"/>
        <v>15</v>
      </c>
      <c r="C447" s="7" t="str">
        <f>"25"</f>
        <v>25</v>
      </c>
      <c r="D447" s="7" t="str">
        <f>"20210071525"</f>
        <v>20210071525</v>
      </c>
      <c r="E447" s="7" t="s">
        <v>453</v>
      </c>
      <c r="F447" s="7">
        <v>82</v>
      </c>
      <c r="G447" s="7">
        <v>90</v>
      </c>
      <c r="H447" s="8">
        <f t="shared" si="19"/>
        <v>84.4</v>
      </c>
    </row>
    <row r="448" spans="1:8" s="2" customFormat="1">
      <c r="A448" s="7" t="s">
        <v>433</v>
      </c>
      <c r="B448" s="7" t="str">
        <f t="shared" si="21"/>
        <v>15</v>
      </c>
      <c r="C448" s="7" t="str">
        <f>"26"</f>
        <v>26</v>
      </c>
      <c r="D448" s="7" t="str">
        <f>"20210071526"</f>
        <v>20210071526</v>
      </c>
      <c r="E448" s="7" t="s">
        <v>454</v>
      </c>
      <c r="F448" s="7">
        <v>70</v>
      </c>
      <c r="G448" s="7">
        <v>62</v>
      </c>
      <c r="H448" s="8">
        <f t="shared" si="19"/>
        <v>67.599999999999994</v>
      </c>
    </row>
    <row r="449" spans="1:8" s="2" customFormat="1">
      <c r="A449" s="7" t="s">
        <v>433</v>
      </c>
      <c r="B449" s="7" t="str">
        <f t="shared" si="21"/>
        <v>15</v>
      </c>
      <c r="C449" s="7" t="str">
        <f>"27"</f>
        <v>27</v>
      </c>
      <c r="D449" s="7" t="str">
        <f>"20210071527"</f>
        <v>20210071527</v>
      </c>
      <c r="E449" s="7" t="s">
        <v>101</v>
      </c>
      <c r="F449" s="7">
        <v>45</v>
      </c>
      <c r="G449" s="7">
        <v>40</v>
      </c>
      <c r="H449" s="8">
        <f t="shared" si="19"/>
        <v>43.5</v>
      </c>
    </row>
    <row r="450" spans="1:8" s="2" customFormat="1">
      <c r="A450" s="7" t="s">
        <v>433</v>
      </c>
      <c r="B450" s="7" t="str">
        <f t="shared" si="21"/>
        <v>15</v>
      </c>
      <c r="C450" s="7" t="str">
        <f>"28"</f>
        <v>28</v>
      </c>
      <c r="D450" s="7" t="str">
        <f>"20210071528"</f>
        <v>20210071528</v>
      </c>
      <c r="E450" s="7" t="s">
        <v>455</v>
      </c>
      <c r="F450" s="7">
        <v>71</v>
      </c>
      <c r="G450" s="7">
        <v>78</v>
      </c>
      <c r="H450" s="8">
        <f t="shared" si="19"/>
        <v>73.099999999999994</v>
      </c>
    </row>
    <row r="451" spans="1:8" s="2" customFormat="1">
      <c r="A451" s="7" t="s">
        <v>433</v>
      </c>
      <c r="B451" s="7" t="str">
        <f t="shared" si="21"/>
        <v>15</v>
      </c>
      <c r="C451" s="7" t="str">
        <f>"29"</f>
        <v>29</v>
      </c>
      <c r="D451" s="7" t="str">
        <f>"20210071529"</f>
        <v>20210071529</v>
      </c>
      <c r="E451" s="7" t="s">
        <v>456</v>
      </c>
      <c r="F451" s="7">
        <v>86</v>
      </c>
      <c r="G451" s="7">
        <v>88</v>
      </c>
      <c r="H451" s="8">
        <f t="shared" ref="H451:H514" si="22">F451*0.7+G451*0.3</f>
        <v>86.6</v>
      </c>
    </row>
    <row r="452" spans="1:8" s="2" customFormat="1">
      <c r="A452" s="7" t="s">
        <v>433</v>
      </c>
      <c r="B452" s="7" t="str">
        <f t="shared" si="21"/>
        <v>15</v>
      </c>
      <c r="C452" s="7" t="str">
        <f>"30"</f>
        <v>30</v>
      </c>
      <c r="D452" s="7" t="str">
        <f>"20210071530"</f>
        <v>20210071530</v>
      </c>
      <c r="E452" s="7" t="s">
        <v>457</v>
      </c>
      <c r="F452" s="7">
        <v>40</v>
      </c>
      <c r="G452" s="7">
        <v>47</v>
      </c>
      <c r="H452" s="8">
        <f t="shared" si="22"/>
        <v>42.1</v>
      </c>
    </row>
    <row r="453" spans="1:8" s="2" customFormat="1">
      <c r="A453" s="7" t="s">
        <v>433</v>
      </c>
      <c r="B453" s="7" t="str">
        <f t="shared" ref="B453:B482" si="23">"16"</f>
        <v>16</v>
      </c>
      <c r="C453" s="7" t="str">
        <f>"01"</f>
        <v>01</v>
      </c>
      <c r="D453" s="7" t="str">
        <f>"20210071601"</f>
        <v>20210071601</v>
      </c>
      <c r="E453" s="7" t="s">
        <v>458</v>
      </c>
      <c r="F453" s="7">
        <v>73.5</v>
      </c>
      <c r="G453" s="7">
        <v>77</v>
      </c>
      <c r="H453" s="8">
        <f t="shared" si="22"/>
        <v>74.55</v>
      </c>
    </row>
    <row r="454" spans="1:8" s="2" customFormat="1">
      <c r="A454" s="7" t="s">
        <v>433</v>
      </c>
      <c r="B454" s="7" t="str">
        <f t="shared" si="23"/>
        <v>16</v>
      </c>
      <c r="C454" s="7" t="str">
        <f>"02"</f>
        <v>02</v>
      </c>
      <c r="D454" s="7" t="str">
        <f>"20210071602"</f>
        <v>20210071602</v>
      </c>
      <c r="E454" s="7" t="s">
        <v>459</v>
      </c>
      <c r="F454" s="7">
        <v>49</v>
      </c>
      <c r="G454" s="7">
        <v>49</v>
      </c>
      <c r="H454" s="8">
        <f t="shared" si="22"/>
        <v>49</v>
      </c>
    </row>
    <row r="455" spans="1:8" s="2" customFormat="1">
      <c r="A455" s="7" t="s">
        <v>433</v>
      </c>
      <c r="B455" s="7" t="str">
        <f t="shared" si="23"/>
        <v>16</v>
      </c>
      <c r="C455" s="7" t="str">
        <f>"03"</f>
        <v>03</v>
      </c>
      <c r="D455" s="7" t="str">
        <f>"20210071603"</f>
        <v>20210071603</v>
      </c>
      <c r="E455" s="7" t="s">
        <v>460</v>
      </c>
      <c r="F455" s="7">
        <v>53</v>
      </c>
      <c r="G455" s="7">
        <v>47</v>
      </c>
      <c r="H455" s="8">
        <f t="shared" si="22"/>
        <v>51.199999999999996</v>
      </c>
    </row>
    <row r="456" spans="1:8" s="2" customFormat="1">
      <c r="A456" s="7" t="s">
        <v>433</v>
      </c>
      <c r="B456" s="7" t="str">
        <f t="shared" si="23"/>
        <v>16</v>
      </c>
      <c r="C456" s="7" t="str">
        <f>"04"</f>
        <v>04</v>
      </c>
      <c r="D456" s="7" t="str">
        <f>"20210071604"</f>
        <v>20210071604</v>
      </c>
      <c r="E456" s="7" t="s">
        <v>461</v>
      </c>
      <c r="F456" s="7">
        <v>62.5</v>
      </c>
      <c r="G456" s="7">
        <v>68</v>
      </c>
      <c r="H456" s="8">
        <f t="shared" si="22"/>
        <v>64.150000000000006</v>
      </c>
    </row>
    <row r="457" spans="1:8" s="2" customFormat="1">
      <c r="A457" s="7" t="s">
        <v>433</v>
      </c>
      <c r="B457" s="7" t="str">
        <f t="shared" si="23"/>
        <v>16</v>
      </c>
      <c r="C457" s="7" t="str">
        <f>"05"</f>
        <v>05</v>
      </c>
      <c r="D457" s="7" t="str">
        <f>"20210071605"</f>
        <v>20210071605</v>
      </c>
      <c r="E457" s="7" t="s">
        <v>462</v>
      </c>
      <c r="F457" s="7">
        <v>69</v>
      </c>
      <c r="G457" s="7">
        <v>88</v>
      </c>
      <c r="H457" s="8">
        <f t="shared" si="22"/>
        <v>74.699999999999989</v>
      </c>
    </row>
    <row r="458" spans="1:8" s="2" customFormat="1">
      <c r="A458" s="7" t="s">
        <v>433</v>
      </c>
      <c r="B458" s="7" t="str">
        <f t="shared" si="23"/>
        <v>16</v>
      </c>
      <c r="C458" s="7" t="str">
        <f>"06"</f>
        <v>06</v>
      </c>
      <c r="D458" s="7" t="str">
        <f>"20210071606"</f>
        <v>20210071606</v>
      </c>
      <c r="E458" s="7" t="s">
        <v>463</v>
      </c>
      <c r="F458" s="7">
        <v>70</v>
      </c>
      <c r="G458" s="7">
        <v>73</v>
      </c>
      <c r="H458" s="8">
        <f t="shared" si="22"/>
        <v>70.900000000000006</v>
      </c>
    </row>
    <row r="459" spans="1:8" s="2" customFormat="1">
      <c r="A459" s="7" t="s">
        <v>433</v>
      </c>
      <c r="B459" s="7" t="str">
        <f t="shared" si="23"/>
        <v>16</v>
      </c>
      <c r="C459" s="7" t="str">
        <f>"07"</f>
        <v>07</v>
      </c>
      <c r="D459" s="7" t="str">
        <f>"20210071607"</f>
        <v>20210071607</v>
      </c>
      <c r="E459" s="7" t="s">
        <v>464</v>
      </c>
      <c r="F459" s="7">
        <v>46</v>
      </c>
      <c r="G459" s="7">
        <v>39</v>
      </c>
      <c r="H459" s="8">
        <f t="shared" si="22"/>
        <v>43.899999999999991</v>
      </c>
    </row>
    <row r="460" spans="1:8" s="2" customFormat="1">
      <c r="A460" s="7" t="s">
        <v>433</v>
      </c>
      <c r="B460" s="7" t="str">
        <f t="shared" si="23"/>
        <v>16</v>
      </c>
      <c r="C460" s="7" t="str">
        <f>"08"</f>
        <v>08</v>
      </c>
      <c r="D460" s="7" t="str">
        <f>"20210071608"</f>
        <v>20210071608</v>
      </c>
      <c r="E460" s="7" t="s">
        <v>465</v>
      </c>
      <c r="F460" s="7">
        <v>69.5</v>
      </c>
      <c r="G460" s="7">
        <v>86</v>
      </c>
      <c r="H460" s="8">
        <f t="shared" si="22"/>
        <v>74.45</v>
      </c>
    </row>
    <row r="461" spans="1:8" s="2" customFormat="1">
      <c r="A461" s="7" t="s">
        <v>433</v>
      </c>
      <c r="B461" s="7" t="str">
        <f t="shared" si="23"/>
        <v>16</v>
      </c>
      <c r="C461" s="7" t="str">
        <f>"09"</f>
        <v>09</v>
      </c>
      <c r="D461" s="7" t="str">
        <f>"20210071609"</f>
        <v>20210071609</v>
      </c>
      <c r="E461" s="7" t="s">
        <v>466</v>
      </c>
      <c r="F461" s="7">
        <v>74</v>
      </c>
      <c r="G461" s="7">
        <v>89</v>
      </c>
      <c r="H461" s="8">
        <f t="shared" si="22"/>
        <v>78.5</v>
      </c>
    </row>
    <row r="462" spans="1:8" s="2" customFormat="1">
      <c r="A462" s="7" t="s">
        <v>433</v>
      </c>
      <c r="B462" s="7" t="str">
        <f t="shared" si="23"/>
        <v>16</v>
      </c>
      <c r="C462" s="7" t="str">
        <f>"10"</f>
        <v>10</v>
      </c>
      <c r="D462" s="7" t="str">
        <f>"20210071610"</f>
        <v>20210071610</v>
      </c>
      <c r="E462" s="7" t="s">
        <v>467</v>
      </c>
      <c r="F462" s="7">
        <v>68</v>
      </c>
      <c r="G462" s="7">
        <v>80</v>
      </c>
      <c r="H462" s="8">
        <f t="shared" si="22"/>
        <v>71.599999999999994</v>
      </c>
    </row>
    <row r="463" spans="1:8" s="2" customFormat="1">
      <c r="A463" s="7" t="s">
        <v>433</v>
      </c>
      <c r="B463" s="7" t="str">
        <f t="shared" si="23"/>
        <v>16</v>
      </c>
      <c r="C463" s="7" t="str">
        <f>"11"</f>
        <v>11</v>
      </c>
      <c r="D463" s="7" t="str">
        <f>"20210071611"</f>
        <v>20210071611</v>
      </c>
      <c r="E463" s="7" t="s">
        <v>468</v>
      </c>
      <c r="F463" s="7">
        <v>78</v>
      </c>
      <c r="G463" s="7">
        <v>86</v>
      </c>
      <c r="H463" s="8">
        <f t="shared" si="22"/>
        <v>80.399999999999991</v>
      </c>
    </row>
    <row r="464" spans="1:8" s="2" customFormat="1">
      <c r="A464" s="7" t="s">
        <v>433</v>
      </c>
      <c r="B464" s="7" t="str">
        <f t="shared" si="23"/>
        <v>16</v>
      </c>
      <c r="C464" s="7" t="str">
        <f>"12"</f>
        <v>12</v>
      </c>
      <c r="D464" s="7" t="str">
        <f>"20210071612"</f>
        <v>20210071612</v>
      </c>
      <c r="E464" s="7" t="s">
        <v>469</v>
      </c>
      <c r="F464" s="7">
        <v>42</v>
      </c>
      <c r="G464" s="7">
        <v>48</v>
      </c>
      <c r="H464" s="8">
        <f t="shared" si="22"/>
        <v>43.8</v>
      </c>
    </row>
    <row r="465" spans="1:8" s="2" customFormat="1">
      <c r="A465" s="7" t="s">
        <v>433</v>
      </c>
      <c r="B465" s="7" t="str">
        <f t="shared" si="23"/>
        <v>16</v>
      </c>
      <c r="C465" s="7" t="str">
        <f>"13"</f>
        <v>13</v>
      </c>
      <c r="D465" s="7" t="str">
        <f>"20210071613"</f>
        <v>20210071613</v>
      </c>
      <c r="E465" s="7" t="s">
        <v>470</v>
      </c>
      <c r="F465" s="7">
        <v>50</v>
      </c>
      <c r="G465" s="7">
        <v>58</v>
      </c>
      <c r="H465" s="8">
        <f t="shared" si="22"/>
        <v>52.4</v>
      </c>
    </row>
    <row r="466" spans="1:8" s="2" customFormat="1">
      <c r="A466" s="7" t="s">
        <v>433</v>
      </c>
      <c r="B466" s="7" t="str">
        <f t="shared" si="23"/>
        <v>16</v>
      </c>
      <c r="C466" s="7" t="str">
        <f>"14"</f>
        <v>14</v>
      </c>
      <c r="D466" s="7" t="str">
        <f>"20210071614"</f>
        <v>20210071614</v>
      </c>
      <c r="E466" s="7" t="s">
        <v>471</v>
      </c>
      <c r="F466" s="7">
        <v>70</v>
      </c>
      <c r="G466" s="7">
        <v>77</v>
      </c>
      <c r="H466" s="8">
        <f t="shared" si="22"/>
        <v>72.099999999999994</v>
      </c>
    </row>
    <row r="467" spans="1:8" s="2" customFormat="1">
      <c r="A467" s="7" t="s">
        <v>433</v>
      </c>
      <c r="B467" s="7" t="str">
        <f t="shared" si="23"/>
        <v>16</v>
      </c>
      <c r="C467" s="7" t="str">
        <f>"15"</f>
        <v>15</v>
      </c>
      <c r="D467" s="7" t="str">
        <f>"20210071615"</f>
        <v>20210071615</v>
      </c>
      <c r="E467" s="7" t="s">
        <v>472</v>
      </c>
      <c r="F467" s="7">
        <v>65</v>
      </c>
      <c r="G467" s="7">
        <v>82</v>
      </c>
      <c r="H467" s="8">
        <f t="shared" si="22"/>
        <v>70.099999999999994</v>
      </c>
    </row>
    <row r="468" spans="1:8" s="2" customFormat="1">
      <c r="A468" s="7" t="s">
        <v>433</v>
      </c>
      <c r="B468" s="7" t="str">
        <f t="shared" si="23"/>
        <v>16</v>
      </c>
      <c r="C468" s="7" t="str">
        <f>"16"</f>
        <v>16</v>
      </c>
      <c r="D468" s="7" t="str">
        <f>"20210071616"</f>
        <v>20210071616</v>
      </c>
      <c r="E468" s="7" t="s">
        <v>473</v>
      </c>
      <c r="F468" s="7">
        <v>63</v>
      </c>
      <c r="G468" s="7">
        <v>77</v>
      </c>
      <c r="H468" s="8">
        <f t="shared" si="22"/>
        <v>67.199999999999989</v>
      </c>
    </row>
    <row r="469" spans="1:8" s="2" customFormat="1">
      <c r="A469" s="7" t="s">
        <v>433</v>
      </c>
      <c r="B469" s="7" t="str">
        <f t="shared" si="23"/>
        <v>16</v>
      </c>
      <c r="C469" s="7" t="str">
        <f>"17"</f>
        <v>17</v>
      </c>
      <c r="D469" s="7" t="str">
        <f>"20210071617"</f>
        <v>20210071617</v>
      </c>
      <c r="E469" s="7" t="s">
        <v>474</v>
      </c>
      <c r="F469" s="7">
        <v>51.5</v>
      </c>
      <c r="G469" s="7">
        <v>89</v>
      </c>
      <c r="H469" s="8">
        <f t="shared" si="22"/>
        <v>62.75</v>
      </c>
    </row>
    <row r="470" spans="1:8" s="2" customFormat="1">
      <c r="A470" s="7" t="s">
        <v>433</v>
      </c>
      <c r="B470" s="7" t="str">
        <f t="shared" si="23"/>
        <v>16</v>
      </c>
      <c r="C470" s="7" t="str">
        <f>"18"</f>
        <v>18</v>
      </c>
      <c r="D470" s="7" t="str">
        <f>"20210071618"</f>
        <v>20210071618</v>
      </c>
      <c r="E470" s="7" t="s">
        <v>475</v>
      </c>
      <c r="F470" s="7">
        <v>47</v>
      </c>
      <c r="G470" s="7">
        <v>34</v>
      </c>
      <c r="H470" s="8">
        <f t="shared" si="22"/>
        <v>43.099999999999994</v>
      </c>
    </row>
    <row r="471" spans="1:8" s="2" customFormat="1">
      <c r="A471" s="7" t="s">
        <v>433</v>
      </c>
      <c r="B471" s="7" t="str">
        <f t="shared" si="23"/>
        <v>16</v>
      </c>
      <c r="C471" s="7" t="str">
        <f>"19"</f>
        <v>19</v>
      </c>
      <c r="D471" s="7" t="str">
        <f>"20210071619"</f>
        <v>20210071619</v>
      </c>
      <c r="E471" s="7" t="s">
        <v>476</v>
      </c>
      <c r="F471" s="7">
        <v>61</v>
      </c>
      <c r="G471" s="7">
        <v>81</v>
      </c>
      <c r="H471" s="8">
        <f t="shared" si="22"/>
        <v>67</v>
      </c>
    </row>
    <row r="472" spans="1:8" s="2" customFormat="1">
      <c r="A472" s="7" t="s">
        <v>433</v>
      </c>
      <c r="B472" s="7" t="str">
        <f t="shared" si="23"/>
        <v>16</v>
      </c>
      <c r="C472" s="7" t="str">
        <f>"20"</f>
        <v>20</v>
      </c>
      <c r="D472" s="7" t="str">
        <f>"20210071620"</f>
        <v>20210071620</v>
      </c>
      <c r="E472" s="7" t="s">
        <v>477</v>
      </c>
      <c r="F472" s="7">
        <v>63</v>
      </c>
      <c r="G472" s="7">
        <v>82</v>
      </c>
      <c r="H472" s="8">
        <f t="shared" si="22"/>
        <v>68.699999999999989</v>
      </c>
    </row>
    <row r="473" spans="1:8" s="2" customFormat="1">
      <c r="A473" s="7" t="s">
        <v>433</v>
      </c>
      <c r="B473" s="7" t="str">
        <f t="shared" si="23"/>
        <v>16</v>
      </c>
      <c r="C473" s="7" t="str">
        <f>"21"</f>
        <v>21</v>
      </c>
      <c r="D473" s="7" t="str">
        <f>"20210071621"</f>
        <v>20210071621</v>
      </c>
      <c r="E473" s="7" t="s">
        <v>30</v>
      </c>
      <c r="F473" s="7">
        <v>78.5</v>
      </c>
      <c r="G473" s="7">
        <v>72</v>
      </c>
      <c r="H473" s="8">
        <f t="shared" si="22"/>
        <v>76.55</v>
      </c>
    </row>
    <row r="474" spans="1:8" s="2" customFormat="1">
      <c r="A474" s="7" t="s">
        <v>433</v>
      </c>
      <c r="B474" s="7" t="str">
        <f t="shared" si="23"/>
        <v>16</v>
      </c>
      <c r="C474" s="7" t="str">
        <f>"22"</f>
        <v>22</v>
      </c>
      <c r="D474" s="7" t="str">
        <f>"20210071622"</f>
        <v>20210071622</v>
      </c>
      <c r="E474" s="7" t="s">
        <v>478</v>
      </c>
      <c r="F474" s="7">
        <v>60</v>
      </c>
      <c r="G474" s="7">
        <v>67</v>
      </c>
      <c r="H474" s="8">
        <f t="shared" si="22"/>
        <v>62.099999999999994</v>
      </c>
    </row>
    <row r="475" spans="1:8" s="2" customFormat="1">
      <c r="A475" s="7" t="s">
        <v>433</v>
      </c>
      <c r="B475" s="7" t="str">
        <f t="shared" si="23"/>
        <v>16</v>
      </c>
      <c r="C475" s="7" t="str">
        <f>"23"</f>
        <v>23</v>
      </c>
      <c r="D475" s="7" t="str">
        <f>"20210071623"</f>
        <v>20210071623</v>
      </c>
      <c r="E475" s="7" t="s">
        <v>479</v>
      </c>
      <c r="F475" s="7">
        <v>63</v>
      </c>
      <c r="G475" s="7">
        <v>73</v>
      </c>
      <c r="H475" s="8">
        <f t="shared" si="22"/>
        <v>66</v>
      </c>
    </row>
    <row r="476" spans="1:8" s="2" customFormat="1">
      <c r="A476" s="7" t="s">
        <v>433</v>
      </c>
      <c r="B476" s="7" t="str">
        <f t="shared" si="23"/>
        <v>16</v>
      </c>
      <c r="C476" s="7" t="str">
        <f>"24"</f>
        <v>24</v>
      </c>
      <c r="D476" s="7" t="str">
        <f>"20210071624"</f>
        <v>20210071624</v>
      </c>
      <c r="E476" s="7" t="s">
        <v>480</v>
      </c>
      <c r="F476" s="7">
        <v>65</v>
      </c>
      <c r="G476" s="7">
        <v>89</v>
      </c>
      <c r="H476" s="8">
        <f t="shared" si="22"/>
        <v>72.2</v>
      </c>
    </row>
    <row r="477" spans="1:8" s="2" customFormat="1">
      <c r="A477" s="7" t="s">
        <v>433</v>
      </c>
      <c r="B477" s="7" t="str">
        <f t="shared" si="23"/>
        <v>16</v>
      </c>
      <c r="C477" s="7" t="str">
        <f>"25"</f>
        <v>25</v>
      </c>
      <c r="D477" s="7" t="str">
        <f>"20210071625"</f>
        <v>20210071625</v>
      </c>
      <c r="E477" s="7" t="s">
        <v>481</v>
      </c>
      <c r="F477" s="7">
        <v>74</v>
      </c>
      <c r="G477" s="7">
        <v>73</v>
      </c>
      <c r="H477" s="8">
        <f t="shared" si="22"/>
        <v>73.699999999999989</v>
      </c>
    </row>
    <row r="478" spans="1:8" s="2" customFormat="1">
      <c r="A478" s="7" t="s">
        <v>433</v>
      </c>
      <c r="B478" s="7" t="str">
        <f t="shared" si="23"/>
        <v>16</v>
      </c>
      <c r="C478" s="7" t="str">
        <f>"26"</f>
        <v>26</v>
      </c>
      <c r="D478" s="7" t="str">
        <f>"20210071626"</f>
        <v>20210071626</v>
      </c>
      <c r="E478" s="7" t="s">
        <v>482</v>
      </c>
      <c r="F478" s="7">
        <v>67</v>
      </c>
      <c r="G478" s="7">
        <v>83</v>
      </c>
      <c r="H478" s="8">
        <f t="shared" si="22"/>
        <v>71.8</v>
      </c>
    </row>
    <row r="479" spans="1:8" s="2" customFormat="1">
      <c r="A479" s="7" t="s">
        <v>433</v>
      </c>
      <c r="B479" s="7" t="str">
        <f t="shared" si="23"/>
        <v>16</v>
      </c>
      <c r="C479" s="7" t="str">
        <f>"27"</f>
        <v>27</v>
      </c>
      <c r="D479" s="7" t="str">
        <f>"20210071627"</f>
        <v>20210071627</v>
      </c>
      <c r="E479" s="7" t="s">
        <v>483</v>
      </c>
      <c r="F479" s="7">
        <v>65</v>
      </c>
      <c r="G479" s="7">
        <v>66</v>
      </c>
      <c r="H479" s="8">
        <f t="shared" si="22"/>
        <v>65.3</v>
      </c>
    </row>
    <row r="480" spans="1:8" s="2" customFormat="1">
      <c r="A480" s="7" t="s">
        <v>433</v>
      </c>
      <c r="B480" s="7" t="str">
        <f t="shared" si="23"/>
        <v>16</v>
      </c>
      <c r="C480" s="7" t="str">
        <f>"28"</f>
        <v>28</v>
      </c>
      <c r="D480" s="7" t="str">
        <f>"20210071628"</f>
        <v>20210071628</v>
      </c>
      <c r="E480" s="7" t="s">
        <v>484</v>
      </c>
      <c r="F480" s="7">
        <v>55.5</v>
      </c>
      <c r="G480" s="7">
        <v>62</v>
      </c>
      <c r="H480" s="8">
        <f t="shared" si="22"/>
        <v>57.449999999999989</v>
      </c>
    </row>
    <row r="481" spans="1:8" s="2" customFormat="1">
      <c r="A481" s="7" t="s">
        <v>433</v>
      </c>
      <c r="B481" s="7" t="str">
        <f t="shared" si="23"/>
        <v>16</v>
      </c>
      <c r="C481" s="7" t="str">
        <f>"29"</f>
        <v>29</v>
      </c>
      <c r="D481" s="7" t="str">
        <f>"20210071629"</f>
        <v>20210071629</v>
      </c>
      <c r="E481" s="7" t="s">
        <v>485</v>
      </c>
      <c r="F481" s="7">
        <v>58.5</v>
      </c>
      <c r="G481" s="7">
        <v>75</v>
      </c>
      <c r="H481" s="8">
        <f t="shared" si="22"/>
        <v>63.449999999999996</v>
      </c>
    </row>
    <row r="482" spans="1:8" s="2" customFormat="1">
      <c r="A482" s="7" t="s">
        <v>433</v>
      </c>
      <c r="B482" s="7" t="str">
        <f t="shared" si="23"/>
        <v>16</v>
      </c>
      <c r="C482" s="7" t="str">
        <f>"30"</f>
        <v>30</v>
      </c>
      <c r="D482" s="7" t="str">
        <f>"20210071630"</f>
        <v>20210071630</v>
      </c>
      <c r="E482" s="7" t="s">
        <v>486</v>
      </c>
      <c r="F482" s="7">
        <v>41.5</v>
      </c>
      <c r="G482" s="7">
        <v>42</v>
      </c>
      <c r="H482" s="8">
        <f t="shared" si="22"/>
        <v>41.65</v>
      </c>
    </row>
    <row r="483" spans="1:8" s="2" customFormat="1">
      <c r="A483" s="7" t="s">
        <v>433</v>
      </c>
      <c r="B483" s="7" t="str">
        <f t="shared" ref="B483:B512" si="24">"17"</f>
        <v>17</v>
      </c>
      <c r="C483" s="7" t="str">
        <f>"01"</f>
        <v>01</v>
      </c>
      <c r="D483" s="7" t="str">
        <f>"20210071701"</f>
        <v>20210071701</v>
      </c>
      <c r="E483" s="7" t="s">
        <v>487</v>
      </c>
      <c r="F483" s="7">
        <v>69</v>
      </c>
      <c r="G483" s="7">
        <v>70</v>
      </c>
      <c r="H483" s="8">
        <f t="shared" si="22"/>
        <v>69.3</v>
      </c>
    </row>
    <row r="484" spans="1:8" s="2" customFormat="1">
      <c r="A484" s="7" t="s">
        <v>433</v>
      </c>
      <c r="B484" s="7" t="str">
        <f t="shared" si="24"/>
        <v>17</v>
      </c>
      <c r="C484" s="7" t="str">
        <f>"02"</f>
        <v>02</v>
      </c>
      <c r="D484" s="7" t="str">
        <f>"20210071702"</f>
        <v>20210071702</v>
      </c>
      <c r="E484" s="7" t="s">
        <v>488</v>
      </c>
      <c r="F484" s="7">
        <v>69</v>
      </c>
      <c r="G484" s="7">
        <v>76</v>
      </c>
      <c r="H484" s="8">
        <f t="shared" si="22"/>
        <v>71.099999999999994</v>
      </c>
    </row>
    <row r="485" spans="1:8" s="2" customFormat="1">
      <c r="A485" s="7" t="s">
        <v>433</v>
      </c>
      <c r="B485" s="7" t="str">
        <f t="shared" si="24"/>
        <v>17</v>
      </c>
      <c r="C485" s="7" t="str">
        <f>"03"</f>
        <v>03</v>
      </c>
      <c r="D485" s="7" t="str">
        <f>"20210071703"</f>
        <v>20210071703</v>
      </c>
      <c r="E485" s="7" t="s">
        <v>489</v>
      </c>
      <c r="F485" s="7">
        <v>51.5</v>
      </c>
      <c r="G485" s="7">
        <v>44</v>
      </c>
      <c r="H485" s="8">
        <f t="shared" si="22"/>
        <v>49.25</v>
      </c>
    </row>
    <row r="486" spans="1:8" s="2" customFormat="1">
      <c r="A486" s="7" t="s">
        <v>433</v>
      </c>
      <c r="B486" s="7" t="str">
        <f t="shared" si="24"/>
        <v>17</v>
      </c>
      <c r="C486" s="7" t="str">
        <f>"04"</f>
        <v>04</v>
      </c>
      <c r="D486" s="7" t="str">
        <f>"20210071704"</f>
        <v>20210071704</v>
      </c>
      <c r="E486" s="7" t="s">
        <v>490</v>
      </c>
      <c r="F486" s="7">
        <v>58.5</v>
      </c>
      <c r="G486" s="7">
        <v>54</v>
      </c>
      <c r="H486" s="8">
        <f t="shared" si="22"/>
        <v>57.149999999999991</v>
      </c>
    </row>
    <row r="487" spans="1:8" s="2" customFormat="1">
      <c r="A487" s="7" t="s">
        <v>433</v>
      </c>
      <c r="B487" s="7" t="str">
        <f t="shared" si="24"/>
        <v>17</v>
      </c>
      <c r="C487" s="7" t="str">
        <f>"05"</f>
        <v>05</v>
      </c>
      <c r="D487" s="7" t="str">
        <f>"20210071705"</f>
        <v>20210071705</v>
      </c>
      <c r="E487" s="7" t="s">
        <v>491</v>
      </c>
      <c r="F487" s="7">
        <v>55</v>
      </c>
      <c r="G487" s="7">
        <v>69</v>
      </c>
      <c r="H487" s="8">
        <f t="shared" si="22"/>
        <v>59.2</v>
      </c>
    </row>
    <row r="488" spans="1:8" s="2" customFormat="1">
      <c r="A488" s="7" t="s">
        <v>433</v>
      </c>
      <c r="B488" s="7" t="str">
        <f t="shared" si="24"/>
        <v>17</v>
      </c>
      <c r="C488" s="7" t="str">
        <f>"06"</f>
        <v>06</v>
      </c>
      <c r="D488" s="7" t="str">
        <f>"20210071706"</f>
        <v>20210071706</v>
      </c>
      <c r="E488" s="7" t="s">
        <v>492</v>
      </c>
      <c r="F488" s="7">
        <v>73</v>
      </c>
      <c r="G488" s="7">
        <v>80</v>
      </c>
      <c r="H488" s="8">
        <f t="shared" si="22"/>
        <v>75.099999999999994</v>
      </c>
    </row>
    <row r="489" spans="1:8" s="2" customFormat="1">
      <c r="A489" s="7" t="s">
        <v>433</v>
      </c>
      <c r="B489" s="7" t="str">
        <f t="shared" si="24"/>
        <v>17</v>
      </c>
      <c r="C489" s="7" t="str">
        <f>"07"</f>
        <v>07</v>
      </c>
      <c r="D489" s="7" t="str">
        <f>"20210071707"</f>
        <v>20210071707</v>
      </c>
      <c r="E489" s="7" t="s">
        <v>493</v>
      </c>
      <c r="F489" s="7">
        <v>57.5</v>
      </c>
      <c r="G489" s="7">
        <v>58</v>
      </c>
      <c r="H489" s="8">
        <f t="shared" si="22"/>
        <v>57.65</v>
      </c>
    </row>
    <row r="490" spans="1:8" s="2" customFormat="1">
      <c r="A490" s="7" t="s">
        <v>433</v>
      </c>
      <c r="B490" s="7" t="str">
        <f t="shared" si="24"/>
        <v>17</v>
      </c>
      <c r="C490" s="7" t="str">
        <f>"08"</f>
        <v>08</v>
      </c>
      <c r="D490" s="7" t="str">
        <f>"20210071708"</f>
        <v>20210071708</v>
      </c>
      <c r="E490" s="7" t="s">
        <v>494</v>
      </c>
      <c r="F490" s="7">
        <v>50</v>
      </c>
      <c r="G490" s="7">
        <v>58</v>
      </c>
      <c r="H490" s="8">
        <f t="shared" si="22"/>
        <v>52.4</v>
      </c>
    </row>
    <row r="491" spans="1:8" s="2" customFormat="1">
      <c r="A491" s="7" t="s">
        <v>433</v>
      </c>
      <c r="B491" s="7" t="str">
        <f t="shared" si="24"/>
        <v>17</v>
      </c>
      <c r="C491" s="7" t="str">
        <f>"09"</f>
        <v>09</v>
      </c>
      <c r="D491" s="7" t="str">
        <f>"20210071709"</f>
        <v>20210071709</v>
      </c>
      <c r="E491" s="7" t="s">
        <v>495</v>
      </c>
      <c r="F491" s="7">
        <v>56</v>
      </c>
      <c r="G491" s="7">
        <v>46</v>
      </c>
      <c r="H491" s="8">
        <f t="shared" si="22"/>
        <v>52.999999999999993</v>
      </c>
    </row>
    <row r="492" spans="1:8" s="2" customFormat="1">
      <c r="A492" s="7" t="s">
        <v>496</v>
      </c>
      <c r="B492" s="7" t="str">
        <f t="shared" si="24"/>
        <v>17</v>
      </c>
      <c r="C492" s="7" t="str">
        <f>"10"</f>
        <v>10</v>
      </c>
      <c r="D492" s="7" t="str">
        <f>"20210081710"</f>
        <v>20210081710</v>
      </c>
      <c r="E492" s="7" t="s">
        <v>497</v>
      </c>
      <c r="F492" s="7">
        <v>68.5</v>
      </c>
      <c r="G492" s="7">
        <v>86</v>
      </c>
      <c r="H492" s="8">
        <f t="shared" si="22"/>
        <v>73.75</v>
      </c>
    </row>
    <row r="493" spans="1:8" s="2" customFormat="1">
      <c r="A493" s="7" t="s">
        <v>496</v>
      </c>
      <c r="B493" s="7" t="str">
        <f t="shared" si="24"/>
        <v>17</v>
      </c>
      <c r="C493" s="7" t="str">
        <f>"11"</f>
        <v>11</v>
      </c>
      <c r="D493" s="7" t="str">
        <f>"20210081711"</f>
        <v>20210081711</v>
      </c>
      <c r="E493" s="7" t="s">
        <v>498</v>
      </c>
      <c r="F493" s="7">
        <v>39</v>
      </c>
      <c r="G493" s="7">
        <v>72</v>
      </c>
      <c r="H493" s="8">
        <f t="shared" si="22"/>
        <v>48.899999999999991</v>
      </c>
    </row>
    <row r="494" spans="1:8" s="2" customFormat="1">
      <c r="A494" s="7" t="s">
        <v>496</v>
      </c>
      <c r="B494" s="7" t="str">
        <f t="shared" si="24"/>
        <v>17</v>
      </c>
      <c r="C494" s="7" t="str">
        <f>"12"</f>
        <v>12</v>
      </c>
      <c r="D494" s="7" t="str">
        <f>"20210081712"</f>
        <v>20210081712</v>
      </c>
      <c r="E494" s="7" t="s">
        <v>499</v>
      </c>
      <c r="F494" s="7">
        <v>70</v>
      </c>
      <c r="G494" s="7">
        <v>86</v>
      </c>
      <c r="H494" s="8">
        <f t="shared" si="22"/>
        <v>74.8</v>
      </c>
    </row>
    <row r="495" spans="1:8" s="2" customFormat="1">
      <c r="A495" s="7" t="s">
        <v>496</v>
      </c>
      <c r="B495" s="7" t="str">
        <f t="shared" si="24"/>
        <v>17</v>
      </c>
      <c r="C495" s="7" t="str">
        <f>"13"</f>
        <v>13</v>
      </c>
      <c r="D495" s="7" t="str">
        <f>"20210081713"</f>
        <v>20210081713</v>
      </c>
      <c r="E495" s="7" t="s">
        <v>500</v>
      </c>
      <c r="F495" s="7">
        <v>0</v>
      </c>
      <c r="G495" s="7">
        <v>0</v>
      </c>
      <c r="H495" s="8">
        <f t="shared" si="22"/>
        <v>0</v>
      </c>
    </row>
    <row r="496" spans="1:8" s="2" customFormat="1">
      <c r="A496" s="7" t="s">
        <v>496</v>
      </c>
      <c r="B496" s="7" t="str">
        <f t="shared" si="24"/>
        <v>17</v>
      </c>
      <c r="C496" s="7" t="str">
        <f>"14"</f>
        <v>14</v>
      </c>
      <c r="D496" s="7" t="str">
        <f>"20210081714"</f>
        <v>20210081714</v>
      </c>
      <c r="E496" s="7" t="s">
        <v>501</v>
      </c>
      <c r="F496" s="7">
        <v>51</v>
      </c>
      <c r="G496" s="7">
        <v>67</v>
      </c>
      <c r="H496" s="8">
        <f t="shared" si="22"/>
        <v>55.8</v>
      </c>
    </row>
    <row r="497" spans="1:8" s="2" customFormat="1">
      <c r="A497" s="7" t="s">
        <v>496</v>
      </c>
      <c r="B497" s="7" t="str">
        <f t="shared" si="24"/>
        <v>17</v>
      </c>
      <c r="C497" s="7" t="str">
        <f>"15"</f>
        <v>15</v>
      </c>
      <c r="D497" s="7" t="str">
        <f>"20210081715"</f>
        <v>20210081715</v>
      </c>
      <c r="E497" s="7" t="s">
        <v>502</v>
      </c>
      <c r="F497" s="7">
        <v>47</v>
      </c>
      <c r="G497" s="7">
        <v>60</v>
      </c>
      <c r="H497" s="8">
        <f t="shared" si="22"/>
        <v>50.9</v>
      </c>
    </row>
    <row r="498" spans="1:8" s="2" customFormat="1">
      <c r="A498" s="7" t="s">
        <v>496</v>
      </c>
      <c r="B498" s="7" t="str">
        <f t="shared" si="24"/>
        <v>17</v>
      </c>
      <c r="C498" s="7" t="str">
        <f>"16"</f>
        <v>16</v>
      </c>
      <c r="D498" s="7" t="str">
        <f>"20210081716"</f>
        <v>20210081716</v>
      </c>
      <c r="E498" s="7" t="s">
        <v>503</v>
      </c>
      <c r="F498" s="7">
        <v>51</v>
      </c>
      <c r="G498" s="7">
        <v>83</v>
      </c>
      <c r="H498" s="8">
        <f t="shared" si="22"/>
        <v>60.599999999999994</v>
      </c>
    </row>
    <row r="499" spans="1:8" s="2" customFormat="1">
      <c r="A499" s="7" t="s">
        <v>496</v>
      </c>
      <c r="B499" s="7" t="str">
        <f t="shared" si="24"/>
        <v>17</v>
      </c>
      <c r="C499" s="7" t="str">
        <f>"17"</f>
        <v>17</v>
      </c>
      <c r="D499" s="7" t="str">
        <f>"20210081717"</f>
        <v>20210081717</v>
      </c>
      <c r="E499" s="7" t="s">
        <v>504</v>
      </c>
      <c r="F499" s="7">
        <v>57.5</v>
      </c>
      <c r="G499" s="7">
        <v>67</v>
      </c>
      <c r="H499" s="8">
        <f t="shared" si="22"/>
        <v>60.349999999999994</v>
      </c>
    </row>
    <row r="500" spans="1:8" s="2" customFormat="1">
      <c r="A500" s="7" t="s">
        <v>496</v>
      </c>
      <c r="B500" s="7" t="str">
        <f t="shared" si="24"/>
        <v>17</v>
      </c>
      <c r="C500" s="7" t="str">
        <f>"18"</f>
        <v>18</v>
      </c>
      <c r="D500" s="7" t="str">
        <f>"20210081718"</f>
        <v>20210081718</v>
      </c>
      <c r="E500" s="7" t="s">
        <v>505</v>
      </c>
      <c r="F500" s="7">
        <v>68</v>
      </c>
      <c r="G500" s="7">
        <v>79</v>
      </c>
      <c r="H500" s="8">
        <f t="shared" si="22"/>
        <v>71.3</v>
      </c>
    </row>
    <row r="501" spans="1:8" s="2" customFormat="1">
      <c r="A501" s="7" t="s">
        <v>496</v>
      </c>
      <c r="B501" s="7" t="str">
        <f t="shared" si="24"/>
        <v>17</v>
      </c>
      <c r="C501" s="7" t="str">
        <f>"19"</f>
        <v>19</v>
      </c>
      <c r="D501" s="7" t="str">
        <f>"20210081719"</f>
        <v>20210081719</v>
      </c>
      <c r="E501" s="7" t="s">
        <v>506</v>
      </c>
      <c r="F501" s="7">
        <v>73</v>
      </c>
      <c r="G501" s="7">
        <v>67</v>
      </c>
      <c r="H501" s="8">
        <f t="shared" si="22"/>
        <v>71.199999999999989</v>
      </c>
    </row>
    <row r="502" spans="1:8" s="2" customFormat="1">
      <c r="A502" s="7" t="s">
        <v>496</v>
      </c>
      <c r="B502" s="7" t="str">
        <f t="shared" si="24"/>
        <v>17</v>
      </c>
      <c r="C502" s="7" t="str">
        <f>"20"</f>
        <v>20</v>
      </c>
      <c r="D502" s="7" t="str">
        <f>"20210081720"</f>
        <v>20210081720</v>
      </c>
      <c r="E502" s="7" t="s">
        <v>507</v>
      </c>
      <c r="F502" s="7">
        <v>68</v>
      </c>
      <c r="G502" s="7">
        <v>83</v>
      </c>
      <c r="H502" s="8">
        <f t="shared" si="22"/>
        <v>72.5</v>
      </c>
    </row>
    <row r="503" spans="1:8" s="2" customFormat="1">
      <c r="A503" s="7" t="s">
        <v>496</v>
      </c>
      <c r="B503" s="7" t="str">
        <f t="shared" si="24"/>
        <v>17</v>
      </c>
      <c r="C503" s="7" t="str">
        <f>"21"</f>
        <v>21</v>
      </c>
      <c r="D503" s="7" t="str">
        <f>"20210081721"</f>
        <v>20210081721</v>
      </c>
      <c r="E503" s="7" t="s">
        <v>508</v>
      </c>
      <c r="F503" s="7">
        <v>0</v>
      </c>
      <c r="G503" s="7">
        <v>0</v>
      </c>
      <c r="H503" s="8">
        <f t="shared" si="22"/>
        <v>0</v>
      </c>
    </row>
    <row r="504" spans="1:8" s="2" customFormat="1">
      <c r="A504" s="7" t="s">
        <v>496</v>
      </c>
      <c r="B504" s="7" t="str">
        <f t="shared" si="24"/>
        <v>17</v>
      </c>
      <c r="C504" s="7" t="str">
        <f>"22"</f>
        <v>22</v>
      </c>
      <c r="D504" s="7" t="str">
        <f>"20210081722"</f>
        <v>20210081722</v>
      </c>
      <c r="E504" s="7" t="s">
        <v>509</v>
      </c>
      <c r="F504" s="7">
        <v>37</v>
      </c>
      <c r="G504" s="7">
        <v>33</v>
      </c>
      <c r="H504" s="8">
        <f t="shared" si="22"/>
        <v>35.799999999999997</v>
      </c>
    </row>
    <row r="505" spans="1:8" s="2" customFormat="1">
      <c r="A505" s="7" t="s">
        <v>496</v>
      </c>
      <c r="B505" s="7" t="str">
        <f t="shared" si="24"/>
        <v>17</v>
      </c>
      <c r="C505" s="7" t="str">
        <f>"23"</f>
        <v>23</v>
      </c>
      <c r="D505" s="7" t="str">
        <f>"20210081723"</f>
        <v>20210081723</v>
      </c>
      <c r="E505" s="7" t="s">
        <v>510</v>
      </c>
      <c r="F505" s="7">
        <v>46</v>
      </c>
      <c r="G505" s="7">
        <v>52</v>
      </c>
      <c r="H505" s="8">
        <f t="shared" si="22"/>
        <v>47.8</v>
      </c>
    </row>
    <row r="506" spans="1:8" s="2" customFormat="1">
      <c r="A506" s="7" t="s">
        <v>496</v>
      </c>
      <c r="B506" s="7" t="str">
        <f t="shared" si="24"/>
        <v>17</v>
      </c>
      <c r="C506" s="7" t="str">
        <f>"24"</f>
        <v>24</v>
      </c>
      <c r="D506" s="7" t="str">
        <f>"20210081724"</f>
        <v>20210081724</v>
      </c>
      <c r="E506" s="7" t="s">
        <v>511</v>
      </c>
      <c r="F506" s="7">
        <v>63</v>
      </c>
      <c r="G506" s="7">
        <v>75</v>
      </c>
      <c r="H506" s="8">
        <f t="shared" si="22"/>
        <v>66.599999999999994</v>
      </c>
    </row>
    <row r="507" spans="1:8" s="2" customFormat="1">
      <c r="A507" s="7" t="s">
        <v>496</v>
      </c>
      <c r="B507" s="7" t="str">
        <f t="shared" si="24"/>
        <v>17</v>
      </c>
      <c r="C507" s="7" t="str">
        <f>"25"</f>
        <v>25</v>
      </c>
      <c r="D507" s="7" t="str">
        <f>"20210081725"</f>
        <v>20210081725</v>
      </c>
      <c r="E507" s="7" t="s">
        <v>512</v>
      </c>
      <c r="F507" s="7">
        <v>0</v>
      </c>
      <c r="G507" s="7">
        <v>0</v>
      </c>
      <c r="H507" s="8">
        <f t="shared" si="22"/>
        <v>0</v>
      </c>
    </row>
    <row r="508" spans="1:8" s="2" customFormat="1">
      <c r="A508" s="7" t="s">
        <v>496</v>
      </c>
      <c r="B508" s="7" t="str">
        <f t="shared" si="24"/>
        <v>17</v>
      </c>
      <c r="C508" s="7" t="str">
        <f>"26"</f>
        <v>26</v>
      </c>
      <c r="D508" s="7" t="str">
        <f>"20210081726"</f>
        <v>20210081726</v>
      </c>
      <c r="E508" s="7" t="s">
        <v>513</v>
      </c>
      <c r="F508" s="7">
        <v>54</v>
      </c>
      <c r="G508" s="7">
        <v>67</v>
      </c>
      <c r="H508" s="8">
        <f t="shared" si="22"/>
        <v>57.899999999999991</v>
      </c>
    </row>
    <row r="509" spans="1:8" s="2" customFormat="1">
      <c r="A509" s="7" t="s">
        <v>496</v>
      </c>
      <c r="B509" s="7" t="str">
        <f t="shared" si="24"/>
        <v>17</v>
      </c>
      <c r="C509" s="7" t="str">
        <f>"27"</f>
        <v>27</v>
      </c>
      <c r="D509" s="7" t="str">
        <f>"20210081727"</f>
        <v>20210081727</v>
      </c>
      <c r="E509" s="7" t="s">
        <v>514</v>
      </c>
      <c r="F509" s="7">
        <v>64</v>
      </c>
      <c r="G509" s="7">
        <v>72</v>
      </c>
      <c r="H509" s="8">
        <f t="shared" si="22"/>
        <v>66.399999999999991</v>
      </c>
    </row>
    <row r="510" spans="1:8" s="2" customFormat="1">
      <c r="A510" s="7" t="s">
        <v>496</v>
      </c>
      <c r="B510" s="7" t="str">
        <f t="shared" si="24"/>
        <v>17</v>
      </c>
      <c r="C510" s="7" t="str">
        <f>"28"</f>
        <v>28</v>
      </c>
      <c r="D510" s="7" t="str">
        <f>"20210081728"</f>
        <v>20210081728</v>
      </c>
      <c r="E510" s="7" t="s">
        <v>515</v>
      </c>
      <c r="F510" s="7">
        <v>47.5</v>
      </c>
      <c r="G510" s="7">
        <v>71</v>
      </c>
      <c r="H510" s="8">
        <f t="shared" si="22"/>
        <v>54.55</v>
      </c>
    </row>
    <row r="511" spans="1:8" s="2" customFormat="1">
      <c r="A511" s="7" t="s">
        <v>496</v>
      </c>
      <c r="B511" s="7" t="str">
        <f t="shared" si="24"/>
        <v>17</v>
      </c>
      <c r="C511" s="7" t="str">
        <f>"29"</f>
        <v>29</v>
      </c>
      <c r="D511" s="7" t="str">
        <f>"20210081729"</f>
        <v>20210081729</v>
      </c>
      <c r="E511" s="7" t="s">
        <v>516</v>
      </c>
      <c r="F511" s="7">
        <v>77</v>
      </c>
      <c r="G511" s="7">
        <v>85</v>
      </c>
      <c r="H511" s="8">
        <f t="shared" si="22"/>
        <v>79.400000000000006</v>
      </c>
    </row>
    <row r="512" spans="1:8" s="2" customFormat="1">
      <c r="A512" s="7" t="s">
        <v>496</v>
      </c>
      <c r="B512" s="7" t="str">
        <f t="shared" si="24"/>
        <v>17</v>
      </c>
      <c r="C512" s="7" t="str">
        <f>"30"</f>
        <v>30</v>
      </c>
      <c r="D512" s="7" t="str">
        <f>"20210081730"</f>
        <v>20210081730</v>
      </c>
      <c r="E512" s="7" t="s">
        <v>517</v>
      </c>
      <c r="F512" s="7">
        <v>73</v>
      </c>
      <c r="G512" s="7">
        <v>83</v>
      </c>
      <c r="H512" s="8">
        <f t="shared" si="22"/>
        <v>76</v>
      </c>
    </row>
    <row r="513" spans="1:8" s="2" customFormat="1">
      <c r="A513" s="7" t="s">
        <v>496</v>
      </c>
      <c r="B513" s="7" t="str">
        <f t="shared" ref="B513:B542" si="25">"18"</f>
        <v>18</v>
      </c>
      <c r="C513" s="7" t="str">
        <f>"01"</f>
        <v>01</v>
      </c>
      <c r="D513" s="7" t="str">
        <f>"20210081801"</f>
        <v>20210081801</v>
      </c>
      <c r="E513" s="7" t="s">
        <v>518</v>
      </c>
      <c r="F513" s="7">
        <v>53</v>
      </c>
      <c r="G513" s="7">
        <v>66</v>
      </c>
      <c r="H513" s="8">
        <f t="shared" si="22"/>
        <v>56.899999999999991</v>
      </c>
    </row>
    <row r="514" spans="1:8" s="2" customFormat="1">
      <c r="A514" s="7" t="s">
        <v>496</v>
      </c>
      <c r="B514" s="7" t="str">
        <f t="shared" si="25"/>
        <v>18</v>
      </c>
      <c r="C514" s="7" t="str">
        <f>"02"</f>
        <v>02</v>
      </c>
      <c r="D514" s="7" t="str">
        <f>"20210081802"</f>
        <v>20210081802</v>
      </c>
      <c r="E514" s="7" t="s">
        <v>519</v>
      </c>
      <c r="F514" s="7">
        <v>45</v>
      </c>
      <c r="G514" s="7">
        <v>60</v>
      </c>
      <c r="H514" s="8">
        <f t="shared" si="22"/>
        <v>49.5</v>
      </c>
    </row>
    <row r="515" spans="1:8" s="2" customFormat="1">
      <c r="A515" s="7" t="s">
        <v>496</v>
      </c>
      <c r="B515" s="7" t="str">
        <f t="shared" si="25"/>
        <v>18</v>
      </c>
      <c r="C515" s="7" t="str">
        <f>"03"</f>
        <v>03</v>
      </c>
      <c r="D515" s="7" t="str">
        <f>"20210081803"</f>
        <v>20210081803</v>
      </c>
      <c r="E515" s="7" t="s">
        <v>520</v>
      </c>
      <c r="F515" s="7">
        <v>58</v>
      </c>
      <c r="G515" s="7">
        <v>43</v>
      </c>
      <c r="H515" s="8">
        <f t="shared" ref="H515:H578" si="26">F515*0.7+G515*0.3</f>
        <v>53.499999999999993</v>
      </c>
    </row>
    <row r="516" spans="1:8" s="2" customFormat="1">
      <c r="A516" s="7" t="s">
        <v>496</v>
      </c>
      <c r="B516" s="7" t="str">
        <f t="shared" si="25"/>
        <v>18</v>
      </c>
      <c r="C516" s="7" t="str">
        <f>"04"</f>
        <v>04</v>
      </c>
      <c r="D516" s="7" t="str">
        <f>"20210081804"</f>
        <v>20210081804</v>
      </c>
      <c r="E516" s="7" t="s">
        <v>521</v>
      </c>
      <c r="F516" s="7">
        <v>71</v>
      </c>
      <c r="G516" s="7">
        <v>67</v>
      </c>
      <c r="H516" s="8">
        <f t="shared" si="26"/>
        <v>69.8</v>
      </c>
    </row>
    <row r="517" spans="1:8" s="2" customFormat="1">
      <c r="A517" s="7" t="s">
        <v>496</v>
      </c>
      <c r="B517" s="7" t="str">
        <f t="shared" si="25"/>
        <v>18</v>
      </c>
      <c r="C517" s="7" t="str">
        <f>"05"</f>
        <v>05</v>
      </c>
      <c r="D517" s="7" t="str">
        <f>"20210081805"</f>
        <v>20210081805</v>
      </c>
      <c r="E517" s="7" t="s">
        <v>522</v>
      </c>
      <c r="F517" s="7">
        <v>45</v>
      </c>
      <c r="G517" s="7">
        <v>55</v>
      </c>
      <c r="H517" s="8">
        <f t="shared" si="26"/>
        <v>48</v>
      </c>
    </row>
    <row r="518" spans="1:8" s="2" customFormat="1">
      <c r="A518" s="7" t="s">
        <v>496</v>
      </c>
      <c r="B518" s="7" t="str">
        <f t="shared" si="25"/>
        <v>18</v>
      </c>
      <c r="C518" s="7" t="str">
        <f>"06"</f>
        <v>06</v>
      </c>
      <c r="D518" s="7" t="str">
        <f>"20210081806"</f>
        <v>20210081806</v>
      </c>
      <c r="E518" s="7" t="s">
        <v>523</v>
      </c>
      <c r="F518" s="7">
        <v>59</v>
      </c>
      <c r="G518" s="7">
        <v>63</v>
      </c>
      <c r="H518" s="8">
        <f t="shared" si="26"/>
        <v>60.199999999999996</v>
      </c>
    </row>
    <row r="519" spans="1:8" s="2" customFormat="1">
      <c r="A519" s="7" t="s">
        <v>496</v>
      </c>
      <c r="B519" s="7" t="str">
        <f t="shared" si="25"/>
        <v>18</v>
      </c>
      <c r="C519" s="7" t="str">
        <f>"07"</f>
        <v>07</v>
      </c>
      <c r="D519" s="7" t="str">
        <f>"20210081807"</f>
        <v>20210081807</v>
      </c>
      <c r="E519" s="7" t="s">
        <v>524</v>
      </c>
      <c r="F519" s="7">
        <v>64</v>
      </c>
      <c r="G519" s="7">
        <v>62</v>
      </c>
      <c r="H519" s="8">
        <f t="shared" si="26"/>
        <v>63.399999999999991</v>
      </c>
    </row>
    <row r="520" spans="1:8" s="2" customFormat="1">
      <c r="A520" s="7" t="s">
        <v>496</v>
      </c>
      <c r="B520" s="7" t="str">
        <f t="shared" si="25"/>
        <v>18</v>
      </c>
      <c r="C520" s="7" t="str">
        <f>"08"</f>
        <v>08</v>
      </c>
      <c r="D520" s="7" t="str">
        <f>"20210081808"</f>
        <v>20210081808</v>
      </c>
      <c r="E520" s="7" t="s">
        <v>525</v>
      </c>
      <c r="F520" s="7">
        <v>48</v>
      </c>
      <c r="G520" s="7">
        <v>42</v>
      </c>
      <c r="H520" s="8">
        <f t="shared" si="26"/>
        <v>46.199999999999996</v>
      </c>
    </row>
    <row r="521" spans="1:8" s="2" customFormat="1">
      <c r="A521" s="7" t="s">
        <v>496</v>
      </c>
      <c r="B521" s="7" t="str">
        <f t="shared" si="25"/>
        <v>18</v>
      </c>
      <c r="C521" s="7" t="str">
        <f>"09"</f>
        <v>09</v>
      </c>
      <c r="D521" s="7" t="str">
        <f>"20210081809"</f>
        <v>20210081809</v>
      </c>
      <c r="E521" s="7" t="s">
        <v>526</v>
      </c>
      <c r="F521" s="7">
        <v>70.5</v>
      </c>
      <c r="G521" s="7">
        <v>70</v>
      </c>
      <c r="H521" s="8">
        <f t="shared" si="26"/>
        <v>70.349999999999994</v>
      </c>
    </row>
    <row r="522" spans="1:8" s="2" customFormat="1">
      <c r="A522" s="7" t="s">
        <v>496</v>
      </c>
      <c r="B522" s="7" t="str">
        <f t="shared" si="25"/>
        <v>18</v>
      </c>
      <c r="C522" s="7" t="str">
        <f>"10"</f>
        <v>10</v>
      </c>
      <c r="D522" s="7" t="str">
        <f>"20210081810"</f>
        <v>20210081810</v>
      </c>
      <c r="E522" s="7" t="s">
        <v>527</v>
      </c>
      <c r="F522" s="7">
        <v>57</v>
      </c>
      <c r="G522" s="7">
        <v>66</v>
      </c>
      <c r="H522" s="8">
        <f t="shared" si="26"/>
        <v>59.7</v>
      </c>
    </row>
    <row r="523" spans="1:8" s="2" customFormat="1">
      <c r="A523" s="7" t="s">
        <v>496</v>
      </c>
      <c r="B523" s="7" t="str">
        <f t="shared" si="25"/>
        <v>18</v>
      </c>
      <c r="C523" s="7" t="str">
        <f>"11"</f>
        <v>11</v>
      </c>
      <c r="D523" s="7" t="str">
        <f>"20210081811"</f>
        <v>20210081811</v>
      </c>
      <c r="E523" s="7" t="s">
        <v>528</v>
      </c>
      <c r="F523" s="7">
        <v>78</v>
      </c>
      <c r="G523" s="7">
        <v>76</v>
      </c>
      <c r="H523" s="8">
        <f t="shared" si="26"/>
        <v>77.399999999999991</v>
      </c>
    </row>
    <row r="524" spans="1:8" s="2" customFormat="1">
      <c r="A524" s="7" t="s">
        <v>496</v>
      </c>
      <c r="B524" s="7" t="str">
        <f t="shared" si="25"/>
        <v>18</v>
      </c>
      <c r="C524" s="7" t="str">
        <f>"12"</f>
        <v>12</v>
      </c>
      <c r="D524" s="7" t="str">
        <f>"20210081812"</f>
        <v>20210081812</v>
      </c>
      <c r="E524" s="7" t="s">
        <v>529</v>
      </c>
      <c r="F524" s="7">
        <v>62</v>
      </c>
      <c r="G524" s="7">
        <v>73</v>
      </c>
      <c r="H524" s="8">
        <f t="shared" si="26"/>
        <v>65.3</v>
      </c>
    </row>
    <row r="525" spans="1:8" s="2" customFormat="1">
      <c r="A525" s="7" t="s">
        <v>496</v>
      </c>
      <c r="B525" s="7" t="str">
        <f t="shared" si="25"/>
        <v>18</v>
      </c>
      <c r="C525" s="7" t="str">
        <f>"13"</f>
        <v>13</v>
      </c>
      <c r="D525" s="7" t="str">
        <f>"20210081813"</f>
        <v>20210081813</v>
      </c>
      <c r="E525" s="7" t="s">
        <v>530</v>
      </c>
      <c r="F525" s="7">
        <v>59</v>
      </c>
      <c r="G525" s="7">
        <v>68</v>
      </c>
      <c r="H525" s="8">
        <f t="shared" si="26"/>
        <v>61.699999999999996</v>
      </c>
    </row>
    <row r="526" spans="1:8" s="2" customFormat="1">
      <c r="A526" s="7" t="s">
        <v>496</v>
      </c>
      <c r="B526" s="7" t="str">
        <f t="shared" si="25"/>
        <v>18</v>
      </c>
      <c r="C526" s="7" t="str">
        <f>"14"</f>
        <v>14</v>
      </c>
      <c r="D526" s="7" t="str">
        <f>"20210081814"</f>
        <v>20210081814</v>
      </c>
      <c r="E526" s="7" t="s">
        <v>531</v>
      </c>
      <c r="F526" s="7">
        <v>65</v>
      </c>
      <c r="G526" s="7">
        <v>94</v>
      </c>
      <c r="H526" s="8">
        <f t="shared" si="26"/>
        <v>73.7</v>
      </c>
    </row>
    <row r="527" spans="1:8" s="2" customFormat="1">
      <c r="A527" s="7" t="s">
        <v>496</v>
      </c>
      <c r="B527" s="7" t="str">
        <f t="shared" si="25"/>
        <v>18</v>
      </c>
      <c r="C527" s="7" t="str">
        <f>"15"</f>
        <v>15</v>
      </c>
      <c r="D527" s="7" t="str">
        <f>"20210081815"</f>
        <v>20210081815</v>
      </c>
      <c r="E527" s="7" t="s">
        <v>532</v>
      </c>
      <c r="F527" s="7">
        <v>45</v>
      </c>
      <c r="G527" s="7">
        <v>43</v>
      </c>
      <c r="H527" s="8">
        <f t="shared" si="26"/>
        <v>44.4</v>
      </c>
    </row>
    <row r="528" spans="1:8" s="2" customFormat="1">
      <c r="A528" s="7" t="s">
        <v>496</v>
      </c>
      <c r="B528" s="7" t="str">
        <f t="shared" si="25"/>
        <v>18</v>
      </c>
      <c r="C528" s="7" t="str">
        <f>"16"</f>
        <v>16</v>
      </c>
      <c r="D528" s="7" t="str">
        <f>"20210081816"</f>
        <v>20210081816</v>
      </c>
      <c r="E528" s="7" t="s">
        <v>533</v>
      </c>
      <c r="F528" s="7">
        <v>43</v>
      </c>
      <c r="G528" s="7">
        <v>44</v>
      </c>
      <c r="H528" s="8">
        <f t="shared" si="26"/>
        <v>43.3</v>
      </c>
    </row>
    <row r="529" spans="1:8" s="2" customFormat="1">
      <c r="A529" s="7" t="s">
        <v>496</v>
      </c>
      <c r="B529" s="7" t="str">
        <f t="shared" si="25"/>
        <v>18</v>
      </c>
      <c r="C529" s="7" t="str">
        <f>"17"</f>
        <v>17</v>
      </c>
      <c r="D529" s="7" t="str">
        <f>"20210081817"</f>
        <v>20210081817</v>
      </c>
      <c r="E529" s="7" t="s">
        <v>534</v>
      </c>
      <c r="F529" s="7">
        <v>68.5</v>
      </c>
      <c r="G529" s="7">
        <v>81</v>
      </c>
      <c r="H529" s="8">
        <f t="shared" si="26"/>
        <v>72.25</v>
      </c>
    </row>
    <row r="530" spans="1:8" s="2" customFormat="1">
      <c r="A530" s="7" t="s">
        <v>496</v>
      </c>
      <c r="B530" s="7" t="str">
        <f t="shared" si="25"/>
        <v>18</v>
      </c>
      <c r="C530" s="7" t="str">
        <f>"18"</f>
        <v>18</v>
      </c>
      <c r="D530" s="7" t="str">
        <f>"20210081818"</f>
        <v>20210081818</v>
      </c>
      <c r="E530" s="7" t="s">
        <v>535</v>
      </c>
      <c r="F530" s="7">
        <v>41.5</v>
      </c>
      <c r="G530" s="7">
        <v>58</v>
      </c>
      <c r="H530" s="8">
        <f t="shared" si="26"/>
        <v>46.449999999999996</v>
      </c>
    </row>
    <row r="531" spans="1:8" s="2" customFormat="1">
      <c r="A531" s="7" t="s">
        <v>496</v>
      </c>
      <c r="B531" s="7" t="str">
        <f t="shared" si="25"/>
        <v>18</v>
      </c>
      <c r="C531" s="7" t="str">
        <f>"19"</f>
        <v>19</v>
      </c>
      <c r="D531" s="7" t="str">
        <f>"20210081819"</f>
        <v>20210081819</v>
      </c>
      <c r="E531" s="7" t="s">
        <v>536</v>
      </c>
      <c r="F531" s="7">
        <v>63</v>
      </c>
      <c r="G531" s="7">
        <v>57</v>
      </c>
      <c r="H531" s="8">
        <f t="shared" si="26"/>
        <v>61.199999999999989</v>
      </c>
    </row>
    <row r="532" spans="1:8" s="2" customFormat="1">
      <c r="A532" s="7" t="s">
        <v>496</v>
      </c>
      <c r="B532" s="7" t="str">
        <f t="shared" si="25"/>
        <v>18</v>
      </c>
      <c r="C532" s="7" t="str">
        <f>"20"</f>
        <v>20</v>
      </c>
      <c r="D532" s="7" t="str">
        <f>"20210081820"</f>
        <v>20210081820</v>
      </c>
      <c r="E532" s="7" t="s">
        <v>537</v>
      </c>
      <c r="F532" s="7">
        <v>63</v>
      </c>
      <c r="G532" s="7">
        <v>82</v>
      </c>
      <c r="H532" s="8">
        <f t="shared" si="26"/>
        <v>68.699999999999989</v>
      </c>
    </row>
    <row r="533" spans="1:8" s="2" customFormat="1">
      <c r="A533" s="7" t="s">
        <v>496</v>
      </c>
      <c r="B533" s="7" t="str">
        <f t="shared" si="25"/>
        <v>18</v>
      </c>
      <c r="C533" s="7" t="str">
        <f>"21"</f>
        <v>21</v>
      </c>
      <c r="D533" s="7" t="str">
        <f>"20210081821"</f>
        <v>20210081821</v>
      </c>
      <c r="E533" s="7" t="s">
        <v>538</v>
      </c>
      <c r="F533" s="7">
        <v>55</v>
      </c>
      <c r="G533" s="7">
        <v>64</v>
      </c>
      <c r="H533" s="8">
        <f t="shared" si="26"/>
        <v>57.7</v>
      </c>
    </row>
    <row r="534" spans="1:8" s="2" customFormat="1">
      <c r="A534" s="7" t="s">
        <v>496</v>
      </c>
      <c r="B534" s="7" t="str">
        <f t="shared" si="25"/>
        <v>18</v>
      </c>
      <c r="C534" s="7" t="str">
        <f>"22"</f>
        <v>22</v>
      </c>
      <c r="D534" s="7" t="str">
        <f>"20210081822"</f>
        <v>20210081822</v>
      </c>
      <c r="E534" s="7" t="s">
        <v>539</v>
      </c>
      <c r="F534" s="7">
        <v>36</v>
      </c>
      <c r="G534" s="7">
        <v>44</v>
      </c>
      <c r="H534" s="8">
        <f t="shared" si="26"/>
        <v>38.4</v>
      </c>
    </row>
    <row r="535" spans="1:8" s="2" customFormat="1">
      <c r="A535" s="7" t="s">
        <v>496</v>
      </c>
      <c r="B535" s="7" t="str">
        <f t="shared" si="25"/>
        <v>18</v>
      </c>
      <c r="C535" s="7" t="str">
        <f>"23"</f>
        <v>23</v>
      </c>
      <c r="D535" s="7" t="str">
        <f>"20210081823"</f>
        <v>20210081823</v>
      </c>
      <c r="E535" s="7" t="s">
        <v>540</v>
      </c>
      <c r="F535" s="7">
        <v>45</v>
      </c>
      <c r="G535" s="7">
        <v>55</v>
      </c>
      <c r="H535" s="8">
        <f t="shared" si="26"/>
        <v>48</v>
      </c>
    </row>
    <row r="536" spans="1:8" s="2" customFormat="1">
      <c r="A536" s="7" t="s">
        <v>496</v>
      </c>
      <c r="B536" s="7" t="str">
        <f t="shared" si="25"/>
        <v>18</v>
      </c>
      <c r="C536" s="7" t="str">
        <f>"24"</f>
        <v>24</v>
      </c>
      <c r="D536" s="7" t="str">
        <f>"20210081824"</f>
        <v>20210081824</v>
      </c>
      <c r="E536" s="7" t="s">
        <v>541</v>
      </c>
      <c r="F536" s="7">
        <v>70</v>
      </c>
      <c r="G536" s="7">
        <v>65</v>
      </c>
      <c r="H536" s="8">
        <f t="shared" si="26"/>
        <v>68.5</v>
      </c>
    </row>
    <row r="537" spans="1:8" s="2" customFormat="1">
      <c r="A537" s="7" t="s">
        <v>496</v>
      </c>
      <c r="B537" s="7" t="str">
        <f t="shared" si="25"/>
        <v>18</v>
      </c>
      <c r="C537" s="7" t="str">
        <f>"25"</f>
        <v>25</v>
      </c>
      <c r="D537" s="7" t="str">
        <f>"20210081825"</f>
        <v>20210081825</v>
      </c>
      <c r="E537" s="7" t="s">
        <v>260</v>
      </c>
      <c r="F537" s="7">
        <v>57</v>
      </c>
      <c r="G537" s="7">
        <v>71</v>
      </c>
      <c r="H537" s="8">
        <f t="shared" si="26"/>
        <v>61.2</v>
      </c>
    </row>
    <row r="538" spans="1:8" s="2" customFormat="1">
      <c r="A538" s="7" t="s">
        <v>496</v>
      </c>
      <c r="B538" s="7" t="str">
        <f t="shared" si="25"/>
        <v>18</v>
      </c>
      <c r="C538" s="7" t="str">
        <f>"26"</f>
        <v>26</v>
      </c>
      <c r="D538" s="7" t="str">
        <f>"20210081826"</f>
        <v>20210081826</v>
      </c>
      <c r="E538" s="7" t="s">
        <v>542</v>
      </c>
      <c r="F538" s="7">
        <v>76</v>
      </c>
      <c r="G538" s="7">
        <v>72</v>
      </c>
      <c r="H538" s="8">
        <f t="shared" si="26"/>
        <v>74.8</v>
      </c>
    </row>
    <row r="539" spans="1:8" s="2" customFormat="1">
      <c r="A539" s="7" t="s">
        <v>496</v>
      </c>
      <c r="B539" s="7" t="str">
        <f t="shared" si="25"/>
        <v>18</v>
      </c>
      <c r="C539" s="7" t="str">
        <f>"27"</f>
        <v>27</v>
      </c>
      <c r="D539" s="7" t="str">
        <f>"20210081827"</f>
        <v>20210081827</v>
      </c>
      <c r="E539" s="7" t="s">
        <v>543</v>
      </c>
      <c r="F539" s="7">
        <v>68</v>
      </c>
      <c r="G539" s="7">
        <v>89</v>
      </c>
      <c r="H539" s="8">
        <f t="shared" si="26"/>
        <v>74.3</v>
      </c>
    </row>
    <row r="540" spans="1:8" s="2" customFormat="1">
      <c r="A540" s="7" t="s">
        <v>496</v>
      </c>
      <c r="B540" s="7" t="str">
        <f t="shared" si="25"/>
        <v>18</v>
      </c>
      <c r="C540" s="7" t="str">
        <f>"28"</f>
        <v>28</v>
      </c>
      <c r="D540" s="7" t="str">
        <f>"20210081828"</f>
        <v>20210081828</v>
      </c>
      <c r="E540" s="7" t="s">
        <v>544</v>
      </c>
      <c r="F540" s="7">
        <v>67</v>
      </c>
      <c r="G540" s="7">
        <v>81</v>
      </c>
      <c r="H540" s="8">
        <f t="shared" si="26"/>
        <v>71.2</v>
      </c>
    </row>
    <row r="541" spans="1:8" s="2" customFormat="1">
      <c r="A541" s="7" t="s">
        <v>496</v>
      </c>
      <c r="B541" s="7" t="str">
        <f t="shared" si="25"/>
        <v>18</v>
      </c>
      <c r="C541" s="7" t="str">
        <f>"29"</f>
        <v>29</v>
      </c>
      <c r="D541" s="7" t="str">
        <f>"20210081829"</f>
        <v>20210081829</v>
      </c>
      <c r="E541" s="7" t="s">
        <v>545</v>
      </c>
      <c r="F541" s="7">
        <v>58</v>
      </c>
      <c r="G541" s="7">
        <v>51</v>
      </c>
      <c r="H541" s="8">
        <f t="shared" si="26"/>
        <v>55.899999999999991</v>
      </c>
    </row>
    <row r="542" spans="1:8" s="2" customFormat="1">
      <c r="A542" s="7" t="s">
        <v>496</v>
      </c>
      <c r="B542" s="7" t="str">
        <f t="shared" si="25"/>
        <v>18</v>
      </c>
      <c r="C542" s="7" t="str">
        <f>"30"</f>
        <v>30</v>
      </c>
      <c r="D542" s="7" t="str">
        <f>"20210081830"</f>
        <v>20210081830</v>
      </c>
      <c r="E542" s="7" t="s">
        <v>546</v>
      </c>
      <c r="F542" s="7">
        <v>0</v>
      </c>
      <c r="G542" s="7">
        <v>0</v>
      </c>
      <c r="H542" s="8">
        <f t="shared" si="26"/>
        <v>0</v>
      </c>
    </row>
    <row r="543" spans="1:8" s="2" customFormat="1">
      <c r="A543" s="7" t="s">
        <v>496</v>
      </c>
      <c r="B543" s="7" t="str">
        <f t="shared" ref="B543:B572" si="27">"19"</f>
        <v>19</v>
      </c>
      <c r="C543" s="7" t="str">
        <f>"01"</f>
        <v>01</v>
      </c>
      <c r="D543" s="7" t="str">
        <f>"20210081901"</f>
        <v>20210081901</v>
      </c>
      <c r="E543" s="7" t="s">
        <v>547</v>
      </c>
      <c r="F543" s="7">
        <v>71</v>
      </c>
      <c r="G543" s="7">
        <v>94</v>
      </c>
      <c r="H543" s="8">
        <f t="shared" si="26"/>
        <v>77.899999999999991</v>
      </c>
    </row>
    <row r="544" spans="1:8" s="2" customFormat="1">
      <c r="A544" s="7" t="s">
        <v>496</v>
      </c>
      <c r="B544" s="7" t="str">
        <f t="shared" si="27"/>
        <v>19</v>
      </c>
      <c r="C544" s="7" t="str">
        <f>"02"</f>
        <v>02</v>
      </c>
      <c r="D544" s="7" t="str">
        <f>"20210081902"</f>
        <v>20210081902</v>
      </c>
      <c r="E544" s="7" t="s">
        <v>548</v>
      </c>
      <c r="F544" s="7">
        <v>83</v>
      </c>
      <c r="G544" s="7">
        <v>84</v>
      </c>
      <c r="H544" s="8">
        <f t="shared" si="26"/>
        <v>83.3</v>
      </c>
    </row>
    <row r="545" spans="1:8" s="2" customFormat="1">
      <c r="A545" s="7" t="s">
        <v>496</v>
      </c>
      <c r="B545" s="7" t="str">
        <f t="shared" si="27"/>
        <v>19</v>
      </c>
      <c r="C545" s="7" t="str">
        <f>"03"</f>
        <v>03</v>
      </c>
      <c r="D545" s="7" t="str">
        <f>"20210081903"</f>
        <v>20210081903</v>
      </c>
      <c r="E545" s="7" t="s">
        <v>549</v>
      </c>
      <c r="F545" s="7">
        <v>72</v>
      </c>
      <c r="G545" s="7">
        <v>71</v>
      </c>
      <c r="H545" s="8">
        <f t="shared" si="26"/>
        <v>71.7</v>
      </c>
    </row>
    <row r="546" spans="1:8" s="2" customFormat="1">
      <c r="A546" s="7" t="s">
        <v>496</v>
      </c>
      <c r="B546" s="7" t="str">
        <f t="shared" si="27"/>
        <v>19</v>
      </c>
      <c r="C546" s="7" t="str">
        <f>"04"</f>
        <v>04</v>
      </c>
      <c r="D546" s="7" t="str">
        <f>"20210081904"</f>
        <v>20210081904</v>
      </c>
      <c r="E546" s="7" t="s">
        <v>153</v>
      </c>
      <c r="F546" s="7">
        <v>58</v>
      </c>
      <c r="G546" s="7">
        <v>61</v>
      </c>
      <c r="H546" s="8">
        <f t="shared" si="26"/>
        <v>58.899999999999991</v>
      </c>
    </row>
    <row r="547" spans="1:8" s="2" customFormat="1">
      <c r="A547" s="7" t="s">
        <v>496</v>
      </c>
      <c r="B547" s="7" t="str">
        <f t="shared" si="27"/>
        <v>19</v>
      </c>
      <c r="C547" s="7" t="str">
        <f>"05"</f>
        <v>05</v>
      </c>
      <c r="D547" s="7" t="str">
        <f>"20210081905"</f>
        <v>20210081905</v>
      </c>
      <c r="E547" s="7" t="s">
        <v>550</v>
      </c>
      <c r="F547" s="7">
        <v>73</v>
      </c>
      <c r="G547" s="7">
        <v>84</v>
      </c>
      <c r="H547" s="8">
        <f t="shared" si="26"/>
        <v>76.3</v>
      </c>
    </row>
    <row r="548" spans="1:8" s="2" customFormat="1">
      <c r="A548" s="7" t="s">
        <v>496</v>
      </c>
      <c r="B548" s="7" t="str">
        <f t="shared" si="27"/>
        <v>19</v>
      </c>
      <c r="C548" s="7" t="str">
        <f>"06"</f>
        <v>06</v>
      </c>
      <c r="D548" s="7" t="str">
        <f>"20210081906"</f>
        <v>20210081906</v>
      </c>
      <c r="E548" s="7" t="s">
        <v>551</v>
      </c>
      <c r="F548" s="7">
        <v>74</v>
      </c>
      <c r="G548" s="7">
        <v>71</v>
      </c>
      <c r="H548" s="8">
        <f t="shared" si="26"/>
        <v>73.099999999999994</v>
      </c>
    </row>
    <row r="549" spans="1:8" s="2" customFormat="1">
      <c r="A549" s="7" t="s">
        <v>496</v>
      </c>
      <c r="B549" s="7" t="str">
        <f t="shared" si="27"/>
        <v>19</v>
      </c>
      <c r="C549" s="7" t="str">
        <f>"07"</f>
        <v>07</v>
      </c>
      <c r="D549" s="7" t="str">
        <f>"20210081907"</f>
        <v>20210081907</v>
      </c>
      <c r="E549" s="7" t="s">
        <v>552</v>
      </c>
      <c r="F549" s="7">
        <v>57</v>
      </c>
      <c r="G549" s="7">
        <v>61</v>
      </c>
      <c r="H549" s="8">
        <f t="shared" si="26"/>
        <v>58.2</v>
      </c>
    </row>
    <row r="550" spans="1:8" s="2" customFormat="1">
      <c r="A550" s="7" t="s">
        <v>496</v>
      </c>
      <c r="B550" s="7" t="str">
        <f t="shared" si="27"/>
        <v>19</v>
      </c>
      <c r="C550" s="7" t="str">
        <f>"08"</f>
        <v>08</v>
      </c>
      <c r="D550" s="7" t="str">
        <f>"20210081908"</f>
        <v>20210081908</v>
      </c>
      <c r="E550" s="7" t="s">
        <v>553</v>
      </c>
      <c r="F550" s="7">
        <v>0</v>
      </c>
      <c r="G550" s="7">
        <v>0</v>
      </c>
      <c r="H550" s="8">
        <f t="shared" si="26"/>
        <v>0</v>
      </c>
    </row>
    <row r="551" spans="1:8" s="2" customFormat="1">
      <c r="A551" s="7" t="s">
        <v>496</v>
      </c>
      <c r="B551" s="7" t="str">
        <f t="shared" si="27"/>
        <v>19</v>
      </c>
      <c r="C551" s="7" t="str">
        <f>"09"</f>
        <v>09</v>
      </c>
      <c r="D551" s="7" t="str">
        <f>"20210081909"</f>
        <v>20210081909</v>
      </c>
      <c r="E551" s="7" t="s">
        <v>554</v>
      </c>
      <c r="F551" s="7">
        <v>57</v>
      </c>
      <c r="G551" s="7">
        <v>72</v>
      </c>
      <c r="H551" s="8">
        <f t="shared" si="26"/>
        <v>61.5</v>
      </c>
    </row>
    <row r="552" spans="1:8" s="2" customFormat="1">
      <c r="A552" s="7" t="s">
        <v>496</v>
      </c>
      <c r="B552" s="7" t="str">
        <f t="shared" si="27"/>
        <v>19</v>
      </c>
      <c r="C552" s="7" t="str">
        <f>"10"</f>
        <v>10</v>
      </c>
      <c r="D552" s="7" t="str">
        <f>"20210081910"</f>
        <v>20210081910</v>
      </c>
      <c r="E552" s="7" t="s">
        <v>555</v>
      </c>
      <c r="F552" s="7">
        <v>51.5</v>
      </c>
      <c r="G552" s="7">
        <v>55</v>
      </c>
      <c r="H552" s="8">
        <f t="shared" si="26"/>
        <v>52.55</v>
      </c>
    </row>
    <row r="553" spans="1:8" s="2" customFormat="1">
      <c r="A553" s="7" t="s">
        <v>496</v>
      </c>
      <c r="B553" s="7" t="str">
        <f t="shared" si="27"/>
        <v>19</v>
      </c>
      <c r="C553" s="7" t="str">
        <f>"11"</f>
        <v>11</v>
      </c>
      <c r="D553" s="7" t="str">
        <f>"20210081911"</f>
        <v>20210081911</v>
      </c>
      <c r="E553" s="7" t="s">
        <v>556</v>
      </c>
      <c r="F553" s="7">
        <v>72</v>
      </c>
      <c r="G553" s="7">
        <v>85</v>
      </c>
      <c r="H553" s="8">
        <f t="shared" si="26"/>
        <v>75.900000000000006</v>
      </c>
    </row>
    <row r="554" spans="1:8" s="2" customFormat="1">
      <c r="A554" s="7" t="s">
        <v>496</v>
      </c>
      <c r="B554" s="7" t="str">
        <f t="shared" si="27"/>
        <v>19</v>
      </c>
      <c r="C554" s="7" t="str">
        <f>"12"</f>
        <v>12</v>
      </c>
      <c r="D554" s="7" t="str">
        <f>"20210081912"</f>
        <v>20210081912</v>
      </c>
      <c r="E554" s="7" t="s">
        <v>557</v>
      </c>
      <c r="F554" s="7">
        <v>66</v>
      </c>
      <c r="G554" s="7">
        <v>60</v>
      </c>
      <c r="H554" s="8">
        <f t="shared" si="26"/>
        <v>64.199999999999989</v>
      </c>
    </row>
    <row r="555" spans="1:8" s="2" customFormat="1">
      <c r="A555" s="7" t="s">
        <v>496</v>
      </c>
      <c r="B555" s="7" t="str">
        <f t="shared" si="27"/>
        <v>19</v>
      </c>
      <c r="C555" s="7" t="str">
        <f>"13"</f>
        <v>13</v>
      </c>
      <c r="D555" s="7" t="str">
        <f>"20210081913"</f>
        <v>20210081913</v>
      </c>
      <c r="E555" s="7" t="s">
        <v>558</v>
      </c>
      <c r="F555" s="7">
        <v>56</v>
      </c>
      <c r="G555" s="7">
        <v>70</v>
      </c>
      <c r="H555" s="8">
        <f t="shared" si="26"/>
        <v>60.199999999999996</v>
      </c>
    </row>
    <row r="556" spans="1:8" s="2" customFormat="1">
      <c r="A556" s="7" t="s">
        <v>496</v>
      </c>
      <c r="B556" s="7" t="str">
        <f t="shared" si="27"/>
        <v>19</v>
      </c>
      <c r="C556" s="7" t="str">
        <f>"14"</f>
        <v>14</v>
      </c>
      <c r="D556" s="7" t="str">
        <f>"20210081914"</f>
        <v>20210081914</v>
      </c>
      <c r="E556" s="7" t="s">
        <v>559</v>
      </c>
      <c r="F556" s="7">
        <v>45</v>
      </c>
      <c r="G556" s="7">
        <v>56</v>
      </c>
      <c r="H556" s="8">
        <f t="shared" si="26"/>
        <v>48.3</v>
      </c>
    </row>
    <row r="557" spans="1:8" s="2" customFormat="1">
      <c r="A557" s="7" t="s">
        <v>496</v>
      </c>
      <c r="B557" s="7" t="str">
        <f t="shared" si="27"/>
        <v>19</v>
      </c>
      <c r="C557" s="7" t="str">
        <f>"15"</f>
        <v>15</v>
      </c>
      <c r="D557" s="7" t="str">
        <f>"20210081915"</f>
        <v>20210081915</v>
      </c>
      <c r="E557" s="7" t="s">
        <v>560</v>
      </c>
      <c r="F557" s="7">
        <v>44</v>
      </c>
      <c r="G557" s="7">
        <v>58</v>
      </c>
      <c r="H557" s="8">
        <f t="shared" si="26"/>
        <v>48.199999999999996</v>
      </c>
    </row>
    <row r="558" spans="1:8" s="2" customFormat="1">
      <c r="A558" s="7" t="s">
        <v>496</v>
      </c>
      <c r="B558" s="7" t="str">
        <f t="shared" si="27"/>
        <v>19</v>
      </c>
      <c r="C558" s="7" t="str">
        <f>"16"</f>
        <v>16</v>
      </c>
      <c r="D558" s="7" t="str">
        <f>"20210081916"</f>
        <v>20210081916</v>
      </c>
      <c r="E558" s="7" t="s">
        <v>561</v>
      </c>
      <c r="F558" s="7">
        <v>54</v>
      </c>
      <c r="G558" s="7">
        <v>56</v>
      </c>
      <c r="H558" s="8">
        <f t="shared" si="26"/>
        <v>54.599999999999994</v>
      </c>
    </row>
    <row r="559" spans="1:8" s="2" customFormat="1">
      <c r="A559" s="7" t="s">
        <v>496</v>
      </c>
      <c r="B559" s="7" t="str">
        <f t="shared" si="27"/>
        <v>19</v>
      </c>
      <c r="C559" s="7" t="str">
        <f>"17"</f>
        <v>17</v>
      </c>
      <c r="D559" s="7" t="str">
        <f>"20210081917"</f>
        <v>20210081917</v>
      </c>
      <c r="E559" s="7" t="s">
        <v>562</v>
      </c>
      <c r="F559" s="7">
        <v>60</v>
      </c>
      <c r="G559" s="7">
        <v>64</v>
      </c>
      <c r="H559" s="8">
        <f t="shared" si="26"/>
        <v>61.2</v>
      </c>
    </row>
    <row r="560" spans="1:8" s="2" customFormat="1">
      <c r="A560" s="7" t="s">
        <v>496</v>
      </c>
      <c r="B560" s="7" t="str">
        <f t="shared" si="27"/>
        <v>19</v>
      </c>
      <c r="C560" s="7" t="str">
        <f>"18"</f>
        <v>18</v>
      </c>
      <c r="D560" s="7" t="str">
        <f>"20210081918"</f>
        <v>20210081918</v>
      </c>
      <c r="E560" s="7" t="s">
        <v>563</v>
      </c>
      <c r="F560" s="7">
        <v>79</v>
      </c>
      <c r="G560" s="7">
        <v>86</v>
      </c>
      <c r="H560" s="8">
        <f t="shared" si="26"/>
        <v>81.099999999999994</v>
      </c>
    </row>
    <row r="561" spans="1:8" s="2" customFormat="1">
      <c r="A561" s="7" t="s">
        <v>496</v>
      </c>
      <c r="B561" s="7" t="str">
        <f t="shared" si="27"/>
        <v>19</v>
      </c>
      <c r="C561" s="7" t="str">
        <f>"19"</f>
        <v>19</v>
      </c>
      <c r="D561" s="7" t="str">
        <f>"20210081919"</f>
        <v>20210081919</v>
      </c>
      <c r="E561" s="7" t="s">
        <v>564</v>
      </c>
      <c r="F561" s="7">
        <v>38.5</v>
      </c>
      <c r="G561" s="7">
        <v>39</v>
      </c>
      <c r="H561" s="8">
        <f t="shared" si="26"/>
        <v>38.65</v>
      </c>
    </row>
    <row r="562" spans="1:8" s="2" customFormat="1">
      <c r="A562" s="7" t="s">
        <v>496</v>
      </c>
      <c r="B562" s="7" t="str">
        <f t="shared" si="27"/>
        <v>19</v>
      </c>
      <c r="C562" s="7" t="str">
        <f>"20"</f>
        <v>20</v>
      </c>
      <c r="D562" s="7" t="str">
        <f>"20210081920"</f>
        <v>20210081920</v>
      </c>
      <c r="E562" s="7" t="s">
        <v>565</v>
      </c>
      <c r="F562" s="7">
        <v>58</v>
      </c>
      <c r="G562" s="7">
        <v>68</v>
      </c>
      <c r="H562" s="8">
        <f t="shared" si="26"/>
        <v>60.999999999999993</v>
      </c>
    </row>
    <row r="563" spans="1:8" s="2" customFormat="1">
      <c r="A563" s="7" t="s">
        <v>496</v>
      </c>
      <c r="B563" s="7" t="str">
        <f t="shared" si="27"/>
        <v>19</v>
      </c>
      <c r="C563" s="7" t="str">
        <f>"21"</f>
        <v>21</v>
      </c>
      <c r="D563" s="7" t="str">
        <f>"20210081921"</f>
        <v>20210081921</v>
      </c>
      <c r="E563" s="7" t="s">
        <v>566</v>
      </c>
      <c r="F563" s="7">
        <v>35.5</v>
      </c>
      <c r="G563" s="7">
        <v>60</v>
      </c>
      <c r="H563" s="8">
        <f t="shared" si="26"/>
        <v>42.849999999999994</v>
      </c>
    </row>
    <row r="564" spans="1:8" s="2" customFormat="1">
      <c r="A564" s="7" t="s">
        <v>567</v>
      </c>
      <c r="B564" s="7" t="str">
        <f t="shared" si="27"/>
        <v>19</v>
      </c>
      <c r="C564" s="7" t="str">
        <f>"22"</f>
        <v>22</v>
      </c>
      <c r="D564" s="7" t="str">
        <f>"20210091922"</f>
        <v>20210091922</v>
      </c>
      <c r="E564" s="7" t="s">
        <v>568</v>
      </c>
      <c r="F564" s="7">
        <v>57.5</v>
      </c>
      <c r="G564" s="7">
        <v>64</v>
      </c>
      <c r="H564" s="8">
        <f t="shared" si="26"/>
        <v>59.45</v>
      </c>
    </row>
    <row r="565" spans="1:8" s="2" customFormat="1">
      <c r="A565" s="7" t="s">
        <v>567</v>
      </c>
      <c r="B565" s="7" t="str">
        <f t="shared" si="27"/>
        <v>19</v>
      </c>
      <c r="C565" s="7" t="str">
        <f>"23"</f>
        <v>23</v>
      </c>
      <c r="D565" s="7" t="str">
        <f>"20210091923"</f>
        <v>20210091923</v>
      </c>
      <c r="E565" s="7" t="s">
        <v>569</v>
      </c>
      <c r="F565" s="7">
        <v>0</v>
      </c>
      <c r="G565" s="7">
        <v>0</v>
      </c>
      <c r="H565" s="8">
        <f t="shared" si="26"/>
        <v>0</v>
      </c>
    </row>
    <row r="566" spans="1:8" s="2" customFormat="1">
      <c r="A566" s="7" t="s">
        <v>567</v>
      </c>
      <c r="B566" s="7" t="str">
        <f t="shared" si="27"/>
        <v>19</v>
      </c>
      <c r="C566" s="7" t="str">
        <f>"24"</f>
        <v>24</v>
      </c>
      <c r="D566" s="7" t="str">
        <f>"20210091924"</f>
        <v>20210091924</v>
      </c>
      <c r="E566" s="7" t="s">
        <v>570</v>
      </c>
      <c r="F566" s="7">
        <v>0</v>
      </c>
      <c r="G566" s="7">
        <v>0</v>
      </c>
      <c r="H566" s="8">
        <f t="shared" si="26"/>
        <v>0</v>
      </c>
    </row>
    <row r="567" spans="1:8" s="2" customFormat="1">
      <c r="A567" s="7" t="s">
        <v>567</v>
      </c>
      <c r="B567" s="7" t="str">
        <f t="shared" si="27"/>
        <v>19</v>
      </c>
      <c r="C567" s="7" t="str">
        <f>"25"</f>
        <v>25</v>
      </c>
      <c r="D567" s="7" t="str">
        <f>"20210091925"</f>
        <v>20210091925</v>
      </c>
      <c r="E567" s="7" t="s">
        <v>571</v>
      </c>
      <c r="F567" s="7">
        <v>63</v>
      </c>
      <c r="G567" s="7">
        <v>61</v>
      </c>
      <c r="H567" s="8">
        <f t="shared" si="26"/>
        <v>62.399999999999991</v>
      </c>
    </row>
    <row r="568" spans="1:8" s="2" customFormat="1">
      <c r="A568" s="7" t="s">
        <v>567</v>
      </c>
      <c r="B568" s="7" t="str">
        <f t="shared" si="27"/>
        <v>19</v>
      </c>
      <c r="C568" s="7" t="str">
        <f>"26"</f>
        <v>26</v>
      </c>
      <c r="D568" s="7" t="str">
        <f>"20210091926"</f>
        <v>20210091926</v>
      </c>
      <c r="E568" s="7" t="s">
        <v>572</v>
      </c>
      <c r="F568" s="7">
        <v>0</v>
      </c>
      <c r="G568" s="7">
        <v>0</v>
      </c>
      <c r="H568" s="8">
        <f t="shared" si="26"/>
        <v>0</v>
      </c>
    </row>
    <row r="569" spans="1:8" s="2" customFormat="1">
      <c r="A569" s="7" t="s">
        <v>567</v>
      </c>
      <c r="B569" s="7" t="str">
        <f t="shared" si="27"/>
        <v>19</v>
      </c>
      <c r="C569" s="7" t="str">
        <f>"27"</f>
        <v>27</v>
      </c>
      <c r="D569" s="7" t="str">
        <f>"20210091927"</f>
        <v>20210091927</v>
      </c>
      <c r="E569" s="7" t="s">
        <v>573</v>
      </c>
      <c r="F569" s="7">
        <v>81</v>
      </c>
      <c r="G569" s="7">
        <v>73</v>
      </c>
      <c r="H569" s="8">
        <f t="shared" si="26"/>
        <v>78.599999999999994</v>
      </c>
    </row>
    <row r="570" spans="1:8" s="2" customFormat="1">
      <c r="A570" s="7" t="s">
        <v>567</v>
      </c>
      <c r="B570" s="7" t="str">
        <f t="shared" si="27"/>
        <v>19</v>
      </c>
      <c r="C570" s="7" t="str">
        <f>"28"</f>
        <v>28</v>
      </c>
      <c r="D570" s="7" t="str">
        <f>"20210091928"</f>
        <v>20210091928</v>
      </c>
      <c r="E570" s="7" t="s">
        <v>574</v>
      </c>
      <c r="F570" s="7">
        <v>0</v>
      </c>
      <c r="G570" s="7">
        <v>0</v>
      </c>
      <c r="H570" s="8">
        <f t="shared" si="26"/>
        <v>0</v>
      </c>
    </row>
    <row r="571" spans="1:8" s="2" customFormat="1">
      <c r="A571" s="7" t="s">
        <v>567</v>
      </c>
      <c r="B571" s="7" t="str">
        <f t="shared" si="27"/>
        <v>19</v>
      </c>
      <c r="C571" s="7" t="str">
        <f>"29"</f>
        <v>29</v>
      </c>
      <c r="D571" s="7" t="str">
        <f>"20210091929"</f>
        <v>20210091929</v>
      </c>
      <c r="E571" s="7" t="s">
        <v>575</v>
      </c>
      <c r="F571" s="7">
        <v>46</v>
      </c>
      <c r="G571" s="7">
        <v>45</v>
      </c>
      <c r="H571" s="8">
        <f t="shared" si="26"/>
        <v>45.699999999999996</v>
      </c>
    </row>
    <row r="572" spans="1:8" s="2" customFormat="1">
      <c r="A572" s="7" t="s">
        <v>567</v>
      </c>
      <c r="B572" s="7" t="str">
        <f t="shared" si="27"/>
        <v>19</v>
      </c>
      <c r="C572" s="7" t="str">
        <f>"30"</f>
        <v>30</v>
      </c>
      <c r="D572" s="7" t="str">
        <f>"20210091930"</f>
        <v>20210091930</v>
      </c>
      <c r="E572" s="7" t="s">
        <v>576</v>
      </c>
      <c r="F572" s="7">
        <v>0</v>
      </c>
      <c r="G572" s="7">
        <v>0</v>
      </c>
      <c r="H572" s="8">
        <f t="shared" si="26"/>
        <v>0</v>
      </c>
    </row>
    <row r="573" spans="1:8" s="2" customFormat="1">
      <c r="A573" s="7" t="s">
        <v>567</v>
      </c>
      <c r="B573" s="7" t="str">
        <f t="shared" ref="B573:B602" si="28">"20"</f>
        <v>20</v>
      </c>
      <c r="C573" s="7" t="str">
        <f>"01"</f>
        <v>01</v>
      </c>
      <c r="D573" s="7" t="str">
        <f>"20210092001"</f>
        <v>20210092001</v>
      </c>
      <c r="E573" s="7" t="s">
        <v>577</v>
      </c>
      <c r="F573" s="7">
        <v>72</v>
      </c>
      <c r="G573" s="7">
        <v>78</v>
      </c>
      <c r="H573" s="8">
        <f t="shared" si="26"/>
        <v>73.8</v>
      </c>
    </row>
    <row r="574" spans="1:8" s="2" customFormat="1">
      <c r="A574" s="7" t="s">
        <v>567</v>
      </c>
      <c r="B574" s="7" t="str">
        <f t="shared" si="28"/>
        <v>20</v>
      </c>
      <c r="C574" s="7" t="str">
        <f>"02"</f>
        <v>02</v>
      </c>
      <c r="D574" s="7" t="str">
        <f>"20210092002"</f>
        <v>20210092002</v>
      </c>
      <c r="E574" s="7" t="s">
        <v>578</v>
      </c>
      <c r="F574" s="7">
        <v>50.5</v>
      </c>
      <c r="G574" s="7">
        <v>63</v>
      </c>
      <c r="H574" s="8">
        <f t="shared" si="26"/>
        <v>54.249999999999993</v>
      </c>
    </row>
    <row r="575" spans="1:8" s="2" customFormat="1">
      <c r="A575" s="7" t="s">
        <v>567</v>
      </c>
      <c r="B575" s="7" t="str">
        <f t="shared" si="28"/>
        <v>20</v>
      </c>
      <c r="C575" s="7" t="str">
        <f>"03"</f>
        <v>03</v>
      </c>
      <c r="D575" s="7" t="str">
        <f>"20210092003"</f>
        <v>20210092003</v>
      </c>
      <c r="E575" s="7" t="s">
        <v>579</v>
      </c>
      <c r="F575" s="7">
        <v>33</v>
      </c>
      <c r="G575" s="7">
        <v>30</v>
      </c>
      <c r="H575" s="8">
        <f t="shared" si="26"/>
        <v>32.099999999999994</v>
      </c>
    </row>
    <row r="576" spans="1:8" s="2" customFormat="1">
      <c r="A576" s="7" t="s">
        <v>567</v>
      </c>
      <c r="B576" s="7" t="str">
        <f t="shared" si="28"/>
        <v>20</v>
      </c>
      <c r="C576" s="7" t="str">
        <f>"04"</f>
        <v>04</v>
      </c>
      <c r="D576" s="7" t="str">
        <f>"20210092004"</f>
        <v>20210092004</v>
      </c>
      <c r="E576" s="7" t="s">
        <v>580</v>
      </c>
      <c r="F576" s="7">
        <v>69</v>
      </c>
      <c r="G576" s="7">
        <v>66</v>
      </c>
      <c r="H576" s="8">
        <f t="shared" si="26"/>
        <v>68.099999999999994</v>
      </c>
    </row>
    <row r="577" spans="1:8" s="2" customFormat="1">
      <c r="A577" s="7" t="s">
        <v>567</v>
      </c>
      <c r="B577" s="7" t="str">
        <f t="shared" si="28"/>
        <v>20</v>
      </c>
      <c r="C577" s="7" t="str">
        <f>"05"</f>
        <v>05</v>
      </c>
      <c r="D577" s="7" t="str">
        <f>"20210092005"</f>
        <v>20210092005</v>
      </c>
      <c r="E577" s="7" t="s">
        <v>581</v>
      </c>
      <c r="F577" s="7">
        <v>0</v>
      </c>
      <c r="G577" s="7">
        <v>0</v>
      </c>
      <c r="H577" s="8">
        <f t="shared" si="26"/>
        <v>0</v>
      </c>
    </row>
    <row r="578" spans="1:8" s="2" customFormat="1">
      <c r="A578" s="7" t="s">
        <v>567</v>
      </c>
      <c r="B578" s="7" t="str">
        <f t="shared" si="28"/>
        <v>20</v>
      </c>
      <c r="C578" s="7" t="str">
        <f>"06"</f>
        <v>06</v>
      </c>
      <c r="D578" s="7" t="str">
        <f>"20210092006"</f>
        <v>20210092006</v>
      </c>
      <c r="E578" s="7" t="s">
        <v>582</v>
      </c>
      <c r="F578" s="7">
        <v>66.5</v>
      </c>
      <c r="G578" s="7">
        <v>62</v>
      </c>
      <c r="H578" s="8">
        <f t="shared" si="26"/>
        <v>65.149999999999991</v>
      </c>
    </row>
    <row r="579" spans="1:8" s="2" customFormat="1">
      <c r="A579" s="7" t="s">
        <v>567</v>
      </c>
      <c r="B579" s="7" t="str">
        <f t="shared" si="28"/>
        <v>20</v>
      </c>
      <c r="C579" s="7" t="str">
        <f>"07"</f>
        <v>07</v>
      </c>
      <c r="D579" s="7" t="str">
        <f>"20210092007"</f>
        <v>20210092007</v>
      </c>
      <c r="E579" s="7" t="s">
        <v>583</v>
      </c>
      <c r="F579" s="7">
        <v>54</v>
      </c>
      <c r="G579" s="7">
        <v>84</v>
      </c>
      <c r="H579" s="8">
        <f t="shared" ref="H579:H642" si="29">F579*0.7+G579*0.3</f>
        <v>63</v>
      </c>
    </row>
    <row r="580" spans="1:8" s="2" customFormat="1">
      <c r="A580" s="7" t="s">
        <v>567</v>
      </c>
      <c r="B580" s="7" t="str">
        <f t="shared" si="28"/>
        <v>20</v>
      </c>
      <c r="C580" s="7" t="str">
        <f>"08"</f>
        <v>08</v>
      </c>
      <c r="D580" s="7" t="str">
        <f>"20210092008"</f>
        <v>20210092008</v>
      </c>
      <c r="E580" s="7" t="s">
        <v>584</v>
      </c>
      <c r="F580" s="7">
        <v>0</v>
      </c>
      <c r="G580" s="7">
        <v>0</v>
      </c>
      <c r="H580" s="8">
        <f t="shared" si="29"/>
        <v>0</v>
      </c>
    </row>
    <row r="581" spans="1:8" s="2" customFormat="1">
      <c r="A581" s="7" t="s">
        <v>567</v>
      </c>
      <c r="B581" s="7" t="str">
        <f t="shared" si="28"/>
        <v>20</v>
      </c>
      <c r="C581" s="7" t="str">
        <f>"09"</f>
        <v>09</v>
      </c>
      <c r="D581" s="7" t="str">
        <f>"20210092009"</f>
        <v>20210092009</v>
      </c>
      <c r="E581" s="7" t="s">
        <v>585</v>
      </c>
      <c r="F581" s="7">
        <v>60.5</v>
      </c>
      <c r="G581" s="7">
        <v>50</v>
      </c>
      <c r="H581" s="8">
        <f t="shared" si="29"/>
        <v>57.349999999999994</v>
      </c>
    </row>
    <row r="582" spans="1:8" s="2" customFormat="1">
      <c r="A582" s="7" t="s">
        <v>567</v>
      </c>
      <c r="B582" s="7" t="str">
        <f t="shared" si="28"/>
        <v>20</v>
      </c>
      <c r="C582" s="7" t="str">
        <f>"10"</f>
        <v>10</v>
      </c>
      <c r="D582" s="7" t="str">
        <f>"20210092010"</f>
        <v>20210092010</v>
      </c>
      <c r="E582" s="7" t="s">
        <v>586</v>
      </c>
      <c r="F582" s="7">
        <v>0</v>
      </c>
      <c r="G582" s="7">
        <v>0</v>
      </c>
      <c r="H582" s="8">
        <f t="shared" si="29"/>
        <v>0</v>
      </c>
    </row>
    <row r="583" spans="1:8" s="2" customFormat="1">
      <c r="A583" s="7" t="s">
        <v>567</v>
      </c>
      <c r="B583" s="7" t="str">
        <f t="shared" si="28"/>
        <v>20</v>
      </c>
      <c r="C583" s="7" t="str">
        <f>"11"</f>
        <v>11</v>
      </c>
      <c r="D583" s="7" t="str">
        <f>"20210092011"</f>
        <v>20210092011</v>
      </c>
      <c r="E583" s="7" t="s">
        <v>350</v>
      </c>
      <c r="F583" s="7">
        <v>57</v>
      </c>
      <c r="G583" s="7">
        <v>81</v>
      </c>
      <c r="H583" s="8">
        <f t="shared" si="29"/>
        <v>64.2</v>
      </c>
    </row>
    <row r="584" spans="1:8" s="2" customFormat="1">
      <c r="A584" s="7" t="s">
        <v>567</v>
      </c>
      <c r="B584" s="7" t="str">
        <f t="shared" si="28"/>
        <v>20</v>
      </c>
      <c r="C584" s="7" t="str">
        <f>"12"</f>
        <v>12</v>
      </c>
      <c r="D584" s="7" t="str">
        <f>"20210092012"</f>
        <v>20210092012</v>
      </c>
      <c r="E584" s="7" t="s">
        <v>587</v>
      </c>
      <c r="F584" s="7">
        <v>67</v>
      </c>
      <c r="G584" s="7">
        <v>68</v>
      </c>
      <c r="H584" s="8">
        <f t="shared" si="29"/>
        <v>67.3</v>
      </c>
    </row>
    <row r="585" spans="1:8" s="2" customFormat="1">
      <c r="A585" s="7" t="s">
        <v>567</v>
      </c>
      <c r="B585" s="7" t="str">
        <f t="shared" si="28"/>
        <v>20</v>
      </c>
      <c r="C585" s="7" t="str">
        <f>"13"</f>
        <v>13</v>
      </c>
      <c r="D585" s="7" t="str">
        <f>"20210092013"</f>
        <v>20210092013</v>
      </c>
      <c r="E585" s="7" t="s">
        <v>588</v>
      </c>
      <c r="F585" s="7">
        <v>0</v>
      </c>
      <c r="G585" s="7">
        <v>0</v>
      </c>
      <c r="H585" s="8">
        <f t="shared" si="29"/>
        <v>0</v>
      </c>
    </row>
    <row r="586" spans="1:8" s="2" customFormat="1">
      <c r="A586" s="7" t="s">
        <v>567</v>
      </c>
      <c r="B586" s="7" t="str">
        <f t="shared" si="28"/>
        <v>20</v>
      </c>
      <c r="C586" s="7" t="str">
        <f>"14"</f>
        <v>14</v>
      </c>
      <c r="D586" s="7" t="str">
        <f>"20210092014"</f>
        <v>20210092014</v>
      </c>
      <c r="E586" s="7" t="s">
        <v>589</v>
      </c>
      <c r="F586" s="7">
        <v>0</v>
      </c>
      <c r="G586" s="7">
        <v>0</v>
      </c>
      <c r="H586" s="8">
        <f t="shared" si="29"/>
        <v>0</v>
      </c>
    </row>
    <row r="587" spans="1:8" s="2" customFormat="1">
      <c r="A587" s="7" t="s">
        <v>567</v>
      </c>
      <c r="B587" s="7" t="str">
        <f t="shared" si="28"/>
        <v>20</v>
      </c>
      <c r="C587" s="7" t="str">
        <f>"15"</f>
        <v>15</v>
      </c>
      <c r="D587" s="7" t="str">
        <f>"20210092015"</f>
        <v>20210092015</v>
      </c>
      <c r="E587" s="7" t="s">
        <v>590</v>
      </c>
      <c r="F587" s="7">
        <v>65</v>
      </c>
      <c r="G587" s="7">
        <v>77</v>
      </c>
      <c r="H587" s="8">
        <f t="shared" si="29"/>
        <v>68.599999999999994</v>
      </c>
    </row>
    <row r="588" spans="1:8" s="2" customFormat="1">
      <c r="A588" s="7" t="s">
        <v>567</v>
      </c>
      <c r="B588" s="7" t="str">
        <f t="shared" si="28"/>
        <v>20</v>
      </c>
      <c r="C588" s="7" t="str">
        <f>"16"</f>
        <v>16</v>
      </c>
      <c r="D588" s="7" t="str">
        <f>"20210092016"</f>
        <v>20210092016</v>
      </c>
      <c r="E588" s="7" t="s">
        <v>591</v>
      </c>
      <c r="F588" s="7">
        <v>0</v>
      </c>
      <c r="G588" s="7">
        <v>0</v>
      </c>
      <c r="H588" s="8">
        <f t="shared" si="29"/>
        <v>0</v>
      </c>
    </row>
    <row r="589" spans="1:8" s="2" customFormat="1">
      <c r="A589" s="7" t="s">
        <v>567</v>
      </c>
      <c r="B589" s="7" t="str">
        <f t="shared" si="28"/>
        <v>20</v>
      </c>
      <c r="C589" s="7" t="str">
        <f>"17"</f>
        <v>17</v>
      </c>
      <c r="D589" s="7" t="str">
        <f>"20210092017"</f>
        <v>20210092017</v>
      </c>
      <c r="E589" s="7" t="s">
        <v>592</v>
      </c>
      <c r="F589" s="7">
        <v>0</v>
      </c>
      <c r="G589" s="7">
        <v>0</v>
      </c>
      <c r="H589" s="8">
        <f t="shared" si="29"/>
        <v>0</v>
      </c>
    </row>
    <row r="590" spans="1:8" s="2" customFormat="1">
      <c r="A590" s="7" t="s">
        <v>567</v>
      </c>
      <c r="B590" s="7" t="str">
        <f t="shared" si="28"/>
        <v>20</v>
      </c>
      <c r="C590" s="7" t="str">
        <f>"18"</f>
        <v>18</v>
      </c>
      <c r="D590" s="7" t="str">
        <f>"20210092018"</f>
        <v>20210092018</v>
      </c>
      <c r="E590" s="7" t="s">
        <v>593</v>
      </c>
      <c r="F590" s="7">
        <v>0</v>
      </c>
      <c r="G590" s="7">
        <v>0</v>
      </c>
      <c r="H590" s="8">
        <f t="shared" si="29"/>
        <v>0</v>
      </c>
    </row>
    <row r="591" spans="1:8" s="2" customFormat="1">
      <c r="A591" s="7" t="s">
        <v>567</v>
      </c>
      <c r="B591" s="7" t="str">
        <f t="shared" si="28"/>
        <v>20</v>
      </c>
      <c r="C591" s="7" t="str">
        <f>"19"</f>
        <v>19</v>
      </c>
      <c r="D591" s="7" t="str">
        <f>"20210092019"</f>
        <v>20210092019</v>
      </c>
      <c r="E591" s="7" t="s">
        <v>594</v>
      </c>
      <c r="F591" s="7">
        <v>0</v>
      </c>
      <c r="G591" s="7">
        <v>0</v>
      </c>
      <c r="H591" s="8">
        <f t="shared" si="29"/>
        <v>0</v>
      </c>
    </row>
    <row r="592" spans="1:8" s="2" customFormat="1">
      <c r="A592" s="7" t="s">
        <v>567</v>
      </c>
      <c r="B592" s="7" t="str">
        <f t="shared" si="28"/>
        <v>20</v>
      </c>
      <c r="C592" s="7" t="str">
        <f>"20"</f>
        <v>20</v>
      </c>
      <c r="D592" s="7" t="str">
        <f>"20210092020"</f>
        <v>20210092020</v>
      </c>
      <c r="E592" s="7" t="s">
        <v>595</v>
      </c>
      <c r="F592" s="7">
        <v>0</v>
      </c>
      <c r="G592" s="7">
        <v>0</v>
      </c>
      <c r="H592" s="8">
        <f t="shared" si="29"/>
        <v>0</v>
      </c>
    </row>
    <row r="593" spans="1:8" s="2" customFormat="1">
      <c r="A593" s="7" t="s">
        <v>567</v>
      </c>
      <c r="B593" s="7" t="str">
        <f t="shared" si="28"/>
        <v>20</v>
      </c>
      <c r="C593" s="7" t="str">
        <f>"21"</f>
        <v>21</v>
      </c>
      <c r="D593" s="7" t="str">
        <f>"20210092021"</f>
        <v>20210092021</v>
      </c>
      <c r="E593" s="7" t="s">
        <v>89</v>
      </c>
      <c r="F593" s="7">
        <v>0</v>
      </c>
      <c r="G593" s="7">
        <v>0</v>
      </c>
      <c r="H593" s="8">
        <f t="shared" si="29"/>
        <v>0</v>
      </c>
    </row>
    <row r="594" spans="1:8" s="2" customFormat="1">
      <c r="A594" s="7" t="s">
        <v>567</v>
      </c>
      <c r="B594" s="7" t="str">
        <f t="shared" si="28"/>
        <v>20</v>
      </c>
      <c r="C594" s="7" t="str">
        <f>"22"</f>
        <v>22</v>
      </c>
      <c r="D594" s="7" t="str">
        <f>"20210092022"</f>
        <v>20210092022</v>
      </c>
      <c r="E594" s="7" t="s">
        <v>596</v>
      </c>
      <c r="F594" s="7">
        <v>0</v>
      </c>
      <c r="G594" s="7">
        <v>0</v>
      </c>
      <c r="H594" s="8">
        <f t="shared" si="29"/>
        <v>0</v>
      </c>
    </row>
    <row r="595" spans="1:8" s="2" customFormat="1">
      <c r="A595" s="7" t="s">
        <v>567</v>
      </c>
      <c r="B595" s="7" t="str">
        <f t="shared" si="28"/>
        <v>20</v>
      </c>
      <c r="C595" s="7" t="str">
        <f>"23"</f>
        <v>23</v>
      </c>
      <c r="D595" s="7" t="str">
        <f>"20210092023"</f>
        <v>20210092023</v>
      </c>
      <c r="E595" s="7" t="s">
        <v>597</v>
      </c>
      <c r="F595" s="7">
        <v>70</v>
      </c>
      <c r="G595" s="7">
        <v>71</v>
      </c>
      <c r="H595" s="8">
        <f t="shared" si="29"/>
        <v>70.3</v>
      </c>
    </row>
    <row r="596" spans="1:8" s="2" customFormat="1">
      <c r="A596" s="7" t="s">
        <v>567</v>
      </c>
      <c r="B596" s="7" t="str">
        <f t="shared" si="28"/>
        <v>20</v>
      </c>
      <c r="C596" s="7" t="str">
        <f>"24"</f>
        <v>24</v>
      </c>
      <c r="D596" s="7" t="str">
        <f>"20210092024"</f>
        <v>20210092024</v>
      </c>
      <c r="E596" s="7" t="s">
        <v>598</v>
      </c>
      <c r="F596" s="7">
        <v>39</v>
      </c>
      <c r="G596" s="7">
        <v>54</v>
      </c>
      <c r="H596" s="8">
        <f t="shared" si="29"/>
        <v>43.5</v>
      </c>
    </row>
    <row r="597" spans="1:8" s="2" customFormat="1">
      <c r="A597" s="7" t="s">
        <v>567</v>
      </c>
      <c r="B597" s="7" t="str">
        <f t="shared" si="28"/>
        <v>20</v>
      </c>
      <c r="C597" s="7" t="str">
        <f>"25"</f>
        <v>25</v>
      </c>
      <c r="D597" s="7" t="str">
        <f>"20210092025"</f>
        <v>20210092025</v>
      </c>
      <c r="E597" s="7" t="s">
        <v>599</v>
      </c>
      <c r="F597" s="7">
        <v>62</v>
      </c>
      <c r="G597" s="7">
        <v>74</v>
      </c>
      <c r="H597" s="8">
        <f t="shared" si="29"/>
        <v>65.599999999999994</v>
      </c>
    </row>
    <row r="598" spans="1:8" s="2" customFormat="1">
      <c r="A598" s="7" t="s">
        <v>567</v>
      </c>
      <c r="B598" s="7" t="str">
        <f t="shared" si="28"/>
        <v>20</v>
      </c>
      <c r="C598" s="7" t="str">
        <f>"26"</f>
        <v>26</v>
      </c>
      <c r="D598" s="7" t="str">
        <f>"20210092026"</f>
        <v>20210092026</v>
      </c>
      <c r="E598" s="7" t="s">
        <v>600</v>
      </c>
      <c r="F598" s="7">
        <v>70</v>
      </c>
      <c r="G598" s="7">
        <v>77</v>
      </c>
      <c r="H598" s="8">
        <f t="shared" si="29"/>
        <v>72.099999999999994</v>
      </c>
    </row>
    <row r="599" spans="1:8" s="2" customFormat="1">
      <c r="A599" s="7" t="s">
        <v>567</v>
      </c>
      <c r="B599" s="7" t="str">
        <f t="shared" si="28"/>
        <v>20</v>
      </c>
      <c r="C599" s="7" t="str">
        <f>"27"</f>
        <v>27</v>
      </c>
      <c r="D599" s="7" t="str">
        <f>"20210092027"</f>
        <v>20210092027</v>
      </c>
      <c r="E599" s="7" t="s">
        <v>601</v>
      </c>
      <c r="F599" s="7">
        <v>56</v>
      </c>
      <c r="G599" s="7">
        <v>68</v>
      </c>
      <c r="H599" s="8">
        <f t="shared" si="29"/>
        <v>59.599999999999994</v>
      </c>
    </row>
    <row r="600" spans="1:8" s="2" customFormat="1">
      <c r="A600" s="7" t="s">
        <v>567</v>
      </c>
      <c r="B600" s="7" t="str">
        <f t="shared" si="28"/>
        <v>20</v>
      </c>
      <c r="C600" s="7" t="str">
        <f>"28"</f>
        <v>28</v>
      </c>
      <c r="D600" s="7" t="str">
        <f>"20210092028"</f>
        <v>20210092028</v>
      </c>
      <c r="E600" s="7" t="s">
        <v>602</v>
      </c>
      <c r="F600" s="7">
        <v>55.5</v>
      </c>
      <c r="G600" s="7">
        <v>45</v>
      </c>
      <c r="H600" s="8">
        <f t="shared" si="29"/>
        <v>52.349999999999994</v>
      </c>
    </row>
    <row r="601" spans="1:8" s="2" customFormat="1">
      <c r="A601" s="7" t="s">
        <v>567</v>
      </c>
      <c r="B601" s="7" t="str">
        <f t="shared" si="28"/>
        <v>20</v>
      </c>
      <c r="C601" s="7" t="str">
        <f>"29"</f>
        <v>29</v>
      </c>
      <c r="D601" s="7" t="str">
        <f>"20210092029"</f>
        <v>20210092029</v>
      </c>
      <c r="E601" s="7" t="s">
        <v>142</v>
      </c>
      <c r="F601" s="7">
        <v>58.5</v>
      </c>
      <c r="G601" s="7">
        <v>66</v>
      </c>
      <c r="H601" s="8">
        <f t="shared" si="29"/>
        <v>60.75</v>
      </c>
    </row>
    <row r="602" spans="1:8" s="2" customFormat="1">
      <c r="A602" s="7" t="s">
        <v>567</v>
      </c>
      <c r="B602" s="7" t="str">
        <f t="shared" si="28"/>
        <v>20</v>
      </c>
      <c r="C602" s="7" t="str">
        <f>"30"</f>
        <v>30</v>
      </c>
      <c r="D602" s="7" t="str">
        <f>"20210092030"</f>
        <v>20210092030</v>
      </c>
      <c r="E602" s="7" t="s">
        <v>603</v>
      </c>
      <c r="F602" s="7">
        <v>73</v>
      </c>
      <c r="G602" s="7">
        <v>73</v>
      </c>
      <c r="H602" s="8">
        <f t="shared" si="29"/>
        <v>73</v>
      </c>
    </row>
    <row r="603" spans="1:8" s="2" customFormat="1">
      <c r="A603" s="7" t="s">
        <v>567</v>
      </c>
      <c r="B603" s="7" t="str">
        <f t="shared" ref="B603:B632" si="30">"21"</f>
        <v>21</v>
      </c>
      <c r="C603" s="7" t="str">
        <f>"01"</f>
        <v>01</v>
      </c>
      <c r="D603" s="7" t="str">
        <f>"20210092101"</f>
        <v>20210092101</v>
      </c>
      <c r="E603" s="7" t="s">
        <v>604</v>
      </c>
      <c r="F603" s="7">
        <v>60</v>
      </c>
      <c r="G603" s="7">
        <v>65</v>
      </c>
      <c r="H603" s="8">
        <f t="shared" si="29"/>
        <v>61.5</v>
      </c>
    </row>
    <row r="604" spans="1:8" s="2" customFormat="1">
      <c r="A604" s="7" t="s">
        <v>567</v>
      </c>
      <c r="B604" s="7" t="str">
        <f t="shared" si="30"/>
        <v>21</v>
      </c>
      <c r="C604" s="7" t="str">
        <f>"02"</f>
        <v>02</v>
      </c>
      <c r="D604" s="7" t="str">
        <f>"20210092102"</f>
        <v>20210092102</v>
      </c>
      <c r="E604" s="7" t="s">
        <v>605</v>
      </c>
      <c r="F604" s="7">
        <v>0</v>
      </c>
      <c r="G604" s="7">
        <v>0</v>
      </c>
      <c r="H604" s="8">
        <f t="shared" si="29"/>
        <v>0</v>
      </c>
    </row>
    <row r="605" spans="1:8" s="2" customFormat="1">
      <c r="A605" s="7" t="s">
        <v>567</v>
      </c>
      <c r="B605" s="7" t="str">
        <f t="shared" si="30"/>
        <v>21</v>
      </c>
      <c r="C605" s="7" t="str">
        <f>"03"</f>
        <v>03</v>
      </c>
      <c r="D605" s="7" t="str">
        <f>"20210092103"</f>
        <v>20210092103</v>
      </c>
      <c r="E605" s="7" t="s">
        <v>606</v>
      </c>
      <c r="F605" s="7">
        <v>34</v>
      </c>
      <c r="G605" s="7">
        <v>40</v>
      </c>
      <c r="H605" s="8">
        <f t="shared" si="29"/>
        <v>35.799999999999997</v>
      </c>
    </row>
    <row r="606" spans="1:8" s="2" customFormat="1">
      <c r="A606" s="7" t="s">
        <v>567</v>
      </c>
      <c r="B606" s="7" t="str">
        <f t="shared" si="30"/>
        <v>21</v>
      </c>
      <c r="C606" s="7" t="str">
        <f>"04"</f>
        <v>04</v>
      </c>
      <c r="D606" s="7" t="str">
        <f>"20210092104"</f>
        <v>20210092104</v>
      </c>
      <c r="E606" s="7" t="s">
        <v>607</v>
      </c>
      <c r="F606" s="7">
        <v>48</v>
      </c>
      <c r="G606" s="7">
        <v>68</v>
      </c>
      <c r="H606" s="8">
        <f t="shared" si="29"/>
        <v>53.999999999999993</v>
      </c>
    </row>
    <row r="607" spans="1:8" s="2" customFormat="1">
      <c r="A607" s="7" t="s">
        <v>567</v>
      </c>
      <c r="B607" s="7" t="str">
        <f t="shared" si="30"/>
        <v>21</v>
      </c>
      <c r="C607" s="7" t="str">
        <f>"05"</f>
        <v>05</v>
      </c>
      <c r="D607" s="7" t="str">
        <f>"20210092105"</f>
        <v>20210092105</v>
      </c>
      <c r="E607" s="7" t="s">
        <v>608</v>
      </c>
      <c r="F607" s="7">
        <v>59</v>
      </c>
      <c r="G607" s="7">
        <v>85</v>
      </c>
      <c r="H607" s="8">
        <f t="shared" si="29"/>
        <v>66.8</v>
      </c>
    </row>
    <row r="608" spans="1:8" s="2" customFormat="1">
      <c r="A608" s="7" t="s">
        <v>567</v>
      </c>
      <c r="B608" s="7" t="str">
        <f t="shared" si="30"/>
        <v>21</v>
      </c>
      <c r="C608" s="7" t="str">
        <f>"06"</f>
        <v>06</v>
      </c>
      <c r="D608" s="7" t="str">
        <f>"20210092106"</f>
        <v>20210092106</v>
      </c>
      <c r="E608" s="7" t="s">
        <v>609</v>
      </c>
      <c r="F608" s="7">
        <v>0</v>
      </c>
      <c r="G608" s="7">
        <v>0</v>
      </c>
      <c r="H608" s="8">
        <f t="shared" si="29"/>
        <v>0</v>
      </c>
    </row>
    <row r="609" spans="1:8" s="2" customFormat="1">
      <c r="A609" s="7" t="s">
        <v>567</v>
      </c>
      <c r="B609" s="7" t="str">
        <f t="shared" si="30"/>
        <v>21</v>
      </c>
      <c r="C609" s="7" t="str">
        <f>"07"</f>
        <v>07</v>
      </c>
      <c r="D609" s="7" t="str">
        <f>"20210092107"</f>
        <v>20210092107</v>
      </c>
      <c r="E609" s="7" t="s">
        <v>610</v>
      </c>
      <c r="F609" s="7">
        <v>70</v>
      </c>
      <c r="G609" s="7">
        <v>67</v>
      </c>
      <c r="H609" s="8">
        <f t="shared" si="29"/>
        <v>69.099999999999994</v>
      </c>
    </row>
    <row r="610" spans="1:8" s="2" customFormat="1">
      <c r="A610" s="7" t="s">
        <v>567</v>
      </c>
      <c r="B610" s="7" t="str">
        <f t="shared" si="30"/>
        <v>21</v>
      </c>
      <c r="C610" s="7" t="str">
        <f>"08"</f>
        <v>08</v>
      </c>
      <c r="D610" s="7" t="str">
        <f>"20210092108"</f>
        <v>20210092108</v>
      </c>
      <c r="E610" s="7" t="s">
        <v>611</v>
      </c>
      <c r="F610" s="7">
        <v>59</v>
      </c>
      <c r="G610" s="7">
        <v>76</v>
      </c>
      <c r="H610" s="8">
        <f t="shared" si="29"/>
        <v>64.099999999999994</v>
      </c>
    </row>
    <row r="611" spans="1:8" s="2" customFormat="1">
      <c r="A611" s="7" t="s">
        <v>567</v>
      </c>
      <c r="B611" s="7" t="str">
        <f t="shared" si="30"/>
        <v>21</v>
      </c>
      <c r="C611" s="7" t="str">
        <f>"09"</f>
        <v>09</v>
      </c>
      <c r="D611" s="7" t="str">
        <f>"20210092109"</f>
        <v>20210092109</v>
      </c>
      <c r="E611" s="7" t="s">
        <v>612</v>
      </c>
      <c r="F611" s="7">
        <v>62</v>
      </c>
      <c r="G611" s="7">
        <v>77</v>
      </c>
      <c r="H611" s="8">
        <f t="shared" si="29"/>
        <v>66.5</v>
      </c>
    </row>
    <row r="612" spans="1:8" s="2" customFormat="1">
      <c r="A612" s="7" t="s">
        <v>567</v>
      </c>
      <c r="B612" s="7" t="str">
        <f t="shared" si="30"/>
        <v>21</v>
      </c>
      <c r="C612" s="7" t="str">
        <f>"10"</f>
        <v>10</v>
      </c>
      <c r="D612" s="7" t="str">
        <f>"20210092110"</f>
        <v>20210092110</v>
      </c>
      <c r="E612" s="7" t="s">
        <v>613</v>
      </c>
      <c r="F612" s="7">
        <v>0</v>
      </c>
      <c r="G612" s="7">
        <v>0</v>
      </c>
      <c r="H612" s="8">
        <f t="shared" si="29"/>
        <v>0</v>
      </c>
    </row>
    <row r="613" spans="1:8" s="2" customFormat="1">
      <c r="A613" s="7" t="s">
        <v>567</v>
      </c>
      <c r="B613" s="7" t="str">
        <f t="shared" si="30"/>
        <v>21</v>
      </c>
      <c r="C613" s="7" t="str">
        <f>"11"</f>
        <v>11</v>
      </c>
      <c r="D613" s="7" t="str">
        <f>"20210092111"</f>
        <v>20210092111</v>
      </c>
      <c r="E613" s="7" t="s">
        <v>614</v>
      </c>
      <c r="F613" s="7">
        <v>52</v>
      </c>
      <c r="G613" s="7">
        <v>74</v>
      </c>
      <c r="H613" s="8">
        <f t="shared" si="29"/>
        <v>58.599999999999994</v>
      </c>
    </row>
    <row r="614" spans="1:8" s="2" customFormat="1">
      <c r="A614" s="7" t="s">
        <v>567</v>
      </c>
      <c r="B614" s="7" t="str">
        <f t="shared" si="30"/>
        <v>21</v>
      </c>
      <c r="C614" s="7" t="str">
        <f>"12"</f>
        <v>12</v>
      </c>
      <c r="D614" s="7" t="str">
        <f>"20210092112"</f>
        <v>20210092112</v>
      </c>
      <c r="E614" s="7" t="s">
        <v>615</v>
      </c>
      <c r="F614" s="7">
        <v>61</v>
      </c>
      <c r="G614" s="7">
        <v>82</v>
      </c>
      <c r="H614" s="8">
        <f t="shared" si="29"/>
        <v>67.3</v>
      </c>
    </row>
    <row r="615" spans="1:8" s="2" customFormat="1">
      <c r="A615" s="7" t="s">
        <v>567</v>
      </c>
      <c r="B615" s="7" t="str">
        <f t="shared" si="30"/>
        <v>21</v>
      </c>
      <c r="C615" s="7" t="str">
        <f>"13"</f>
        <v>13</v>
      </c>
      <c r="D615" s="7" t="str">
        <f>"20210092113"</f>
        <v>20210092113</v>
      </c>
      <c r="E615" s="7" t="s">
        <v>616</v>
      </c>
      <c r="F615" s="7">
        <v>0</v>
      </c>
      <c r="G615" s="7">
        <v>0</v>
      </c>
      <c r="H615" s="8">
        <f t="shared" si="29"/>
        <v>0</v>
      </c>
    </row>
    <row r="616" spans="1:8" s="2" customFormat="1">
      <c r="A616" s="7" t="s">
        <v>567</v>
      </c>
      <c r="B616" s="7" t="str">
        <f t="shared" si="30"/>
        <v>21</v>
      </c>
      <c r="C616" s="7" t="str">
        <f>"14"</f>
        <v>14</v>
      </c>
      <c r="D616" s="7" t="str">
        <f>"20210092114"</f>
        <v>20210092114</v>
      </c>
      <c r="E616" s="7" t="s">
        <v>617</v>
      </c>
      <c r="F616" s="7">
        <v>58</v>
      </c>
      <c r="G616" s="7">
        <v>66</v>
      </c>
      <c r="H616" s="8">
        <f t="shared" si="29"/>
        <v>60.399999999999991</v>
      </c>
    </row>
    <row r="617" spans="1:8" s="2" customFormat="1">
      <c r="A617" s="7" t="s">
        <v>567</v>
      </c>
      <c r="B617" s="7" t="str">
        <f t="shared" si="30"/>
        <v>21</v>
      </c>
      <c r="C617" s="7" t="str">
        <f>"15"</f>
        <v>15</v>
      </c>
      <c r="D617" s="7" t="str">
        <f>"20210092115"</f>
        <v>20210092115</v>
      </c>
      <c r="E617" s="7" t="s">
        <v>618</v>
      </c>
      <c r="F617" s="7">
        <v>72</v>
      </c>
      <c r="G617" s="7">
        <v>79</v>
      </c>
      <c r="H617" s="8">
        <f t="shared" si="29"/>
        <v>74.099999999999994</v>
      </c>
    </row>
    <row r="618" spans="1:8" s="2" customFormat="1">
      <c r="A618" s="7" t="s">
        <v>619</v>
      </c>
      <c r="B618" s="7" t="str">
        <f t="shared" si="30"/>
        <v>21</v>
      </c>
      <c r="C618" s="7" t="str">
        <f>"16"</f>
        <v>16</v>
      </c>
      <c r="D618" s="7" t="str">
        <f>"20210102116"</f>
        <v>20210102116</v>
      </c>
      <c r="E618" s="7" t="s">
        <v>620</v>
      </c>
      <c r="F618" s="7">
        <v>74</v>
      </c>
      <c r="G618" s="7">
        <v>75</v>
      </c>
      <c r="H618" s="8">
        <f t="shared" si="29"/>
        <v>74.3</v>
      </c>
    </row>
    <row r="619" spans="1:8" s="2" customFormat="1">
      <c r="A619" s="7" t="s">
        <v>619</v>
      </c>
      <c r="B619" s="7" t="str">
        <f t="shared" si="30"/>
        <v>21</v>
      </c>
      <c r="C619" s="7" t="str">
        <f>"17"</f>
        <v>17</v>
      </c>
      <c r="D619" s="7" t="str">
        <f>"20210102117"</f>
        <v>20210102117</v>
      </c>
      <c r="E619" s="7" t="s">
        <v>621</v>
      </c>
      <c r="F619" s="7">
        <v>68</v>
      </c>
      <c r="G619" s="7">
        <v>90</v>
      </c>
      <c r="H619" s="8">
        <f t="shared" si="29"/>
        <v>74.599999999999994</v>
      </c>
    </row>
    <row r="620" spans="1:8" s="2" customFormat="1">
      <c r="A620" s="7" t="s">
        <v>619</v>
      </c>
      <c r="B620" s="7" t="str">
        <f t="shared" si="30"/>
        <v>21</v>
      </c>
      <c r="C620" s="7" t="str">
        <f>"18"</f>
        <v>18</v>
      </c>
      <c r="D620" s="7" t="str">
        <f>"20210102118"</f>
        <v>20210102118</v>
      </c>
      <c r="E620" s="7" t="s">
        <v>622</v>
      </c>
      <c r="F620" s="7">
        <v>65</v>
      </c>
      <c r="G620" s="7">
        <v>68</v>
      </c>
      <c r="H620" s="8">
        <f t="shared" si="29"/>
        <v>65.900000000000006</v>
      </c>
    </row>
    <row r="621" spans="1:8" s="2" customFormat="1">
      <c r="A621" s="7" t="s">
        <v>619</v>
      </c>
      <c r="B621" s="7" t="str">
        <f t="shared" si="30"/>
        <v>21</v>
      </c>
      <c r="C621" s="7" t="str">
        <f>"19"</f>
        <v>19</v>
      </c>
      <c r="D621" s="7" t="str">
        <f>"20210102119"</f>
        <v>20210102119</v>
      </c>
      <c r="E621" s="7" t="s">
        <v>623</v>
      </c>
      <c r="F621" s="7">
        <v>56</v>
      </c>
      <c r="G621" s="7">
        <v>64</v>
      </c>
      <c r="H621" s="8">
        <f t="shared" si="29"/>
        <v>58.399999999999991</v>
      </c>
    </row>
    <row r="622" spans="1:8" s="2" customFormat="1">
      <c r="A622" s="7" t="s">
        <v>619</v>
      </c>
      <c r="B622" s="7" t="str">
        <f t="shared" si="30"/>
        <v>21</v>
      </c>
      <c r="C622" s="7" t="str">
        <f>"20"</f>
        <v>20</v>
      </c>
      <c r="D622" s="7" t="str">
        <f>"20210102120"</f>
        <v>20210102120</v>
      </c>
      <c r="E622" s="7" t="s">
        <v>624</v>
      </c>
      <c r="F622" s="7">
        <v>53.5</v>
      </c>
      <c r="G622" s="7">
        <v>63</v>
      </c>
      <c r="H622" s="8">
        <f t="shared" si="29"/>
        <v>56.349999999999994</v>
      </c>
    </row>
    <row r="623" spans="1:8" s="2" customFormat="1">
      <c r="A623" s="7" t="s">
        <v>619</v>
      </c>
      <c r="B623" s="7" t="str">
        <f t="shared" si="30"/>
        <v>21</v>
      </c>
      <c r="C623" s="7" t="str">
        <f>"21"</f>
        <v>21</v>
      </c>
      <c r="D623" s="7" t="str">
        <f>"20210102121"</f>
        <v>20210102121</v>
      </c>
      <c r="E623" s="7" t="s">
        <v>625</v>
      </c>
      <c r="F623" s="7">
        <v>60</v>
      </c>
      <c r="G623" s="7">
        <v>75</v>
      </c>
      <c r="H623" s="8">
        <f t="shared" si="29"/>
        <v>64.5</v>
      </c>
    </row>
    <row r="624" spans="1:8" s="2" customFormat="1">
      <c r="A624" s="7" t="s">
        <v>619</v>
      </c>
      <c r="B624" s="7" t="str">
        <f t="shared" si="30"/>
        <v>21</v>
      </c>
      <c r="C624" s="7" t="str">
        <f>"22"</f>
        <v>22</v>
      </c>
      <c r="D624" s="7" t="str">
        <f>"20210102122"</f>
        <v>20210102122</v>
      </c>
      <c r="E624" s="7" t="s">
        <v>626</v>
      </c>
      <c r="F624" s="7">
        <v>55</v>
      </c>
      <c r="G624" s="7">
        <v>79</v>
      </c>
      <c r="H624" s="8">
        <f t="shared" si="29"/>
        <v>62.2</v>
      </c>
    </row>
    <row r="625" spans="1:8" s="2" customFormat="1">
      <c r="A625" s="7" t="s">
        <v>619</v>
      </c>
      <c r="B625" s="7" t="str">
        <f t="shared" si="30"/>
        <v>21</v>
      </c>
      <c r="C625" s="7" t="str">
        <f>"23"</f>
        <v>23</v>
      </c>
      <c r="D625" s="7" t="str">
        <f>"20210102123"</f>
        <v>20210102123</v>
      </c>
      <c r="E625" s="7" t="s">
        <v>627</v>
      </c>
      <c r="F625" s="7">
        <v>33.5</v>
      </c>
      <c r="G625" s="7">
        <v>33</v>
      </c>
      <c r="H625" s="8">
        <f t="shared" si="29"/>
        <v>33.35</v>
      </c>
    </row>
    <row r="626" spans="1:8" s="2" customFormat="1">
      <c r="A626" s="7" t="s">
        <v>619</v>
      </c>
      <c r="B626" s="7" t="str">
        <f t="shared" si="30"/>
        <v>21</v>
      </c>
      <c r="C626" s="7" t="str">
        <f>"24"</f>
        <v>24</v>
      </c>
      <c r="D626" s="7" t="str">
        <f>"20210102124"</f>
        <v>20210102124</v>
      </c>
      <c r="E626" s="7" t="s">
        <v>628</v>
      </c>
      <c r="F626" s="7">
        <v>34</v>
      </c>
      <c r="G626" s="7">
        <v>30</v>
      </c>
      <c r="H626" s="8">
        <f t="shared" si="29"/>
        <v>32.799999999999997</v>
      </c>
    </row>
    <row r="627" spans="1:8" s="2" customFormat="1">
      <c r="A627" s="7" t="s">
        <v>619</v>
      </c>
      <c r="B627" s="7" t="str">
        <f t="shared" si="30"/>
        <v>21</v>
      </c>
      <c r="C627" s="7" t="str">
        <f>"25"</f>
        <v>25</v>
      </c>
      <c r="D627" s="7" t="str">
        <f>"20210102125"</f>
        <v>20210102125</v>
      </c>
      <c r="E627" s="7" t="s">
        <v>629</v>
      </c>
      <c r="F627" s="7">
        <v>71</v>
      </c>
      <c r="G627" s="7">
        <v>87</v>
      </c>
      <c r="H627" s="8">
        <f t="shared" si="29"/>
        <v>75.8</v>
      </c>
    </row>
    <row r="628" spans="1:8" s="2" customFormat="1">
      <c r="A628" s="7" t="s">
        <v>619</v>
      </c>
      <c r="B628" s="7" t="str">
        <f t="shared" si="30"/>
        <v>21</v>
      </c>
      <c r="C628" s="7" t="str">
        <f>"26"</f>
        <v>26</v>
      </c>
      <c r="D628" s="7" t="str">
        <f>"20210102126"</f>
        <v>20210102126</v>
      </c>
      <c r="E628" s="7" t="s">
        <v>630</v>
      </c>
      <c r="F628" s="7">
        <v>48.5</v>
      </c>
      <c r="G628" s="7">
        <v>46</v>
      </c>
      <c r="H628" s="8">
        <f t="shared" si="29"/>
        <v>47.749999999999993</v>
      </c>
    </row>
    <row r="629" spans="1:8" s="2" customFormat="1">
      <c r="A629" s="7" t="s">
        <v>619</v>
      </c>
      <c r="B629" s="7" t="str">
        <f t="shared" si="30"/>
        <v>21</v>
      </c>
      <c r="C629" s="7" t="str">
        <f>"27"</f>
        <v>27</v>
      </c>
      <c r="D629" s="7" t="str">
        <f>"20210102127"</f>
        <v>20210102127</v>
      </c>
      <c r="E629" s="7" t="s">
        <v>631</v>
      </c>
      <c r="F629" s="7">
        <v>51</v>
      </c>
      <c r="G629" s="7">
        <v>61</v>
      </c>
      <c r="H629" s="8">
        <f t="shared" si="29"/>
        <v>54</v>
      </c>
    </row>
    <row r="630" spans="1:8" s="2" customFormat="1">
      <c r="A630" s="7" t="s">
        <v>619</v>
      </c>
      <c r="B630" s="7" t="str">
        <f t="shared" si="30"/>
        <v>21</v>
      </c>
      <c r="C630" s="7" t="str">
        <f>"28"</f>
        <v>28</v>
      </c>
      <c r="D630" s="7" t="str">
        <f>"20210102128"</f>
        <v>20210102128</v>
      </c>
      <c r="E630" s="7" t="s">
        <v>632</v>
      </c>
      <c r="F630" s="7">
        <v>52</v>
      </c>
      <c r="G630" s="7">
        <v>86</v>
      </c>
      <c r="H630" s="8">
        <f t="shared" si="29"/>
        <v>62.2</v>
      </c>
    </row>
    <row r="631" spans="1:8" s="2" customFormat="1">
      <c r="A631" s="7" t="s">
        <v>619</v>
      </c>
      <c r="B631" s="7" t="str">
        <f t="shared" si="30"/>
        <v>21</v>
      </c>
      <c r="C631" s="7" t="str">
        <f>"29"</f>
        <v>29</v>
      </c>
      <c r="D631" s="7" t="str">
        <f>"20210102129"</f>
        <v>20210102129</v>
      </c>
      <c r="E631" s="7" t="s">
        <v>633</v>
      </c>
      <c r="F631" s="7">
        <v>70</v>
      </c>
      <c r="G631" s="7">
        <v>78</v>
      </c>
      <c r="H631" s="8">
        <f t="shared" si="29"/>
        <v>72.400000000000006</v>
      </c>
    </row>
    <row r="632" spans="1:8" s="2" customFormat="1">
      <c r="A632" s="7" t="s">
        <v>619</v>
      </c>
      <c r="B632" s="7" t="str">
        <f t="shared" si="30"/>
        <v>21</v>
      </c>
      <c r="C632" s="7" t="str">
        <f>"30"</f>
        <v>30</v>
      </c>
      <c r="D632" s="7" t="str">
        <f>"20210102130"</f>
        <v>20210102130</v>
      </c>
      <c r="E632" s="7" t="s">
        <v>634</v>
      </c>
      <c r="F632" s="7">
        <v>75</v>
      </c>
      <c r="G632" s="7">
        <v>77</v>
      </c>
      <c r="H632" s="8">
        <f t="shared" si="29"/>
        <v>75.599999999999994</v>
      </c>
    </row>
    <row r="633" spans="1:8" s="2" customFormat="1">
      <c r="A633" s="7" t="s">
        <v>619</v>
      </c>
      <c r="B633" s="7" t="str">
        <f t="shared" ref="B633:B662" si="31">"22"</f>
        <v>22</v>
      </c>
      <c r="C633" s="7" t="str">
        <f>"01"</f>
        <v>01</v>
      </c>
      <c r="D633" s="7" t="str">
        <f>"20210102201"</f>
        <v>20210102201</v>
      </c>
      <c r="E633" s="7" t="s">
        <v>635</v>
      </c>
      <c r="F633" s="7">
        <v>0</v>
      </c>
      <c r="G633" s="7">
        <v>0</v>
      </c>
      <c r="H633" s="8">
        <f t="shared" si="29"/>
        <v>0</v>
      </c>
    </row>
    <row r="634" spans="1:8" s="2" customFormat="1">
      <c r="A634" s="7" t="s">
        <v>619</v>
      </c>
      <c r="B634" s="7" t="str">
        <f t="shared" si="31"/>
        <v>22</v>
      </c>
      <c r="C634" s="7" t="str">
        <f>"02"</f>
        <v>02</v>
      </c>
      <c r="D634" s="7" t="str">
        <f>"20210102202"</f>
        <v>20210102202</v>
      </c>
      <c r="E634" s="7" t="s">
        <v>636</v>
      </c>
      <c r="F634" s="7">
        <v>58</v>
      </c>
      <c r="G634" s="7">
        <v>85</v>
      </c>
      <c r="H634" s="8">
        <f t="shared" si="29"/>
        <v>66.099999999999994</v>
      </c>
    </row>
    <row r="635" spans="1:8" s="2" customFormat="1">
      <c r="A635" s="7" t="s">
        <v>619</v>
      </c>
      <c r="B635" s="7" t="str">
        <f t="shared" si="31"/>
        <v>22</v>
      </c>
      <c r="C635" s="7" t="str">
        <f>"03"</f>
        <v>03</v>
      </c>
      <c r="D635" s="7" t="str">
        <f>"20210102203"</f>
        <v>20210102203</v>
      </c>
      <c r="E635" s="7" t="s">
        <v>637</v>
      </c>
      <c r="F635" s="7">
        <v>65</v>
      </c>
      <c r="G635" s="7">
        <v>63</v>
      </c>
      <c r="H635" s="8">
        <f t="shared" si="29"/>
        <v>64.400000000000006</v>
      </c>
    </row>
    <row r="636" spans="1:8" s="2" customFormat="1">
      <c r="A636" s="7" t="s">
        <v>619</v>
      </c>
      <c r="B636" s="7" t="str">
        <f t="shared" si="31"/>
        <v>22</v>
      </c>
      <c r="C636" s="7" t="str">
        <f>"04"</f>
        <v>04</v>
      </c>
      <c r="D636" s="7" t="str">
        <f>"20210102204"</f>
        <v>20210102204</v>
      </c>
      <c r="E636" s="7" t="s">
        <v>638</v>
      </c>
      <c r="F636" s="7">
        <v>69.5</v>
      </c>
      <c r="G636" s="7">
        <v>65</v>
      </c>
      <c r="H636" s="8">
        <f t="shared" si="29"/>
        <v>68.150000000000006</v>
      </c>
    </row>
    <row r="637" spans="1:8" s="2" customFormat="1">
      <c r="A637" s="7" t="s">
        <v>619</v>
      </c>
      <c r="B637" s="7" t="str">
        <f t="shared" si="31"/>
        <v>22</v>
      </c>
      <c r="C637" s="7" t="str">
        <f>"05"</f>
        <v>05</v>
      </c>
      <c r="D637" s="7" t="str">
        <f>"20210102205"</f>
        <v>20210102205</v>
      </c>
      <c r="E637" s="7" t="s">
        <v>639</v>
      </c>
      <c r="F637" s="7">
        <v>49.5</v>
      </c>
      <c r="G637" s="7">
        <v>69</v>
      </c>
      <c r="H637" s="8">
        <f t="shared" si="29"/>
        <v>55.349999999999994</v>
      </c>
    </row>
    <row r="638" spans="1:8" s="2" customFormat="1">
      <c r="A638" s="7" t="s">
        <v>619</v>
      </c>
      <c r="B638" s="7" t="str">
        <f t="shared" si="31"/>
        <v>22</v>
      </c>
      <c r="C638" s="7" t="str">
        <f>"06"</f>
        <v>06</v>
      </c>
      <c r="D638" s="7" t="str">
        <f>"20210102206"</f>
        <v>20210102206</v>
      </c>
      <c r="E638" s="7" t="s">
        <v>640</v>
      </c>
      <c r="F638" s="7">
        <v>64</v>
      </c>
      <c r="G638" s="7">
        <v>77</v>
      </c>
      <c r="H638" s="8">
        <f t="shared" si="29"/>
        <v>67.899999999999991</v>
      </c>
    </row>
    <row r="639" spans="1:8" s="2" customFormat="1">
      <c r="A639" s="7" t="s">
        <v>619</v>
      </c>
      <c r="B639" s="7" t="str">
        <f t="shared" si="31"/>
        <v>22</v>
      </c>
      <c r="C639" s="7" t="str">
        <f>"07"</f>
        <v>07</v>
      </c>
      <c r="D639" s="7" t="str">
        <f>"20210102207"</f>
        <v>20210102207</v>
      </c>
      <c r="E639" s="7" t="s">
        <v>26</v>
      </c>
      <c r="F639" s="7">
        <v>57</v>
      </c>
      <c r="G639" s="7">
        <v>66</v>
      </c>
      <c r="H639" s="8">
        <f t="shared" si="29"/>
        <v>59.7</v>
      </c>
    </row>
    <row r="640" spans="1:8" s="2" customFormat="1">
      <c r="A640" s="7" t="s">
        <v>619</v>
      </c>
      <c r="B640" s="7" t="str">
        <f t="shared" si="31"/>
        <v>22</v>
      </c>
      <c r="C640" s="7" t="str">
        <f>"08"</f>
        <v>08</v>
      </c>
      <c r="D640" s="7" t="str">
        <f>"20210102208"</f>
        <v>20210102208</v>
      </c>
      <c r="E640" s="7" t="s">
        <v>641</v>
      </c>
      <c r="F640" s="7">
        <v>64.5</v>
      </c>
      <c r="G640" s="7">
        <v>83</v>
      </c>
      <c r="H640" s="8">
        <f t="shared" si="29"/>
        <v>70.05</v>
      </c>
    </row>
    <row r="641" spans="1:8" s="2" customFormat="1">
      <c r="A641" s="7" t="s">
        <v>619</v>
      </c>
      <c r="B641" s="7" t="str">
        <f t="shared" si="31"/>
        <v>22</v>
      </c>
      <c r="C641" s="7" t="str">
        <f>"09"</f>
        <v>09</v>
      </c>
      <c r="D641" s="7" t="str">
        <f>"20210102209"</f>
        <v>20210102209</v>
      </c>
      <c r="E641" s="7" t="s">
        <v>336</v>
      </c>
      <c r="F641" s="7">
        <v>67.5</v>
      </c>
      <c r="G641" s="7">
        <v>56</v>
      </c>
      <c r="H641" s="8">
        <f t="shared" si="29"/>
        <v>64.05</v>
      </c>
    </row>
    <row r="642" spans="1:8" s="2" customFormat="1">
      <c r="A642" s="7" t="s">
        <v>619</v>
      </c>
      <c r="B642" s="7" t="str">
        <f t="shared" si="31"/>
        <v>22</v>
      </c>
      <c r="C642" s="7" t="str">
        <f>"10"</f>
        <v>10</v>
      </c>
      <c r="D642" s="7" t="str">
        <f>"20210102210"</f>
        <v>20210102210</v>
      </c>
      <c r="E642" s="7" t="s">
        <v>642</v>
      </c>
      <c r="F642" s="7">
        <v>56</v>
      </c>
      <c r="G642" s="7">
        <v>50</v>
      </c>
      <c r="H642" s="8">
        <f t="shared" si="29"/>
        <v>54.199999999999996</v>
      </c>
    </row>
    <row r="643" spans="1:8" s="2" customFormat="1">
      <c r="A643" s="7" t="s">
        <v>619</v>
      </c>
      <c r="B643" s="7" t="str">
        <f t="shared" si="31"/>
        <v>22</v>
      </c>
      <c r="C643" s="7" t="str">
        <f>"11"</f>
        <v>11</v>
      </c>
      <c r="D643" s="7" t="str">
        <f>"20210102211"</f>
        <v>20210102211</v>
      </c>
      <c r="E643" s="7" t="s">
        <v>83</v>
      </c>
      <c r="F643" s="7">
        <v>68</v>
      </c>
      <c r="G643" s="7">
        <v>60</v>
      </c>
      <c r="H643" s="8">
        <f t="shared" ref="H643:H706" si="32">F643*0.7+G643*0.3</f>
        <v>65.599999999999994</v>
      </c>
    </row>
    <row r="644" spans="1:8" s="2" customFormat="1">
      <c r="A644" s="7" t="s">
        <v>619</v>
      </c>
      <c r="B644" s="7" t="str">
        <f t="shared" si="31"/>
        <v>22</v>
      </c>
      <c r="C644" s="7" t="str">
        <f>"12"</f>
        <v>12</v>
      </c>
      <c r="D644" s="7" t="str">
        <f>"20210102212"</f>
        <v>20210102212</v>
      </c>
      <c r="E644" s="7" t="s">
        <v>643</v>
      </c>
      <c r="F644" s="7">
        <v>57</v>
      </c>
      <c r="G644" s="7">
        <v>83</v>
      </c>
      <c r="H644" s="8">
        <f t="shared" si="32"/>
        <v>64.8</v>
      </c>
    </row>
    <row r="645" spans="1:8" s="2" customFormat="1">
      <c r="A645" s="7" t="s">
        <v>619</v>
      </c>
      <c r="B645" s="7" t="str">
        <f t="shared" si="31"/>
        <v>22</v>
      </c>
      <c r="C645" s="7" t="str">
        <f>"13"</f>
        <v>13</v>
      </c>
      <c r="D645" s="7" t="str">
        <f>"20210102213"</f>
        <v>20210102213</v>
      </c>
      <c r="E645" s="7" t="s">
        <v>644</v>
      </c>
      <c r="F645" s="7">
        <v>39</v>
      </c>
      <c r="G645" s="7">
        <v>41</v>
      </c>
      <c r="H645" s="8">
        <f t="shared" si="32"/>
        <v>39.599999999999994</v>
      </c>
    </row>
    <row r="646" spans="1:8" s="2" customFormat="1">
      <c r="A646" s="7" t="s">
        <v>619</v>
      </c>
      <c r="B646" s="7" t="str">
        <f t="shared" si="31"/>
        <v>22</v>
      </c>
      <c r="C646" s="7" t="str">
        <f>"14"</f>
        <v>14</v>
      </c>
      <c r="D646" s="7" t="str">
        <f>"20210102214"</f>
        <v>20210102214</v>
      </c>
      <c r="E646" s="7" t="s">
        <v>645</v>
      </c>
      <c r="F646" s="7">
        <v>46</v>
      </c>
      <c r="G646" s="7">
        <v>65</v>
      </c>
      <c r="H646" s="8">
        <f t="shared" si="32"/>
        <v>51.699999999999996</v>
      </c>
    </row>
    <row r="647" spans="1:8" s="2" customFormat="1">
      <c r="A647" s="7" t="s">
        <v>619</v>
      </c>
      <c r="B647" s="7" t="str">
        <f t="shared" si="31"/>
        <v>22</v>
      </c>
      <c r="C647" s="7" t="str">
        <f>"15"</f>
        <v>15</v>
      </c>
      <c r="D647" s="7" t="str">
        <f>"20210102215"</f>
        <v>20210102215</v>
      </c>
      <c r="E647" s="7" t="s">
        <v>646</v>
      </c>
      <c r="F647" s="7">
        <v>56</v>
      </c>
      <c r="G647" s="7">
        <v>77</v>
      </c>
      <c r="H647" s="8">
        <f t="shared" si="32"/>
        <v>62.3</v>
      </c>
    </row>
    <row r="648" spans="1:8" s="2" customFormat="1">
      <c r="A648" s="7" t="s">
        <v>619</v>
      </c>
      <c r="B648" s="7" t="str">
        <f t="shared" si="31"/>
        <v>22</v>
      </c>
      <c r="C648" s="7" t="str">
        <f>"16"</f>
        <v>16</v>
      </c>
      <c r="D648" s="7" t="str">
        <f>"20210102216"</f>
        <v>20210102216</v>
      </c>
      <c r="E648" s="7" t="s">
        <v>647</v>
      </c>
      <c r="F648" s="7">
        <v>60.5</v>
      </c>
      <c r="G648" s="7">
        <v>63</v>
      </c>
      <c r="H648" s="8">
        <f t="shared" si="32"/>
        <v>61.249999999999993</v>
      </c>
    </row>
    <row r="649" spans="1:8" s="2" customFormat="1">
      <c r="A649" s="7" t="s">
        <v>619</v>
      </c>
      <c r="B649" s="7" t="str">
        <f t="shared" si="31"/>
        <v>22</v>
      </c>
      <c r="C649" s="7" t="str">
        <f>"17"</f>
        <v>17</v>
      </c>
      <c r="D649" s="7" t="str">
        <f>"20210102217"</f>
        <v>20210102217</v>
      </c>
      <c r="E649" s="7" t="s">
        <v>648</v>
      </c>
      <c r="F649" s="7">
        <v>61.5</v>
      </c>
      <c r="G649" s="7">
        <v>50</v>
      </c>
      <c r="H649" s="8">
        <f t="shared" si="32"/>
        <v>58.05</v>
      </c>
    </row>
    <row r="650" spans="1:8" s="2" customFormat="1">
      <c r="A650" s="7" t="s">
        <v>619</v>
      </c>
      <c r="B650" s="7" t="str">
        <f t="shared" si="31"/>
        <v>22</v>
      </c>
      <c r="C650" s="7" t="str">
        <f>"18"</f>
        <v>18</v>
      </c>
      <c r="D650" s="7" t="str">
        <f>"20210102218"</f>
        <v>20210102218</v>
      </c>
      <c r="E650" s="7" t="s">
        <v>649</v>
      </c>
      <c r="F650" s="7">
        <v>41.5</v>
      </c>
      <c r="G650" s="7">
        <v>50</v>
      </c>
      <c r="H650" s="8">
        <f t="shared" si="32"/>
        <v>44.05</v>
      </c>
    </row>
    <row r="651" spans="1:8" s="2" customFormat="1">
      <c r="A651" s="7" t="s">
        <v>619</v>
      </c>
      <c r="B651" s="7" t="str">
        <f t="shared" si="31"/>
        <v>22</v>
      </c>
      <c r="C651" s="7" t="str">
        <f>"19"</f>
        <v>19</v>
      </c>
      <c r="D651" s="7" t="str">
        <f>"20210102219"</f>
        <v>20210102219</v>
      </c>
      <c r="E651" s="7" t="s">
        <v>650</v>
      </c>
      <c r="F651" s="7">
        <v>35</v>
      </c>
      <c r="G651" s="7">
        <v>29</v>
      </c>
      <c r="H651" s="8">
        <f t="shared" si="32"/>
        <v>33.200000000000003</v>
      </c>
    </row>
    <row r="652" spans="1:8" s="2" customFormat="1">
      <c r="A652" s="7" t="s">
        <v>619</v>
      </c>
      <c r="B652" s="7" t="str">
        <f t="shared" si="31"/>
        <v>22</v>
      </c>
      <c r="C652" s="7" t="str">
        <f>"20"</f>
        <v>20</v>
      </c>
      <c r="D652" s="7" t="str">
        <f>"20210102220"</f>
        <v>20210102220</v>
      </c>
      <c r="E652" s="7" t="s">
        <v>651</v>
      </c>
      <c r="F652" s="7">
        <v>55</v>
      </c>
      <c r="G652" s="7">
        <v>47</v>
      </c>
      <c r="H652" s="8">
        <f t="shared" si="32"/>
        <v>52.6</v>
      </c>
    </row>
    <row r="653" spans="1:8" s="2" customFormat="1">
      <c r="A653" s="7" t="s">
        <v>619</v>
      </c>
      <c r="B653" s="7" t="str">
        <f t="shared" si="31"/>
        <v>22</v>
      </c>
      <c r="C653" s="7" t="str">
        <f>"21"</f>
        <v>21</v>
      </c>
      <c r="D653" s="7" t="str">
        <f>"20210102221"</f>
        <v>20210102221</v>
      </c>
      <c r="E653" s="7" t="s">
        <v>652</v>
      </c>
      <c r="F653" s="7">
        <v>0</v>
      </c>
      <c r="G653" s="7">
        <v>0</v>
      </c>
      <c r="H653" s="8">
        <f t="shared" si="32"/>
        <v>0</v>
      </c>
    </row>
    <row r="654" spans="1:8" s="2" customFormat="1">
      <c r="A654" s="7" t="s">
        <v>619</v>
      </c>
      <c r="B654" s="7" t="str">
        <f t="shared" si="31"/>
        <v>22</v>
      </c>
      <c r="C654" s="7" t="str">
        <f>"22"</f>
        <v>22</v>
      </c>
      <c r="D654" s="7" t="str">
        <f>"20210102222"</f>
        <v>20210102222</v>
      </c>
      <c r="E654" s="7" t="s">
        <v>653</v>
      </c>
      <c r="F654" s="7">
        <v>0</v>
      </c>
      <c r="G654" s="7">
        <v>0</v>
      </c>
      <c r="H654" s="8">
        <f t="shared" si="32"/>
        <v>0</v>
      </c>
    </row>
    <row r="655" spans="1:8" s="2" customFormat="1">
      <c r="A655" s="7" t="s">
        <v>619</v>
      </c>
      <c r="B655" s="7" t="str">
        <f t="shared" si="31"/>
        <v>22</v>
      </c>
      <c r="C655" s="7" t="str">
        <f>"23"</f>
        <v>23</v>
      </c>
      <c r="D655" s="7" t="str">
        <f>"20210102223"</f>
        <v>20210102223</v>
      </c>
      <c r="E655" s="7" t="s">
        <v>654</v>
      </c>
      <c r="F655" s="7">
        <v>82</v>
      </c>
      <c r="G655" s="7">
        <v>90</v>
      </c>
      <c r="H655" s="8">
        <f t="shared" si="32"/>
        <v>84.4</v>
      </c>
    </row>
    <row r="656" spans="1:8" s="2" customFormat="1">
      <c r="A656" s="7" t="s">
        <v>619</v>
      </c>
      <c r="B656" s="7" t="str">
        <f t="shared" si="31"/>
        <v>22</v>
      </c>
      <c r="C656" s="7" t="str">
        <f>"24"</f>
        <v>24</v>
      </c>
      <c r="D656" s="7" t="str">
        <f>"20210102224"</f>
        <v>20210102224</v>
      </c>
      <c r="E656" s="7" t="s">
        <v>655</v>
      </c>
      <c r="F656" s="7">
        <v>47</v>
      </c>
      <c r="G656" s="7">
        <v>57</v>
      </c>
      <c r="H656" s="8">
        <f t="shared" si="32"/>
        <v>50</v>
      </c>
    </row>
    <row r="657" spans="1:8" s="2" customFormat="1">
      <c r="A657" s="7" t="s">
        <v>619</v>
      </c>
      <c r="B657" s="7" t="str">
        <f t="shared" si="31"/>
        <v>22</v>
      </c>
      <c r="C657" s="7" t="str">
        <f>"25"</f>
        <v>25</v>
      </c>
      <c r="D657" s="7" t="str">
        <f>"20210102225"</f>
        <v>20210102225</v>
      </c>
      <c r="E657" s="7" t="s">
        <v>656</v>
      </c>
      <c r="F657" s="7">
        <v>59</v>
      </c>
      <c r="G657" s="7">
        <v>64</v>
      </c>
      <c r="H657" s="8">
        <f t="shared" si="32"/>
        <v>60.5</v>
      </c>
    </row>
    <row r="658" spans="1:8" s="2" customFormat="1">
      <c r="A658" s="7" t="s">
        <v>619</v>
      </c>
      <c r="B658" s="7" t="str">
        <f t="shared" si="31"/>
        <v>22</v>
      </c>
      <c r="C658" s="7" t="str">
        <f>"26"</f>
        <v>26</v>
      </c>
      <c r="D658" s="7" t="str">
        <f>"20210102226"</f>
        <v>20210102226</v>
      </c>
      <c r="E658" s="7" t="s">
        <v>657</v>
      </c>
      <c r="F658" s="7">
        <v>44</v>
      </c>
      <c r="G658" s="7">
        <v>65</v>
      </c>
      <c r="H658" s="8">
        <f t="shared" si="32"/>
        <v>50.3</v>
      </c>
    </row>
    <row r="659" spans="1:8" s="2" customFormat="1">
      <c r="A659" s="7" t="s">
        <v>619</v>
      </c>
      <c r="B659" s="7" t="str">
        <f t="shared" si="31"/>
        <v>22</v>
      </c>
      <c r="C659" s="7" t="str">
        <f>"27"</f>
        <v>27</v>
      </c>
      <c r="D659" s="7" t="str">
        <f>"20210102227"</f>
        <v>20210102227</v>
      </c>
      <c r="E659" s="7" t="s">
        <v>555</v>
      </c>
      <c r="F659" s="7">
        <v>55.5</v>
      </c>
      <c r="G659" s="7">
        <v>71</v>
      </c>
      <c r="H659" s="8">
        <f t="shared" si="32"/>
        <v>60.149999999999991</v>
      </c>
    </row>
    <row r="660" spans="1:8" s="2" customFormat="1">
      <c r="A660" s="7" t="s">
        <v>619</v>
      </c>
      <c r="B660" s="7" t="str">
        <f t="shared" si="31"/>
        <v>22</v>
      </c>
      <c r="C660" s="7" t="str">
        <f>"28"</f>
        <v>28</v>
      </c>
      <c r="D660" s="7" t="str">
        <f>"20210102228"</f>
        <v>20210102228</v>
      </c>
      <c r="E660" s="7" t="s">
        <v>658</v>
      </c>
      <c r="F660" s="7">
        <v>50</v>
      </c>
      <c r="G660" s="7">
        <v>62</v>
      </c>
      <c r="H660" s="8">
        <f t="shared" si="32"/>
        <v>53.599999999999994</v>
      </c>
    </row>
    <row r="661" spans="1:8" s="2" customFormat="1">
      <c r="A661" s="7" t="s">
        <v>619</v>
      </c>
      <c r="B661" s="7" t="str">
        <f t="shared" si="31"/>
        <v>22</v>
      </c>
      <c r="C661" s="7" t="str">
        <f>"29"</f>
        <v>29</v>
      </c>
      <c r="D661" s="7" t="str">
        <f>"20210102229"</f>
        <v>20210102229</v>
      </c>
      <c r="E661" s="7" t="s">
        <v>659</v>
      </c>
      <c r="F661" s="7">
        <v>58</v>
      </c>
      <c r="G661" s="7">
        <v>72</v>
      </c>
      <c r="H661" s="8">
        <f t="shared" si="32"/>
        <v>62.199999999999989</v>
      </c>
    </row>
    <row r="662" spans="1:8" s="2" customFormat="1">
      <c r="A662" s="7" t="s">
        <v>619</v>
      </c>
      <c r="B662" s="7" t="str">
        <f t="shared" si="31"/>
        <v>22</v>
      </c>
      <c r="C662" s="7" t="str">
        <f>"30"</f>
        <v>30</v>
      </c>
      <c r="D662" s="7" t="str">
        <f>"20210102230"</f>
        <v>20210102230</v>
      </c>
      <c r="E662" s="7" t="s">
        <v>660</v>
      </c>
      <c r="F662" s="7">
        <v>69</v>
      </c>
      <c r="G662" s="7">
        <v>77</v>
      </c>
      <c r="H662" s="8">
        <f t="shared" si="32"/>
        <v>71.399999999999991</v>
      </c>
    </row>
    <row r="663" spans="1:8" s="2" customFormat="1">
      <c r="A663" s="7" t="s">
        <v>619</v>
      </c>
      <c r="B663" s="7" t="str">
        <f t="shared" ref="B663:B692" si="33">"23"</f>
        <v>23</v>
      </c>
      <c r="C663" s="7" t="str">
        <f>"01"</f>
        <v>01</v>
      </c>
      <c r="D663" s="7" t="str">
        <f>"20210102301"</f>
        <v>20210102301</v>
      </c>
      <c r="E663" s="7" t="s">
        <v>661</v>
      </c>
      <c r="F663" s="7">
        <v>56</v>
      </c>
      <c r="G663" s="7">
        <v>67</v>
      </c>
      <c r="H663" s="8">
        <f t="shared" si="32"/>
        <v>59.3</v>
      </c>
    </row>
    <row r="664" spans="1:8" s="2" customFormat="1">
      <c r="A664" s="7" t="s">
        <v>619</v>
      </c>
      <c r="B664" s="7" t="str">
        <f t="shared" si="33"/>
        <v>23</v>
      </c>
      <c r="C664" s="7" t="str">
        <f>"02"</f>
        <v>02</v>
      </c>
      <c r="D664" s="7" t="str">
        <f>"20210102302"</f>
        <v>20210102302</v>
      </c>
      <c r="E664" s="7" t="s">
        <v>662</v>
      </c>
      <c r="F664" s="7">
        <v>61.5</v>
      </c>
      <c r="G664" s="7">
        <v>77</v>
      </c>
      <c r="H664" s="8">
        <f t="shared" si="32"/>
        <v>66.149999999999991</v>
      </c>
    </row>
    <row r="665" spans="1:8" s="2" customFormat="1">
      <c r="A665" s="7" t="s">
        <v>619</v>
      </c>
      <c r="B665" s="7" t="str">
        <f t="shared" si="33"/>
        <v>23</v>
      </c>
      <c r="C665" s="7" t="str">
        <f>"03"</f>
        <v>03</v>
      </c>
      <c r="D665" s="7" t="str">
        <f>"20210102303"</f>
        <v>20210102303</v>
      </c>
      <c r="E665" s="7" t="s">
        <v>663</v>
      </c>
      <c r="F665" s="7">
        <v>46.5</v>
      </c>
      <c r="G665" s="7">
        <v>68</v>
      </c>
      <c r="H665" s="8">
        <f t="shared" si="32"/>
        <v>52.949999999999996</v>
      </c>
    </row>
    <row r="666" spans="1:8" s="2" customFormat="1">
      <c r="A666" s="7" t="s">
        <v>619</v>
      </c>
      <c r="B666" s="7" t="str">
        <f t="shared" si="33"/>
        <v>23</v>
      </c>
      <c r="C666" s="7" t="str">
        <f>"04"</f>
        <v>04</v>
      </c>
      <c r="D666" s="7" t="str">
        <f>"20210102304"</f>
        <v>20210102304</v>
      </c>
      <c r="E666" s="7" t="s">
        <v>664</v>
      </c>
      <c r="F666" s="7">
        <v>47.5</v>
      </c>
      <c r="G666" s="7">
        <v>52</v>
      </c>
      <c r="H666" s="8">
        <f t="shared" si="32"/>
        <v>48.85</v>
      </c>
    </row>
    <row r="667" spans="1:8" s="2" customFormat="1">
      <c r="A667" s="7" t="s">
        <v>619</v>
      </c>
      <c r="B667" s="7" t="str">
        <f t="shared" si="33"/>
        <v>23</v>
      </c>
      <c r="C667" s="7" t="str">
        <f>"05"</f>
        <v>05</v>
      </c>
      <c r="D667" s="7" t="str">
        <f>"20210102305"</f>
        <v>20210102305</v>
      </c>
      <c r="E667" s="7" t="s">
        <v>665</v>
      </c>
      <c r="F667" s="7">
        <v>47.5</v>
      </c>
      <c r="G667" s="7">
        <v>57</v>
      </c>
      <c r="H667" s="8">
        <f t="shared" si="32"/>
        <v>50.349999999999994</v>
      </c>
    </row>
    <row r="668" spans="1:8" s="2" customFormat="1">
      <c r="A668" s="7" t="s">
        <v>619</v>
      </c>
      <c r="B668" s="7" t="str">
        <f t="shared" si="33"/>
        <v>23</v>
      </c>
      <c r="C668" s="7" t="str">
        <f>"06"</f>
        <v>06</v>
      </c>
      <c r="D668" s="7" t="str">
        <f>"20210102306"</f>
        <v>20210102306</v>
      </c>
      <c r="E668" s="7" t="s">
        <v>666</v>
      </c>
      <c r="F668" s="7">
        <v>72</v>
      </c>
      <c r="G668" s="7">
        <v>70</v>
      </c>
      <c r="H668" s="8">
        <f t="shared" si="32"/>
        <v>71.400000000000006</v>
      </c>
    </row>
    <row r="669" spans="1:8" s="2" customFormat="1">
      <c r="A669" s="7" t="s">
        <v>619</v>
      </c>
      <c r="B669" s="7" t="str">
        <f t="shared" si="33"/>
        <v>23</v>
      </c>
      <c r="C669" s="7" t="str">
        <f>"07"</f>
        <v>07</v>
      </c>
      <c r="D669" s="7" t="str">
        <f>"20210102307"</f>
        <v>20210102307</v>
      </c>
      <c r="E669" s="7" t="s">
        <v>667</v>
      </c>
      <c r="F669" s="7">
        <v>63</v>
      </c>
      <c r="G669" s="7">
        <v>74</v>
      </c>
      <c r="H669" s="8">
        <f t="shared" si="32"/>
        <v>66.3</v>
      </c>
    </row>
    <row r="670" spans="1:8" s="2" customFormat="1">
      <c r="A670" s="7" t="s">
        <v>619</v>
      </c>
      <c r="B670" s="7" t="str">
        <f t="shared" si="33"/>
        <v>23</v>
      </c>
      <c r="C670" s="7" t="str">
        <f>"08"</f>
        <v>08</v>
      </c>
      <c r="D670" s="7" t="str">
        <f>"20210102308"</f>
        <v>20210102308</v>
      </c>
      <c r="E670" s="7" t="s">
        <v>668</v>
      </c>
      <c r="F670" s="7">
        <v>49.5</v>
      </c>
      <c r="G670" s="7">
        <v>68</v>
      </c>
      <c r="H670" s="8">
        <f t="shared" si="32"/>
        <v>55.05</v>
      </c>
    </row>
    <row r="671" spans="1:8" s="2" customFormat="1">
      <c r="A671" s="7" t="s">
        <v>619</v>
      </c>
      <c r="B671" s="7" t="str">
        <f t="shared" si="33"/>
        <v>23</v>
      </c>
      <c r="C671" s="7" t="str">
        <f>"09"</f>
        <v>09</v>
      </c>
      <c r="D671" s="7" t="str">
        <f>"20210102309"</f>
        <v>20210102309</v>
      </c>
      <c r="E671" s="7" t="s">
        <v>669</v>
      </c>
      <c r="F671" s="7">
        <v>62</v>
      </c>
      <c r="G671" s="7">
        <v>66</v>
      </c>
      <c r="H671" s="8">
        <f t="shared" si="32"/>
        <v>63.2</v>
      </c>
    </row>
    <row r="672" spans="1:8" s="2" customFormat="1">
      <c r="A672" s="7" t="s">
        <v>619</v>
      </c>
      <c r="B672" s="7" t="str">
        <f t="shared" si="33"/>
        <v>23</v>
      </c>
      <c r="C672" s="7" t="str">
        <f>"10"</f>
        <v>10</v>
      </c>
      <c r="D672" s="7" t="str">
        <f>"20210102310"</f>
        <v>20210102310</v>
      </c>
      <c r="E672" s="7" t="s">
        <v>670</v>
      </c>
      <c r="F672" s="7">
        <v>42.5</v>
      </c>
      <c r="G672" s="7">
        <v>59</v>
      </c>
      <c r="H672" s="8">
        <f t="shared" si="32"/>
        <v>47.449999999999996</v>
      </c>
    </row>
    <row r="673" spans="1:8" s="2" customFormat="1">
      <c r="A673" s="7" t="s">
        <v>619</v>
      </c>
      <c r="B673" s="7" t="str">
        <f t="shared" si="33"/>
        <v>23</v>
      </c>
      <c r="C673" s="7" t="str">
        <f>"11"</f>
        <v>11</v>
      </c>
      <c r="D673" s="7" t="str">
        <f>"20210102311"</f>
        <v>20210102311</v>
      </c>
      <c r="E673" s="7" t="s">
        <v>671</v>
      </c>
      <c r="F673" s="7">
        <v>51</v>
      </c>
      <c r="G673" s="7">
        <v>72</v>
      </c>
      <c r="H673" s="8">
        <f t="shared" si="32"/>
        <v>57.3</v>
      </c>
    </row>
    <row r="674" spans="1:8" s="2" customFormat="1">
      <c r="A674" s="7" t="s">
        <v>619</v>
      </c>
      <c r="B674" s="7" t="str">
        <f t="shared" si="33"/>
        <v>23</v>
      </c>
      <c r="C674" s="7" t="str">
        <f>"12"</f>
        <v>12</v>
      </c>
      <c r="D674" s="7" t="str">
        <f>"20210102312"</f>
        <v>20210102312</v>
      </c>
      <c r="E674" s="7" t="s">
        <v>672</v>
      </c>
      <c r="F674" s="7">
        <v>38</v>
      </c>
      <c r="G674" s="7">
        <v>54</v>
      </c>
      <c r="H674" s="8">
        <f t="shared" si="32"/>
        <v>42.8</v>
      </c>
    </row>
    <row r="675" spans="1:8" s="2" customFormat="1">
      <c r="A675" s="7" t="s">
        <v>619</v>
      </c>
      <c r="B675" s="7" t="str">
        <f t="shared" si="33"/>
        <v>23</v>
      </c>
      <c r="C675" s="7" t="str">
        <f>"13"</f>
        <v>13</v>
      </c>
      <c r="D675" s="7" t="str">
        <f>"20210102313"</f>
        <v>20210102313</v>
      </c>
      <c r="E675" s="7" t="s">
        <v>673</v>
      </c>
      <c r="F675" s="7">
        <v>65</v>
      </c>
      <c r="G675" s="7">
        <v>73</v>
      </c>
      <c r="H675" s="8">
        <f t="shared" si="32"/>
        <v>67.400000000000006</v>
      </c>
    </row>
    <row r="676" spans="1:8" s="2" customFormat="1">
      <c r="A676" s="7" t="s">
        <v>619</v>
      </c>
      <c r="B676" s="7" t="str">
        <f t="shared" si="33"/>
        <v>23</v>
      </c>
      <c r="C676" s="7" t="str">
        <f>"14"</f>
        <v>14</v>
      </c>
      <c r="D676" s="7" t="str">
        <f>"20210102314"</f>
        <v>20210102314</v>
      </c>
      <c r="E676" s="7" t="s">
        <v>674</v>
      </c>
      <c r="F676" s="7">
        <v>70</v>
      </c>
      <c r="G676" s="7">
        <v>79</v>
      </c>
      <c r="H676" s="8">
        <f t="shared" si="32"/>
        <v>72.7</v>
      </c>
    </row>
    <row r="677" spans="1:8" s="2" customFormat="1">
      <c r="A677" s="7" t="s">
        <v>619</v>
      </c>
      <c r="B677" s="7" t="str">
        <f t="shared" si="33"/>
        <v>23</v>
      </c>
      <c r="C677" s="7" t="str">
        <f>"15"</f>
        <v>15</v>
      </c>
      <c r="D677" s="7" t="str">
        <f>"20210102315"</f>
        <v>20210102315</v>
      </c>
      <c r="E677" s="7" t="s">
        <v>675</v>
      </c>
      <c r="F677" s="7">
        <v>56.5</v>
      </c>
      <c r="G677" s="7">
        <v>41</v>
      </c>
      <c r="H677" s="8">
        <f t="shared" si="32"/>
        <v>51.849999999999994</v>
      </c>
    </row>
    <row r="678" spans="1:8" s="2" customFormat="1">
      <c r="A678" s="7" t="s">
        <v>619</v>
      </c>
      <c r="B678" s="7" t="str">
        <f t="shared" si="33"/>
        <v>23</v>
      </c>
      <c r="C678" s="7" t="str">
        <f>"16"</f>
        <v>16</v>
      </c>
      <c r="D678" s="7" t="str">
        <f>"20210102316"</f>
        <v>20210102316</v>
      </c>
      <c r="E678" s="7" t="s">
        <v>676</v>
      </c>
      <c r="F678" s="7">
        <v>0</v>
      </c>
      <c r="G678" s="7">
        <v>0</v>
      </c>
      <c r="H678" s="8">
        <f t="shared" si="32"/>
        <v>0</v>
      </c>
    </row>
    <row r="679" spans="1:8" s="2" customFormat="1">
      <c r="A679" s="7" t="s">
        <v>619</v>
      </c>
      <c r="B679" s="7" t="str">
        <f t="shared" si="33"/>
        <v>23</v>
      </c>
      <c r="C679" s="7" t="str">
        <f>"17"</f>
        <v>17</v>
      </c>
      <c r="D679" s="7" t="str">
        <f>"20210102317"</f>
        <v>20210102317</v>
      </c>
      <c r="E679" s="7" t="s">
        <v>677</v>
      </c>
      <c r="F679" s="7">
        <v>72</v>
      </c>
      <c r="G679" s="7">
        <v>81</v>
      </c>
      <c r="H679" s="8">
        <f t="shared" si="32"/>
        <v>74.7</v>
      </c>
    </row>
    <row r="680" spans="1:8" s="2" customFormat="1">
      <c r="A680" s="7" t="s">
        <v>619</v>
      </c>
      <c r="B680" s="7" t="str">
        <f t="shared" si="33"/>
        <v>23</v>
      </c>
      <c r="C680" s="7" t="str">
        <f>"18"</f>
        <v>18</v>
      </c>
      <c r="D680" s="7" t="str">
        <f>"20210102318"</f>
        <v>20210102318</v>
      </c>
      <c r="E680" s="7" t="s">
        <v>678</v>
      </c>
      <c r="F680" s="7">
        <v>71.5</v>
      </c>
      <c r="G680" s="7">
        <v>89</v>
      </c>
      <c r="H680" s="8">
        <f t="shared" si="32"/>
        <v>76.75</v>
      </c>
    </row>
    <row r="681" spans="1:8" s="2" customFormat="1">
      <c r="A681" s="7" t="s">
        <v>619</v>
      </c>
      <c r="B681" s="7" t="str">
        <f t="shared" si="33"/>
        <v>23</v>
      </c>
      <c r="C681" s="7" t="str">
        <f>"19"</f>
        <v>19</v>
      </c>
      <c r="D681" s="7" t="str">
        <f>"20210102319"</f>
        <v>20210102319</v>
      </c>
      <c r="E681" s="7" t="s">
        <v>679</v>
      </c>
      <c r="F681" s="7">
        <v>50.5</v>
      </c>
      <c r="G681" s="7">
        <v>52</v>
      </c>
      <c r="H681" s="8">
        <f t="shared" si="32"/>
        <v>50.949999999999996</v>
      </c>
    </row>
    <row r="682" spans="1:8" s="2" customFormat="1">
      <c r="A682" s="7" t="s">
        <v>619</v>
      </c>
      <c r="B682" s="7" t="str">
        <f t="shared" si="33"/>
        <v>23</v>
      </c>
      <c r="C682" s="7" t="str">
        <f>"20"</f>
        <v>20</v>
      </c>
      <c r="D682" s="7" t="str">
        <f>"20210102320"</f>
        <v>20210102320</v>
      </c>
      <c r="E682" s="7" t="s">
        <v>680</v>
      </c>
      <c r="F682" s="7">
        <v>45</v>
      </c>
      <c r="G682" s="7">
        <v>56</v>
      </c>
      <c r="H682" s="8">
        <f t="shared" si="32"/>
        <v>48.3</v>
      </c>
    </row>
    <row r="683" spans="1:8" s="2" customFormat="1">
      <c r="A683" s="7" t="s">
        <v>619</v>
      </c>
      <c r="B683" s="7" t="str">
        <f t="shared" si="33"/>
        <v>23</v>
      </c>
      <c r="C683" s="7" t="str">
        <f>"21"</f>
        <v>21</v>
      </c>
      <c r="D683" s="7" t="str">
        <f>"20210102321"</f>
        <v>20210102321</v>
      </c>
      <c r="E683" s="7" t="s">
        <v>681</v>
      </c>
      <c r="F683" s="7">
        <v>63</v>
      </c>
      <c r="G683" s="7">
        <v>74</v>
      </c>
      <c r="H683" s="8">
        <f t="shared" si="32"/>
        <v>66.3</v>
      </c>
    </row>
    <row r="684" spans="1:8" s="2" customFormat="1">
      <c r="A684" s="7" t="s">
        <v>619</v>
      </c>
      <c r="B684" s="7" t="str">
        <f t="shared" si="33"/>
        <v>23</v>
      </c>
      <c r="C684" s="7" t="str">
        <f>"22"</f>
        <v>22</v>
      </c>
      <c r="D684" s="7" t="str">
        <f>"20210102322"</f>
        <v>20210102322</v>
      </c>
      <c r="E684" s="7" t="s">
        <v>682</v>
      </c>
      <c r="F684" s="7">
        <v>61</v>
      </c>
      <c r="G684" s="7">
        <v>66</v>
      </c>
      <c r="H684" s="8">
        <f t="shared" si="32"/>
        <v>62.5</v>
      </c>
    </row>
    <row r="685" spans="1:8" s="2" customFormat="1">
      <c r="A685" s="7" t="s">
        <v>619</v>
      </c>
      <c r="B685" s="7" t="str">
        <f t="shared" si="33"/>
        <v>23</v>
      </c>
      <c r="C685" s="7" t="str">
        <f>"23"</f>
        <v>23</v>
      </c>
      <c r="D685" s="7" t="str">
        <f>"20210102323"</f>
        <v>20210102323</v>
      </c>
      <c r="E685" s="7" t="s">
        <v>247</v>
      </c>
      <c r="F685" s="7">
        <v>70</v>
      </c>
      <c r="G685" s="7">
        <v>88</v>
      </c>
      <c r="H685" s="8">
        <f t="shared" si="32"/>
        <v>75.400000000000006</v>
      </c>
    </row>
    <row r="686" spans="1:8" s="2" customFormat="1">
      <c r="A686" s="7" t="s">
        <v>619</v>
      </c>
      <c r="B686" s="7" t="str">
        <f t="shared" si="33"/>
        <v>23</v>
      </c>
      <c r="C686" s="7" t="str">
        <f>"24"</f>
        <v>24</v>
      </c>
      <c r="D686" s="7" t="str">
        <f>"20210102324"</f>
        <v>20210102324</v>
      </c>
      <c r="E686" s="7" t="s">
        <v>683</v>
      </c>
      <c r="F686" s="7">
        <v>57.5</v>
      </c>
      <c r="G686" s="7">
        <v>72</v>
      </c>
      <c r="H686" s="8">
        <f t="shared" si="32"/>
        <v>61.849999999999994</v>
      </c>
    </row>
    <row r="687" spans="1:8" s="2" customFormat="1">
      <c r="A687" s="7" t="s">
        <v>619</v>
      </c>
      <c r="B687" s="7" t="str">
        <f t="shared" si="33"/>
        <v>23</v>
      </c>
      <c r="C687" s="7" t="str">
        <f>"25"</f>
        <v>25</v>
      </c>
      <c r="D687" s="7" t="str">
        <f>"20210102325"</f>
        <v>20210102325</v>
      </c>
      <c r="E687" s="7" t="s">
        <v>684</v>
      </c>
      <c r="F687" s="7">
        <v>63</v>
      </c>
      <c r="G687" s="7">
        <v>78</v>
      </c>
      <c r="H687" s="8">
        <f t="shared" si="32"/>
        <v>67.5</v>
      </c>
    </row>
    <row r="688" spans="1:8" s="2" customFormat="1">
      <c r="A688" s="7" t="s">
        <v>619</v>
      </c>
      <c r="B688" s="7" t="str">
        <f t="shared" si="33"/>
        <v>23</v>
      </c>
      <c r="C688" s="7" t="str">
        <f>"26"</f>
        <v>26</v>
      </c>
      <c r="D688" s="7" t="str">
        <f>"20210102326"</f>
        <v>20210102326</v>
      </c>
      <c r="E688" s="7" t="s">
        <v>685</v>
      </c>
      <c r="F688" s="7">
        <v>49.5</v>
      </c>
      <c r="G688" s="7">
        <v>60</v>
      </c>
      <c r="H688" s="8">
        <f t="shared" si="32"/>
        <v>52.65</v>
      </c>
    </row>
    <row r="689" spans="1:8" s="2" customFormat="1">
      <c r="A689" s="7" t="s">
        <v>619</v>
      </c>
      <c r="B689" s="7" t="str">
        <f t="shared" si="33"/>
        <v>23</v>
      </c>
      <c r="C689" s="7" t="str">
        <f>"27"</f>
        <v>27</v>
      </c>
      <c r="D689" s="7" t="str">
        <f>"20210102327"</f>
        <v>20210102327</v>
      </c>
      <c r="E689" s="7" t="s">
        <v>686</v>
      </c>
      <c r="F689" s="7">
        <v>76</v>
      </c>
      <c r="G689" s="7">
        <v>77</v>
      </c>
      <c r="H689" s="8">
        <f t="shared" si="32"/>
        <v>76.3</v>
      </c>
    </row>
    <row r="690" spans="1:8" s="2" customFormat="1">
      <c r="A690" s="7" t="s">
        <v>619</v>
      </c>
      <c r="B690" s="7" t="str">
        <f t="shared" si="33"/>
        <v>23</v>
      </c>
      <c r="C690" s="7" t="str">
        <f>"28"</f>
        <v>28</v>
      </c>
      <c r="D690" s="7" t="str">
        <f>"20210102328"</f>
        <v>20210102328</v>
      </c>
      <c r="E690" s="7" t="s">
        <v>81</v>
      </c>
      <c r="F690" s="7">
        <v>59</v>
      </c>
      <c r="G690" s="7">
        <v>71</v>
      </c>
      <c r="H690" s="8">
        <f t="shared" si="32"/>
        <v>62.599999999999994</v>
      </c>
    </row>
    <row r="691" spans="1:8" s="2" customFormat="1">
      <c r="A691" s="7" t="s">
        <v>619</v>
      </c>
      <c r="B691" s="7" t="str">
        <f t="shared" si="33"/>
        <v>23</v>
      </c>
      <c r="C691" s="7" t="str">
        <f>"29"</f>
        <v>29</v>
      </c>
      <c r="D691" s="7" t="str">
        <f>"20210102329"</f>
        <v>20210102329</v>
      </c>
      <c r="E691" s="7" t="s">
        <v>687</v>
      </c>
      <c r="F691" s="7">
        <v>63.5</v>
      </c>
      <c r="G691" s="7">
        <v>64</v>
      </c>
      <c r="H691" s="8">
        <f t="shared" si="32"/>
        <v>63.649999999999991</v>
      </c>
    </row>
    <row r="692" spans="1:8" s="2" customFormat="1">
      <c r="A692" s="7" t="s">
        <v>688</v>
      </c>
      <c r="B692" s="7" t="str">
        <f t="shared" si="33"/>
        <v>23</v>
      </c>
      <c r="C692" s="7" t="str">
        <f>"30"</f>
        <v>30</v>
      </c>
      <c r="D692" s="7" t="str">
        <f>"20210112330"</f>
        <v>20210112330</v>
      </c>
      <c r="E692" s="7" t="s">
        <v>689</v>
      </c>
      <c r="F692" s="7">
        <v>0</v>
      </c>
      <c r="G692" s="7">
        <v>0</v>
      </c>
      <c r="H692" s="8">
        <f t="shared" si="32"/>
        <v>0</v>
      </c>
    </row>
    <row r="693" spans="1:8" s="2" customFormat="1">
      <c r="A693" s="7" t="s">
        <v>688</v>
      </c>
      <c r="B693" s="7" t="str">
        <f t="shared" ref="B693:B722" si="34">"24"</f>
        <v>24</v>
      </c>
      <c r="C693" s="7" t="str">
        <f>"01"</f>
        <v>01</v>
      </c>
      <c r="D693" s="7" t="str">
        <f>"20210112401"</f>
        <v>20210112401</v>
      </c>
      <c r="E693" s="7" t="s">
        <v>690</v>
      </c>
      <c r="F693" s="7">
        <v>49</v>
      </c>
      <c r="G693" s="7">
        <v>76</v>
      </c>
      <c r="H693" s="8">
        <f t="shared" si="32"/>
        <v>57.099999999999994</v>
      </c>
    </row>
    <row r="694" spans="1:8" s="2" customFormat="1">
      <c r="A694" s="7" t="s">
        <v>688</v>
      </c>
      <c r="B694" s="7" t="str">
        <f t="shared" si="34"/>
        <v>24</v>
      </c>
      <c r="C694" s="7" t="str">
        <f>"02"</f>
        <v>02</v>
      </c>
      <c r="D694" s="7" t="str">
        <f>"20210112402"</f>
        <v>20210112402</v>
      </c>
      <c r="E694" s="7" t="s">
        <v>691</v>
      </c>
      <c r="F694" s="7">
        <v>71</v>
      </c>
      <c r="G694" s="7">
        <v>61</v>
      </c>
      <c r="H694" s="8">
        <f t="shared" si="32"/>
        <v>68</v>
      </c>
    </row>
    <row r="695" spans="1:8" s="2" customFormat="1">
      <c r="A695" s="7" t="s">
        <v>688</v>
      </c>
      <c r="B695" s="7" t="str">
        <f t="shared" si="34"/>
        <v>24</v>
      </c>
      <c r="C695" s="7" t="str">
        <f>"03"</f>
        <v>03</v>
      </c>
      <c r="D695" s="7" t="str">
        <f>"20210112403"</f>
        <v>20210112403</v>
      </c>
      <c r="E695" s="7" t="s">
        <v>692</v>
      </c>
      <c r="F695" s="7">
        <v>47.5</v>
      </c>
      <c r="G695" s="7">
        <v>56</v>
      </c>
      <c r="H695" s="8">
        <f t="shared" si="32"/>
        <v>50.05</v>
      </c>
    </row>
    <row r="696" spans="1:8" s="2" customFormat="1">
      <c r="A696" s="7" t="s">
        <v>688</v>
      </c>
      <c r="B696" s="7" t="str">
        <f t="shared" si="34"/>
        <v>24</v>
      </c>
      <c r="C696" s="7" t="str">
        <f>"04"</f>
        <v>04</v>
      </c>
      <c r="D696" s="7" t="str">
        <f>"20210112404"</f>
        <v>20210112404</v>
      </c>
      <c r="E696" s="7" t="s">
        <v>693</v>
      </c>
      <c r="F696" s="7">
        <v>76</v>
      </c>
      <c r="G696" s="7">
        <v>79</v>
      </c>
      <c r="H696" s="8">
        <f t="shared" si="32"/>
        <v>76.899999999999991</v>
      </c>
    </row>
    <row r="697" spans="1:8" s="2" customFormat="1">
      <c r="A697" s="7" t="s">
        <v>688</v>
      </c>
      <c r="B697" s="7" t="str">
        <f t="shared" si="34"/>
        <v>24</v>
      </c>
      <c r="C697" s="7" t="str">
        <f>"05"</f>
        <v>05</v>
      </c>
      <c r="D697" s="7" t="str">
        <f>"20210112405"</f>
        <v>20210112405</v>
      </c>
      <c r="E697" s="7" t="s">
        <v>694</v>
      </c>
      <c r="F697" s="7">
        <v>45</v>
      </c>
      <c r="G697" s="7">
        <v>65</v>
      </c>
      <c r="H697" s="8">
        <f t="shared" si="32"/>
        <v>51</v>
      </c>
    </row>
    <row r="698" spans="1:8" s="2" customFormat="1">
      <c r="A698" s="7" t="s">
        <v>688</v>
      </c>
      <c r="B698" s="7" t="str">
        <f t="shared" si="34"/>
        <v>24</v>
      </c>
      <c r="C698" s="7" t="str">
        <f>"06"</f>
        <v>06</v>
      </c>
      <c r="D698" s="7" t="str">
        <f>"20210112406"</f>
        <v>20210112406</v>
      </c>
      <c r="E698" s="7" t="s">
        <v>695</v>
      </c>
      <c r="F698" s="7">
        <v>54</v>
      </c>
      <c r="G698" s="7">
        <v>59</v>
      </c>
      <c r="H698" s="8">
        <f t="shared" si="32"/>
        <v>55.5</v>
      </c>
    </row>
    <row r="699" spans="1:8" s="2" customFormat="1">
      <c r="A699" s="7" t="s">
        <v>688</v>
      </c>
      <c r="B699" s="7" t="str">
        <f t="shared" si="34"/>
        <v>24</v>
      </c>
      <c r="C699" s="7" t="str">
        <f>"07"</f>
        <v>07</v>
      </c>
      <c r="D699" s="7" t="str">
        <f>"20210112407"</f>
        <v>20210112407</v>
      </c>
      <c r="E699" s="7" t="s">
        <v>696</v>
      </c>
      <c r="F699" s="7">
        <v>61.5</v>
      </c>
      <c r="G699" s="7">
        <v>64</v>
      </c>
      <c r="H699" s="8">
        <f t="shared" si="32"/>
        <v>62.25</v>
      </c>
    </row>
    <row r="700" spans="1:8" s="2" customFormat="1">
      <c r="A700" s="7" t="s">
        <v>688</v>
      </c>
      <c r="B700" s="7" t="str">
        <f t="shared" si="34"/>
        <v>24</v>
      </c>
      <c r="C700" s="7" t="str">
        <f>"08"</f>
        <v>08</v>
      </c>
      <c r="D700" s="7" t="str">
        <f>"20210112408"</f>
        <v>20210112408</v>
      </c>
      <c r="E700" s="7" t="s">
        <v>697</v>
      </c>
      <c r="F700" s="7">
        <v>57</v>
      </c>
      <c r="G700" s="7">
        <v>74</v>
      </c>
      <c r="H700" s="8">
        <f t="shared" si="32"/>
        <v>62.099999999999994</v>
      </c>
    </row>
    <row r="701" spans="1:8" s="2" customFormat="1">
      <c r="A701" s="7" t="s">
        <v>688</v>
      </c>
      <c r="B701" s="7" t="str">
        <f t="shared" si="34"/>
        <v>24</v>
      </c>
      <c r="C701" s="7" t="str">
        <f>"09"</f>
        <v>09</v>
      </c>
      <c r="D701" s="7" t="str">
        <f>"20210112409"</f>
        <v>20210112409</v>
      </c>
      <c r="E701" s="7" t="s">
        <v>698</v>
      </c>
      <c r="F701" s="7">
        <v>57</v>
      </c>
      <c r="G701" s="7">
        <v>52</v>
      </c>
      <c r="H701" s="8">
        <f t="shared" si="32"/>
        <v>55.5</v>
      </c>
    </row>
    <row r="702" spans="1:8" s="2" customFormat="1">
      <c r="A702" s="7" t="s">
        <v>688</v>
      </c>
      <c r="B702" s="7" t="str">
        <f t="shared" si="34"/>
        <v>24</v>
      </c>
      <c r="C702" s="7" t="str">
        <f>"10"</f>
        <v>10</v>
      </c>
      <c r="D702" s="7" t="str">
        <f>"20210112410"</f>
        <v>20210112410</v>
      </c>
      <c r="E702" s="7" t="s">
        <v>699</v>
      </c>
      <c r="F702" s="7">
        <v>78</v>
      </c>
      <c r="G702" s="7">
        <v>80</v>
      </c>
      <c r="H702" s="8">
        <f t="shared" si="32"/>
        <v>78.599999999999994</v>
      </c>
    </row>
    <row r="703" spans="1:8" s="2" customFormat="1">
      <c r="A703" s="7" t="s">
        <v>688</v>
      </c>
      <c r="B703" s="7" t="str">
        <f t="shared" si="34"/>
        <v>24</v>
      </c>
      <c r="C703" s="7" t="str">
        <f>"11"</f>
        <v>11</v>
      </c>
      <c r="D703" s="7" t="str">
        <f>"20210112411"</f>
        <v>20210112411</v>
      </c>
      <c r="E703" s="7" t="s">
        <v>700</v>
      </c>
      <c r="F703" s="7">
        <v>76</v>
      </c>
      <c r="G703" s="7">
        <v>82</v>
      </c>
      <c r="H703" s="8">
        <f t="shared" si="32"/>
        <v>77.8</v>
      </c>
    </row>
    <row r="704" spans="1:8" s="2" customFormat="1">
      <c r="A704" s="7" t="s">
        <v>688</v>
      </c>
      <c r="B704" s="7" t="str">
        <f t="shared" si="34"/>
        <v>24</v>
      </c>
      <c r="C704" s="7" t="str">
        <f>"12"</f>
        <v>12</v>
      </c>
      <c r="D704" s="7" t="str">
        <f>"20210112412"</f>
        <v>20210112412</v>
      </c>
      <c r="E704" s="7" t="s">
        <v>701</v>
      </c>
      <c r="F704" s="7">
        <v>56</v>
      </c>
      <c r="G704" s="7">
        <v>67</v>
      </c>
      <c r="H704" s="8">
        <f t="shared" si="32"/>
        <v>59.3</v>
      </c>
    </row>
    <row r="705" spans="1:8" s="2" customFormat="1">
      <c r="A705" s="7" t="s">
        <v>688</v>
      </c>
      <c r="B705" s="7" t="str">
        <f t="shared" si="34"/>
        <v>24</v>
      </c>
      <c r="C705" s="7" t="str">
        <f>"13"</f>
        <v>13</v>
      </c>
      <c r="D705" s="7" t="str">
        <f>"20210112413"</f>
        <v>20210112413</v>
      </c>
      <c r="E705" s="7" t="s">
        <v>702</v>
      </c>
      <c r="F705" s="7">
        <v>78</v>
      </c>
      <c r="G705" s="7">
        <v>79</v>
      </c>
      <c r="H705" s="8">
        <f t="shared" si="32"/>
        <v>78.3</v>
      </c>
    </row>
    <row r="706" spans="1:8" s="2" customFormat="1">
      <c r="A706" s="7" t="s">
        <v>688</v>
      </c>
      <c r="B706" s="7" t="str">
        <f t="shared" si="34"/>
        <v>24</v>
      </c>
      <c r="C706" s="7" t="str">
        <f>"14"</f>
        <v>14</v>
      </c>
      <c r="D706" s="7" t="str">
        <f>"20210112414"</f>
        <v>20210112414</v>
      </c>
      <c r="E706" s="7" t="s">
        <v>703</v>
      </c>
      <c r="F706" s="7">
        <v>55</v>
      </c>
      <c r="G706" s="7">
        <v>44</v>
      </c>
      <c r="H706" s="8">
        <f t="shared" si="32"/>
        <v>51.7</v>
      </c>
    </row>
    <row r="707" spans="1:8" s="2" customFormat="1">
      <c r="A707" s="7" t="s">
        <v>688</v>
      </c>
      <c r="B707" s="7" t="str">
        <f t="shared" si="34"/>
        <v>24</v>
      </c>
      <c r="C707" s="7" t="str">
        <f>"15"</f>
        <v>15</v>
      </c>
      <c r="D707" s="7" t="str">
        <f>"20210112415"</f>
        <v>20210112415</v>
      </c>
      <c r="E707" s="7" t="s">
        <v>704</v>
      </c>
      <c r="F707" s="7">
        <v>61.5</v>
      </c>
      <c r="G707" s="7">
        <v>81</v>
      </c>
      <c r="H707" s="8">
        <f t="shared" ref="H707:H770" si="35">F707*0.7+G707*0.3</f>
        <v>67.349999999999994</v>
      </c>
    </row>
    <row r="708" spans="1:8" s="2" customFormat="1">
      <c r="A708" s="7" t="s">
        <v>688</v>
      </c>
      <c r="B708" s="7" t="str">
        <f t="shared" si="34"/>
        <v>24</v>
      </c>
      <c r="C708" s="7" t="str">
        <f>"16"</f>
        <v>16</v>
      </c>
      <c r="D708" s="7" t="str">
        <f>"20210112416"</f>
        <v>20210112416</v>
      </c>
      <c r="E708" s="7" t="s">
        <v>705</v>
      </c>
      <c r="F708" s="7">
        <v>62.5</v>
      </c>
      <c r="G708" s="7">
        <v>56</v>
      </c>
      <c r="H708" s="8">
        <f t="shared" si="35"/>
        <v>60.55</v>
      </c>
    </row>
    <row r="709" spans="1:8" s="2" customFormat="1">
      <c r="A709" s="7" t="s">
        <v>688</v>
      </c>
      <c r="B709" s="7" t="str">
        <f t="shared" si="34"/>
        <v>24</v>
      </c>
      <c r="C709" s="7" t="str">
        <f>"17"</f>
        <v>17</v>
      </c>
      <c r="D709" s="7" t="str">
        <f>"20210112417"</f>
        <v>20210112417</v>
      </c>
      <c r="E709" s="7" t="s">
        <v>706</v>
      </c>
      <c r="F709" s="7">
        <v>63</v>
      </c>
      <c r="G709" s="7">
        <v>72</v>
      </c>
      <c r="H709" s="8">
        <f t="shared" si="35"/>
        <v>65.699999999999989</v>
      </c>
    </row>
    <row r="710" spans="1:8" s="2" customFormat="1">
      <c r="A710" s="7" t="s">
        <v>688</v>
      </c>
      <c r="B710" s="7" t="str">
        <f t="shared" si="34"/>
        <v>24</v>
      </c>
      <c r="C710" s="7" t="str">
        <f>"18"</f>
        <v>18</v>
      </c>
      <c r="D710" s="7" t="str">
        <f>"20210112418"</f>
        <v>20210112418</v>
      </c>
      <c r="E710" s="7" t="s">
        <v>707</v>
      </c>
      <c r="F710" s="7">
        <v>64</v>
      </c>
      <c r="G710" s="7">
        <v>81</v>
      </c>
      <c r="H710" s="8">
        <f t="shared" si="35"/>
        <v>69.099999999999994</v>
      </c>
    </row>
    <row r="711" spans="1:8" s="2" customFormat="1">
      <c r="A711" s="7" t="s">
        <v>688</v>
      </c>
      <c r="B711" s="7" t="str">
        <f t="shared" si="34"/>
        <v>24</v>
      </c>
      <c r="C711" s="7" t="str">
        <f>"19"</f>
        <v>19</v>
      </c>
      <c r="D711" s="7" t="str">
        <f>"20210112419"</f>
        <v>20210112419</v>
      </c>
      <c r="E711" s="7" t="s">
        <v>708</v>
      </c>
      <c r="F711" s="7">
        <v>60</v>
      </c>
      <c r="G711" s="7">
        <v>78</v>
      </c>
      <c r="H711" s="8">
        <f t="shared" si="35"/>
        <v>65.400000000000006</v>
      </c>
    </row>
    <row r="712" spans="1:8" s="2" customFormat="1">
      <c r="A712" s="7" t="s">
        <v>688</v>
      </c>
      <c r="B712" s="7" t="str">
        <f t="shared" si="34"/>
        <v>24</v>
      </c>
      <c r="C712" s="7" t="str">
        <f>"20"</f>
        <v>20</v>
      </c>
      <c r="D712" s="7" t="str">
        <f>"20210112420"</f>
        <v>20210112420</v>
      </c>
      <c r="E712" s="7" t="s">
        <v>709</v>
      </c>
      <c r="F712" s="7">
        <v>63</v>
      </c>
      <c r="G712" s="7">
        <v>30</v>
      </c>
      <c r="H712" s="8">
        <f t="shared" si="35"/>
        <v>53.099999999999994</v>
      </c>
    </row>
    <row r="713" spans="1:8" s="2" customFormat="1">
      <c r="A713" s="7" t="s">
        <v>688</v>
      </c>
      <c r="B713" s="7" t="str">
        <f t="shared" si="34"/>
        <v>24</v>
      </c>
      <c r="C713" s="7" t="str">
        <f>"21"</f>
        <v>21</v>
      </c>
      <c r="D713" s="7" t="str">
        <f>"20210112421"</f>
        <v>20210112421</v>
      </c>
      <c r="E713" s="7" t="s">
        <v>710</v>
      </c>
      <c r="F713" s="7">
        <v>69.5</v>
      </c>
      <c r="G713" s="7">
        <v>75</v>
      </c>
      <c r="H713" s="8">
        <f t="shared" si="35"/>
        <v>71.150000000000006</v>
      </c>
    </row>
    <row r="714" spans="1:8" s="2" customFormat="1">
      <c r="A714" s="7" t="s">
        <v>688</v>
      </c>
      <c r="B714" s="7" t="str">
        <f t="shared" si="34"/>
        <v>24</v>
      </c>
      <c r="C714" s="7" t="str">
        <f>"22"</f>
        <v>22</v>
      </c>
      <c r="D714" s="7" t="str">
        <f>"20210112422"</f>
        <v>20210112422</v>
      </c>
      <c r="E714" s="7" t="s">
        <v>711</v>
      </c>
      <c r="F714" s="7">
        <v>78</v>
      </c>
      <c r="G714" s="7">
        <v>84</v>
      </c>
      <c r="H714" s="8">
        <f t="shared" si="35"/>
        <v>79.8</v>
      </c>
    </row>
    <row r="715" spans="1:8" s="2" customFormat="1">
      <c r="A715" s="7" t="s">
        <v>688</v>
      </c>
      <c r="B715" s="7" t="str">
        <f t="shared" si="34"/>
        <v>24</v>
      </c>
      <c r="C715" s="7" t="str">
        <f>"23"</f>
        <v>23</v>
      </c>
      <c r="D715" s="7" t="str">
        <f>"20210112423"</f>
        <v>20210112423</v>
      </c>
      <c r="E715" s="7" t="s">
        <v>712</v>
      </c>
      <c r="F715" s="7">
        <v>40</v>
      </c>
      <c r="G715" s="7">
        <v>42</v>
      </c>
      <c r="H715" s="8">
        <f t="shared" si="35"/>
        <v>40.6</v>
      </c>
    </row>
    <row r="716" spans="1:8" s="2" customFormat="1">
      <c r="A716" s="7" t="s">
        <v>688</v>
      </c>
      <c r="B716" s="7" t="str">
        <f t="shared" si="34"/>
        <v>24</v>
      </c>
      <c r="C716" s="7" t="str">
        <f>"24"</f>
        <v>24</v>
      </c>
      <c r="D716" s="7" t="str">
        <f>"20210112424"</f>
        <v>20210112424</v>
      </c>
      <c r="E716" s="7" t="s">
        <v>713</v>
      </c>
      <c r="F716" s="7">
        <v>70.5</v>
      </c>
      <c r="G716" s="7">
        <v>76</v>
      </c>
      <c r="H716" s="8">
        <f t="shared" si="35"/>
        <v>72.149999999999991</v>
      </c>
    </row>
    <row r="717" spans="1:8" s="2" customFormat="1">
      <c r="A717" s="7" t="s">
        <v>688</v>
      </c>
      <c r="B717" s="7" t="str">
        <f t="shared" si="34"/>
        <v>24</v>
      </c>
      <c r="C717" s="7" t="str">
        <f>"25"</f>
        <v>25</v>
      </c>
      <c r="D717" s="7" t="str">
        <f>"20210112425"</f>
        <v>20210112425</v>
      </c>
      <c r="E717" s="7" t="s">
        <v>714</v>
      </c>
      <c r="F717" s="7">
        <v>71.5</v>
      </c>
      <c r="G717" s="7">
        <v>69</v>
      </c>
      <c r="H717" s="8">
        <f t="shared" si="35"/>
        <v>70.75</v>
      </c>
    </row>
    <row r="718" spans="1:8" s="2" customFormat="1">
      <c r="A718" s="7" t="s">
        <v>688</v>
      </c>
      <c r="B718" s="7" t="str">
        <f t="shared" si="34"/>
        <v>24</v>
      </c>
      <c r="C718" s="7" t="str">
        <f>"26"</f>
        <v>26</v>
      </c>
      <c r="D718" s="7" t="str">
        <f>"20210112426"</f>
        <v>20210112426</v>
      </c>
      <c r="E718" s="7" t="s">
        <v>715</v>
      </c>
      <c r="F718" s="7">
        <v>44.5</v>
      </c>
      <c r="G718" s="7">
        <v>52</v>
      </c>
      <c r="H718" s="8">
        <f t="shared" si="35"/>
        <v>46.75</v>
      </c>
    </row>
    <row r="719" spans="1:8" s="2" customFormat="1">
      <c r="A719" s="7" t="s">
        <v>688</v>
      </c>
      <c r="B719" s="7" t="str">
        <f t="shared" si="34"/>
        <v>24</v>
      </c>
      <c r="C719" s="7" t="str">
        <f>"27"</f>
        <v>27</v>
      </c>
      <c r="D719" s="7" t="str">
        <f>"20210112427"</f>
        <v>20210112427</v>
      </c>
      <c r="E719" s="7" t="s">
        <v>716</v>
      </c>
      <c r="F719" s="7">
        <v>62</v>
      </c>
      <c r="G719" s="7">
        <v>51</v>
      </c>
      <c r="H719" s="8">
        <f t="shared" si="35"/>
        <v>58.699999999999996</v>
      </c>
    </row>
    <row r="720" spans="1:8" s="2" customFormat="1">
      <c r="A720" s="7" t="s">
        <v>688</v>
      </c>
      <c r="B720" s="7" t="str">
        <f t="shared" si="34"/>
        <v>24</v>
      </c>
      <c r="C720" s="7" t="str">
        <f>"28"</f>
        <v>28</v>
      </c>
      <c r="D720" s="7" t="str">
        <f>"20210112428"</f>
        <v>20210112428</v>
      </c>
      <c r="E720" s="7" t="s">
        <v>717</v>
      </c>
      <c r="F720" s="7">
        <v>55</v>
      </c>
      <c r="G720" s="7">
        <v>54</v>
      </c>
      <c r="H720" s="8">
        <f t="shared" si="35"/>
        <v>54.7</v>
      </c>
    </row>
    <row r="721" spans="1:8" s="2" customFormat="1">
      <c r="A721" s="7" t="s">
        <v>688</v>
      </c>
      <c r="B721" s="7" t="str">
        <f t="shared" si="34"/>
        <v>24</v>
      </c>
      <c r="C721" s="7" t="str">
        <f>"29"</f>
        <v>29</v>
      </c>
      <c r="D721" s="7" t="str">
        <f>"20210112429"</f>
        <v>20210112429</v>
      </c>
      <c r="E721" s="7" t="s">
        <v>718</v>
      </c>
      <c r="F721" s="7">
        <v>59</v>
      </c>
      <c r="G721" s="7">
        <v>80</v>
      </c>
      <c r="H721" s="8">
        <f t="shared" si="35"/>
        <v>65.3</v>
      </c>
    </row>
    <row r="722" spans="1:8" s="2" customFormat="1">
      <c r="A722" s="7" t="s">
        <v>688</v>
      </c>
      <c r="B722" s="7" t="str">
        <f t="shared" si="34"/>
        <v>24</v>
      </c>
      <c r="C722" s="7" t="str">
        <f>"30"</f>
        <v>30</v>
      </c>
      <c r="D722" s="7" t="str">
        <f>"20210112430"</f>
        <v>20210112430</v>
      </c>
      <c r="E722" s="7" t="s">
        <v>719</v>
      </c>
      <c r="F722" s="7">
        <v>55</v>
      </c>
      <c r="G722" s="7">
        <v>74</v>
      </c>
      <c r="H722" s="8">
        <f t="shared" si="35"/>
        <v>60.7</v>
      </c>
    </row>
    <row r="723" spans="1:8" s="2" customFormat="1">
      <c r="A723" s="7" t="s">
        <v>688</v>
      </c>
      <c r="B723" s="7" t="str">
        <f t="shared" ref="B723:B752" si="36">"25"</f>
        <v>25</v>
      </c>
      <c r="C723" s="7" t="str">
        <f>"01"</f>
        <v>01</v>
      </c>
      <c r="D723" s="7" t="str">
        <f>"20210112501"</f>
        <v>20210112501</v>
      </c>
      <c r="E723" s="7" t="s">
        <v>720</v>
      </c>
      <c r="F723" s="7">
        <v>39</v>
      </c>
      <c r="G723" s="7">
        <v>56</v>
      </c>
      <c r="H723" s="8">
        <f t="shared" si="35"/>
        <v>44.099999999999994</v>
      </c>
    </row>
    <row r="724" spans="1:8" s="2" customFormat="1">
      <c r="A724" s="7" t="s">
        <v>688</v>
      </c>
      <c r="B724" s="7" t="str">
        <f t="shared" si="36"/>
        <v>25</v>
      </c>
      <c r="C724" s="7" t="str">
        <f>"02"</f>
        <v>02</v>
      </c>
      <c r="D724" s="7" t="str">
        <f>"20210112502"</f>
        <v>20210112502</v>
      </c>
      <c r="E724" s="7" t="s">
        <v>721</v>
      </c>
      <c r="F724" s="7">
        <v>82.5</v>
      </c>
      <c r="G724" s="7">
        <v>88</v>
      </c>
      <c r="H724" s="8">
        <f t="shared" si="35"/>
        <v>84.149999999999991</v>
      </c>
    </row>
    <row r="725" spans="1:8" s="2" customFormat="1">
      <c r="A725" s="7" t="s">
        <v>688</v>
      </c>
      <c r="B725" s="7" t="str">
        <f t="shared" si="36"/>
        <v>25</v>
      </c>
      <c r="C725" s="7" t="str">
        <f>"03"</f>
        <v>03</v>
      </c>
      <c r="D725" s="7" t="str">
        <f>"20210112503"</f>
        <v>20210112503</v>
      </c>
      <c r="E725" s="7" t="s">
        <v>722</v>
      </c>
      <c r="F725" s="7">
        <v>74</v>
      </c>
      <c r="G725" s="7">
        <v>78</v>
      </c>
      <c r="H725" s="8">
        <f t="shared" si="35"/>
        <v>75.199999999999989</v>
      </c>
    </row>
    <row r="726" spans="1:8" s="2" customFormat="1">
      <c r="A726" s="7" t="s">
        <v>688</v>
      </c>
      <c r="B726" s="7" t="str">
        <f t="shared" si="36"/>
        <v>25</v>
      </c>
      <c r="C726" s="7" t="str">
        <f>"04"</f>
        <v>04</v>
      </c>
      <c r="D726" s="7" t="str">
        <f>"20210112504"</f>
        <v>20210112504</v>
      </c>
      <c r="E726" s="7" t="s">
        <v>723</v>
      </c>
      <c r="F726" s="7">
        <v>57</v>
      </c>
      <c r="G726" s="7">
        <v>83</v>
      </c>
      <c r="H726" s="8">
        <f t="shared" si="35"/>
        <v>64.8</v>
      </c>
    </row>
    <row r="727" spans="1:8" s="2" customFormat="1">
      <c r="A727" s="7" t="s">
        <v>688</v>
      </c>
      <c r="B727" s="7" t="str">
        <f t="shared" si="36"/>
        <v>25</v>
      </c>
      <c r="C727" s="7" t="str">
        <f>"05"</f>
        <v>05</v>
      </c>
      <c r="D727" s="7" t="str">
        <f>"20210112505"</f>
        <v>20210112505</v>
      </c>
      <c r="E727" s="7" t="s">
        <v>724</v>
      </c>
      <c r="F727" s="7">
        <v>66</v>
      </c>
      <c r="G727" s="7">
        <v>83</v>
      </c>
      <c r="H727" s="8">
        <f t="shared" si="35"/>
        <v>71.099999999999994</v>
      </c>
    </row>
    <row r="728" spans="1:8" s="2" customFormat="1">
      <c r="A728" s="7" t="s">
        <v>688</v>
      </c>
      <c r="B728" s="7" t="str">
        <f t="shared" si="36"/>
        <v>25</v>
      </c>
      <c r="C728" s="7" t="str">
        <f>"06"</f>
        <v>06</v>
      </c>
      <c r="D728" s="7" t="str">
        <f>"20210112506"</f>
        <v>20210112506</v>
      </c>
      <c r="E728" s="7" t="s">
        <v>725</v>
      </c>
      <c r="F728" s="7">
        <v>54.5</v>
      </c>
      <c r="G728" s="7">
        <v>58</v>
      </c>
      <c r="H728" s="8">
        <f t="shared" si="35"/>
        <v>55.55</v>
      </c>
    </row>
    <row r="729" spans="1:8" s="2" customFormat="1">
      <c r="A729" s="7" t="s">
        <v>688</v>
      </c>
      <c r="B729" s="7" t="str">
        <f t="shared" si="36"/>
        <v>25</v>
      </c>
      <c r="C729" s="7" t="str">
        <f>"07"</f>
        <v>07</v>
      </c>
      <c r="D729" s="7" t="str">
        <f>"20210112507"</f>
        <v>20210112507</v>
      </c>
      <c r="E729" s="7" t="s">
        <v>726</v>
      </c>
      <c r="F729" s="7">
        <v>77</v>
      </c>
      <c r="G729" s="7">
        <v>84</v>
      </c>
      <c r="H729" s="8">
        <f t="shared" si="35"/>
        <v>79.099999999999994</v>
      </c>
    </row>
    <row r="730" spans="1:8" s="2" customFormat="1">
      <c r="A730" s="7" t="s">
        <v>688</v>
      </c>
      <c r="B730" s="7" t="str">
        <f t="shared" si="36"/>
        <v>25</v>
      </c>
      <c r="C730" s="7" t="str">
        <f>"08"</f>
        <v>08</v>
      </c>
      <c r="D730" s="7" t="str">
        <f>"20210112508"</f>
        <v>20210112508</v>
      </c>
      <c r="E730" s="7" t="s">
        <v>727</v>
      </c>
      <c r="F730" s="7">
        <v>72</v>
      </c>
      <c r="G730" s="7">
        <v>89</v>
      </c>
      <c r="H730" s="8">
        <f t="shared" si="35"/>
        <v>77.099999999999994</v>
      </c>
    </row>
    <row r="731" spans="1:8" s="2" customFormat="1">
      <c r="A731" s="7" t="s">
        <v>688</v>
      </c>
      <c r="B731" s="7" t="str">
        <f t="shared" si="36"/>
        <v>25</v>
      </c>
      <c r="C731" s="7" t="str">
        <f>"09"</f>
        <v>09</v>
      </c>
      <c r="D731" s="7" t="str">
        <f>"20210112509"</f>
        <v>20210112509</v>
      </c>
      <c r="E731" s="7" t="s">
        <v>728</v>
      </c>
      <c r="F731" s="7">
        <v>78</v>
      </c>
      <c r="G731" s="7">
        <v>69</v>
      </c>
      <c r="H731" s="8">
        <f t="shared" si="35"/>
        <v>75.3</v>
      </c>
    </row>
    <row r="732" spans="1:8" s="2" customFormat="1">
      <c r="A732" s="7" t="s">
        <v>688</v>
      </c>
      <c r="B732" s="7" t="str">
        <f t="shared" si="36"/>
        <v>25</v>
      </c>
      <c r="C732" s="7" t="str">
        <f>"10"</f>
        <v>10</v>
      </c>
      <c r="D732" s="7" t="str">
        <f>"20210112510"</f>
        <v>20210112510</v>
      </c>
      <c r="E732" s="7" t="s">
        <v>729</v>
      </c>
      <c r="F732" s="7">
        <v>64</v>
      </c>
      <c r="G732" s="7">
        <v>69</v>
      </c>
      <c r="H732" s="8">
        <f t="shared" si="35"/>
        <v>65.5</v>
      </c>
    </row>
    <row r="733" spans="1:8" s="2" customFormat="1">
      <c r="A733" s="7" t="s">
        <v>688</v>
      </c>
      <c r="B733" s="7" t="str">
        <f t="shared" si="36"/>
        <v>25</v>
      </c>
      <c r="C733" s="7" t="str">
        <f>"11"</f>
        <v>11</v>
      </c>
      <c r="D733" s="7" t="str">
        <f>"20210112511"</f>
        <v>20210112511</v>
      </c>
      <c r="E733" s="7" t="s">
        <v>730</v>
      </c>
      <c r="F733" s="7">
        <v>71</v>
      </c>
      <c r="G733" s="7">
        <v>68</v>
      </c>
      <c r="H733" s="8">
        <f t="shared" si="35"/>
        <v>70.099999999999994</v>
      </c>
    </row>
    <row r="734" spans="1:8" s="2" customFormat="1">
      <c r="A734" s="7" t="s">
        <v>688</v>
      </c>
      <c r="B734" s="7" t="str">
        <f t="shared" si="36"/>
        <v>25</v>
      </c>
      <c r="C734" s="7" t="str">
        <f>"12"</f>
        <v>12</v>
      </c>
      <c r="D734" s="7" t="str">
        <f>"20210112512"</f>
        <v>20210112512</v>
      </c>
      <c r="E734" s="7" t="s">
        <v>731</v>
      </c>
      <c r="F734" s="7">
        <v>51</v>
      </c>
      <c r="G734" s="7">
        <v>77</v>
      </c>
      <c r="H734" s="8">
        <f t="shared" si="35"/>
        <v>58.8</v>
      </c>
    </row>
    <row r="735" spans="1:8" s="2" customFormat="1">
      <c r="A735" s="7" t="s">
        <v>688</v>
      </c>
      <c r="B735" s="7" t="str">
        <f t="shared" si="36"/>
        <v>25</v>
      </c>
      <c r="C735" s="7" t="str">
        <f>"13"</f>
        <v>13</v>
      </c>
      <c r="D735" s="7" t="str">
        <f>"20210112513"</f>
        <v>20210112513</v>
      </c>
      <c r="E735" s="7" t="s">
        <v>331</v>
      </c>
      <c r="F735" s="7">
        <v>47</v>
      </c>
      <c r="G735" s="7">
        <v>74</v>
      </c>
      <c r="H735" s="8">
        <f t="shared" si="35"/>
        <v>55.099999999999994</v>
      </c>
    </row>
    <row r="736" spans="1:8" s="2" customFormat="1">
      <c r="A736" s="7" t="s">
        <v>688</v>
      </c>
      <c r="B736" s="7" t="str">
        <f t="shared" si="36"/>
        <v>25</v>
      </c>
      <c r="C736" s="7" t="str">
        <f>"14"</f>
        <v>14</v>
      </c>
      <c r="D736" s="7" t="str">
        <f>"20210112514"</f>
        <v>20210112514</v>
      </c>
      <c r="E736" s="7" t="s">
        <v>732</v>
      </c>
      <c r="F736" s="7">
        <v>59.5</v>
      </c>
      <c r="G736" s="7">
        <v>61</v>
      </c>
      <c r="H736" s="8">
        <f t="shared" si="35"/>
        <v>59.95</v>
      </c>
    </row>
    <row r="737" spans="1:8" s="2" customFormat="1">
      <c r="A737" s="7" t="s">
        <v>688</v>
      </c>
      <c r="B737" s="7" t="str">
        <f t="shared" si="36"/>
        <v>25</v>
      </c>
      <c r="C737" s="7" t="str">
        <f>"15"</f>
        <v>15</v>
      </c>
      <c r="D737" s="7" t="str">
        <f>"20210112515"</f>
        <v>20210112515</v>
      </c>
      <c r="E737" s="7" t="s">
        <v>733</v>
      </c>
      <c r="F737" s="7">
        <v>74</v>
      </c>
      <c r="G737" s="7">
        <v>81</v>
      </c>
      <c r="H737" s="8">
        <f t="shared" si="35"/>
        <v>76.099999999999994</v>
      </c>
    </row>
    <row r="738" spans="1:8" s="2" customFormat="1">
      <c r="A738" s="7" t="s">
        <v>688</v>
      </c>
      <c r="B738" s="7" t="str">
        <f t="shared" si="36"/>
        <v>25</v>
      </c>
      <c r="C738" s="7" t="str">
        <f>"16"</f>
        <v>16</v>
      </c>
      <c r="D738" s="7" t="str">
        <f>"20210112516"</f>
        <v>20210112516</v>
      </c>
      <c r="E738" s="7" t="s">
        <v>734</v>
      </c>
      <c r="F738" s="7">
        <v>60</v>
      </c>
      <c r="G738" s="7">
        <v>70</v>
      </c>
      <c r="H738" s="8">
        <f t="shared" si="35"/>
        <v>63</v>
      </c>
    </row>
    <row r="739" spans="1:8" s="2" customFormat="1">
      <c r="A739" s="7" t="s">
        <v>688</v>
      </c>
      <c r="B739" s="7" t="str">
        <f t="shared" si="36"/>
        <v>25</v>
      </c>
      <c r="C739" s="7" t="str">
        <f>"17"</f>
        <v>17</v>
      </c>
      <c r="D739" s="7" t="str">
        <f>"20210112517"</f>
        <v>20210112517</v>
      </c>
      <c r="E739" s="7" t="s">
        <v>735</v>
      </c>
      <c r="F739" s="7">
        <v>74</v>
      </c>
      <c r="G739" s="7">
        <v>82</v>
      </c>
      <c r="H739" s="8">
        <f t="shared" si="35"/>
        <v>76.399999999999991</v>
      </c>
    </row>
    <row r="740" spans="1:8" s="2" customFormat="1">
      <c r="A740" s="7" t="s">
        <v>688</v>
      </c>
      <c r="B740" s="7" t="str">
        <f t="shared" si="36"/>
        <v>25</v>
      </c>
      <c r="C740" s="7" t="str">
        <f>"18"</f>
        <v>18</v>
      </c>
      <c r="D740" s="7" t="str">
        <f>"20210112518"</f>
        <v>20210112518</v>
      </c>
      <c r="E740" s="7" t="s">
        <v>736</v>
      </c>
      <c r="F740" s="7">
        <v>78</v>
      </c>
      <c r="G740" s="7">
        <v>88</v>
      </c>
      <c r="H740" s="8">
        <f t="shared" si="35"/>
        <v>81</v>
      </c>
    </row>
    <row r="741" spans="1:8" s="2" customFormat="1">
      <c r="A741" s="7" t="s">
        <v>688</v>
      </c>
      <c r="B741" s="7" t="str">
        <f t="shared" si="36"/>
        <v>25</v>
      </c>
      <c r="C741" s="7" t="str">
        <f>"19"</f>
        <v>19</v>
      </c>
      <c r="D741" s="7" t="str">
        <f>"20210112519"</f>
        <v>20210112519</v>
      </c>
      <c r="E741" s="7" t="s">
        <v>737</v>
      </c>
      <c r="F741" s="7">
        <v>77</v>
      </c>
      <c r="G741" s="7">
        <v>76</v>
      </c>
      <c r="H741" s="8">
        <f t="shared" si="35"/>
        <v>76.7</v>
      </c>
    </row>
    <row r="742" spans="1:8" s="2" customFormat="1">
      <c r="A742" s="7" t="s">
        <v>688</v>
      </c>
      <c r="B742" s="7" t="str">
        <f t="shared" si="36"/>
        <v>25</v>
      </c>
      <c r="C742" s="7" t="str">
        <f>"20"</f>
        <v>20</v>
      </c>
      <c r="D742" s="7" t="str">
        <f>"20210112520"</f>
        <v>20210112520</v>
      </c>
      <c r="E742" s="7" t="s">
        <v>738</v>
      </c>
      <c r="F742" s="7">
        <v>53</v>
      </c>
      <c r="G742" s="7">
        <v>85</v>
      </c>
      <c r="H742" s="8">
        <f t="shared" si="35"/>
        <v>62.599999999999994</v>
      </c>
    </row>
    <row r="743" spans="1:8" s="2" customFormat="1">
      <c r="A743" s="7" t="s">
        <v>688</v>
      </c>
      <c r="B743" s="7" t="str">
        <f t="shared" si="36"/>
        <v>25</v>
      </c>
      <c r="C743" s="7" t="str">
        <f>"21"</f>
        <v>21</v>
      </c>
      <c r="D743" s="7" t="str">
        <f>"20210112521"</f>
        <v>20210112521</v>
      </c>
      <c r="E743" s="7" t="s">
        <v>739</v>
      </c>
      <c r="F743" s="7">
        <v>69</v>
      </c>
      <c r="G743" s="7">
        <v>72</v>
      </c>
      <c r="H743" s="8">
        <f t="shared" si="35"/>
        <v>69.899999999999991</v>
      </c>
    </row>
    <row r="744" spans="1:8" s="2" customFormat="1">
      <c r="A744" s="7" t="s">
        <v>688</v>
      </c>
      <c r="B744" s="7" t="str">
        <f t="shared" si="36"/>
        <v>25</v>
      </c>
      <c r="C744" s="7" t="str">
        <f>"22"</f>
        <v>22</v>
      </c>
      <c r="D744" s="7" t="str">
        <f>"20210112522"</f>
        <v>20210112522</v>
      </c>
      <c r="E744" s="7" t="s">
        <v>740</v>
      </c>
      <c r="F744" s="7">
        <v>64</v>
      </c>
      <c r="G744" s="7">
        <v>67</v>
      </c>
      <c r="H744" s="8">
        <f t="shared" si="35"/>
        <v>64.899999999999991</v>
      </c>
    </row>
    <row r="745" spans="1:8" s="2" customFormat="1">
      <c r="A745" s="7" t="s">
        <v>688</v>
      </c>
      <c r="B745" s="7" t="str">
        <f t="shared" si="36"/>
        <v>25</v>
      </c>
      <c r="C745" s="7" t="str">
        <f>"23"</f>
        <v>23</v>
      </c>
      <c r="D745" s="7" t="str">
        <f>"20210112523"</f>
        <v>20210112523</v>
      </c>
      <c r="E745" s="7" t="s">
        <v>741</v>
      </c>
      <c r="F745" s="7">
        <v>58</v>
      </c>
      <c r="G745" s="7">
        <v>67</v>
      </c>
      <c r="H745" s="8">
        <f t="shared" si="35"/>
        <v>60.699999999999989</v>
      </c>
    </row>
    <row r="746" spans="1:8" s="2" customFormat="1">
      <c r="A746" s="7" t="s">
        <v>688</v>
      </c>
      <c r="B746" s="7" t="str">
        <f t="shared" si="36"/>
        <v>25</v>
      </c>
      <c r="C746" s="7" t="str">
        <f>"24"</f>
        <v>24</v>
      </c>
      <c r="D746" s="7" t="str">
        <f>"20210112524"</f>
        <v>20210112524</v>
      </c>
      <c r="E746" s="7" t="s">
        <v>742</v>
      </c>
      <c r="F746" s="7">
        <v>0</v>
      </c>
      <c r="G746" s="7">
        <v>0</v>
      </c>
      <c r="H746" s="8">
        <f t="shared" si="35"/>
        <v>0</v>
      </c>
    </row>
    <row r="747" spans="1:8" s="2" customFormat="1">
      <c r="A747" s="7" t="s">
        <v>688</v>
      </c>
      <c r="B747" s="7" t="str">
        <f t="shared" si="36"/>
        <v>25</v>
      </c>
      <c r="C747" s="7" t="str">
        <f>"25"</f>
        <v>25</v>
      </c>
      <c r="D747" s="7" t="str">
        <f>"20210112525"</f>
        <v>20210112525</v>
      </c>
      <c r="E747" s="7" t="s">
        <v>743</v>
      </c>
      <c r="F747" s="7">
        <v>62.5</v>
      </c>
      <c r="G747" s="7">
        <v>56</v>
      </c>
      <c r="H747" s="8">
        <f t="shared" si="35"/>
        <v>60.55</v>
      </c>
    </row>
    <row r="748" spans="1:8" s="2" customFormat="1">
      <c r="A748" s="7" t="s">
        <v>688</v>
      </c>
      <c r="B748" s="7" t="str">
        <f t="shared" si="36"/>
        <v>25</v>
      </c>
      <c r="C748" s="7" t="str">
        <f>"26"</f>
        <v>26</v>
      </c>
      <c r="D748" s="7" t="str">
        <f>"20210112526"</f>
        <v>20210112526</v>
      </c>
      <c r="E748" s="7" t="s">
        <v>744</v>
      </c>
      <c r="F748" s="7">
        <v>78</v>
      </c>
      <c r="G748" s="7">
        <v>88</v>
      </c>
      <c r="H748" s="8">
        <f t="shared" si="35"/>
        <v>81</v>
      </c>
    </row>
    <row r="749" spans="1:8" s="2" customFormat="1">
      <c r="A749" s="7" t="s">
        <v>688</v>
      </c>
      <c r="B749" s="7" t="str">
        <f t="shared" si="36"/>
        <v>25</v>
      </c>
      <c r="C749" s="7" t="str">
        <f>"27"</f>
        <v>27</v>
      </c>
      <c r="D749" s="7" t="str">
        <f>"20210112527"</f>
        <v>20210112527</v>
      </c>
      <c r="E749" s="7" t="s">
        <v>745</v>
      </c>
      <c r="F749" s="7">
        <v>42</v>
      </c>
      <c r="G749" s="7">
        <v>43</v>
      </c>
      <c r="H749" s="8">
        <f t="shared" si="35"/>
        <v>42.3</v>
      </c>
    </row>
    <row r="750" spans="1:8" s="2" customFormat="1">
      <c r="A750" s="7" t="s">
        <v>688</v>
      </c>
      <c r="B750" s="7" t="str">
        <f t="shared" si="36"/>
        <v>25</v>
      </c>
      <c r="C750" s="7" t="str">
        <f>"28"</f>
        <v>28</v>
      </c>
      <c r="D750" s="7" t="str">
        <f>"20210112528"</f>
        <v>20210112528</v>
      </c>
      <c r="E750" s="7" t="s">
        <v>746</v>
      </c>
      <c r="F750" s="7">
        <v>0</v>
      </c>
      <c r="G750" s="7">
        <v>0</v>
      </c>
      <c r="H750" s="8">
        <f t="shared" si="35"/>
        <v>0</v>
      </c>
    </row>
    <row r="751" spans="1:8" s="2" customFormat="1">
      <c r="A751" s="7" t="s">
        <v>688</v>
      </c>
      <c r="B751" s="7" t="str">
        <f t="shared" si="36"/>
        <v>25</v>
      </c>
      <c r="C751" s="7" t="str">
        <f>"29"</f>
        <v>29</v>
      </c>
      <c r="D751" s="7" t="str">
        <f>"20210112529"</f>
        <v>20210112529</v>
      </c>
      <c r="E751" s="7" t="s">
        <v>747</v>
      </c>
      <c r="F751" s="7">
        <v>57.5</v>
      </c>
      <c r="G751" s="7">
        <v>51</v>
      </c>
      <c r="H751" s="8">
        <f t="shared" si="35"/>
        <v>55.55</v>
      </c>
    </row>
    <row r="752" spans="1:8" s="2" customFormat="1">
      <c r="A752" s="7" t="s">
        <v>688</v>
      </c>
      <c r="B752" s="7" t="str">
        <f t="shared" si="36"/>
        <v>25</v>
      </c>
      <c r="C752" s="7" t="str">
        <f>"30"</f>
        <v>30</v>
      </c>
      <c r="D752" s="7" t="str">
        <f>"20210112530"</f>
        <v>20210112530</v>
      </c>
      <c r="E752" s="7" t="s">
        <v>748</v>
      </c>
      <c r="F752" s="7">
        <v>51</v>
      </c>
      <c r="G752" s="7">
        <v>52</v>
      </c>
      <c r="H752" s="8">
        <f t="shared" si="35"/>
        <v>51.3</v>
      </c>
    </row>
    <row r="753" spans="1:8" s="2" customFormat="1">
      <c r="A753" s="7" t="s">
        <v>688</v>
      </c>
      <c r="B753" s="7" t="str">
        <f t="shared" ref="B753:B782" si="37">"26"</f>
        <v>26</v>
      </c>
      <c r="C753" s="7" t="str">
        <f>"01"</f>
        <v>01</v>
      </c>
      <c r="D753" s="7" t="str">
        <f>"20210112601"</f>
        <v>20210112601</v>
      </c>
      <c r="E753" s="7" t="s">
        <v>749</v>
      </c>
      <c r="F753" s="7">
        <v>59</v>
      </c>
      <c r="G753" s="7">
        <v>73</v>
      </c>
      <c r="H753" s="8">
        <f t="shared" si="35"/>
        <v>63.199999999999996</v>
      </c>
    </row>
    <row r="754" spans="1:8" s="2" customFormat="1">
      <c r="A754" s="7" t="s">
        <v>688</v>
      </c>
      <c r="B754" s="7" t="str">
        <f t="shared" si="37"/>
        <v>26</v>
      </c>
      <c r="C754" s="7" t="str">
        <f>"02"</f>
        <v>02</v>
      </c>
      <c r="D754" s="7" t="str">
        <f>"20210112602"</f>
        <v>20210112602</v>
      </c>
      <c r="E754" s="7" t="s">
        <v>750</v>
      </c>
      <c r="F754" s="7">
        <v>61</v>
      </c>
      <c r="G754" s="7">
        <v>57</v>
      </c>
      <c r="H754" s="8">
        <f t="shared" si="35"/>
        <v>59.8</v>
      </c>
    </row>
    <row r="755" spans="1:8" s="2" customFormat="1">
      <c r="A755" s="7" t="s">
        <v>688</v>
      </c>
      <c r="B755" s="7" t="str">
        <f t="shared" si="37"/>
        <v>26</v>
      </c>
      <c r="C755" s="7" t="str">
        <f>"03"</f>
        <v>03</v>
      </c>
      <c r="D755" s="7" t="str">
        <f>"20210112603"</f>
        <v>20210112603</v>
      </c>
      <c r="E755" s="7" t="s">
        <v>751</v>
      </c>
      <c r="F755" s="7">
        <v>72</v>
      </c>
      <c r="G755" s="7">
        <v>82</v>
      </c>
      <c r="H755" s="8">
        <f t="shared" si="35"/>
        <v>75</v>
      </c>
    </row>
    <row r="756" spans="1:8" s="2" customFormat="1">
      <c r="A756" s="7" t="s">
        <v>688</v>
      </c>
      <c r="B756" s="7" t="str">
        <f t="shared" si="37"/>
        <v>26</v>
      </c>
      <c r="C756" s="7" t="str">
        <f>"04"</f>
        <v>04</v>
      </c>
      <c r="D756" s="7" t="str">
        <f>"20210112604"</f>
        <v>20210112604</v>
      </c>
      <c r="E756" s="7" t="s">
        <v>752</v>
      </c>
      <c r="F756" s="7">
        <v>0</v>
      </c>
      <c r="G756" s="7">
        <v>0</v>
      </c>
      <c r="H756" s="8">
        <f t="shared" si="35"/>
        <v>0</v>
      </c>
    </row>
    <row r="757" spans="1:8" s="2" customFormat="1">
      <c r="A757" s="7" t="s">
        <v>688</v>
      </c>
      <c r="B757" s="7" t="str">
        <f t="shared" si="37"/>
        <v>26</v>
      </c>
      <c r="C757" s="7" t="str">
        <f>"05"</f>
        <v>05</v>
      </c>
      <c r="D757" s="7" t="str">
        <f>"20210112605"</f>
        <v>20210112605</v>
      </c>
      <c r="E757" s="7" t="s">
        <v>753</v>
      </c>
      <c r="F757" s="7">
        <v>33</v>
      </c>
      <c r="G757" s="7">
        <v>39</v>
      </c>
      <c r="H757" s="8">
        <f t="shared" si="35"/>
        <v>34.799999999999997</v>
      </c>
    </row>
    <row r="758" spans="1:8" s="2" customFormat="1">
      <c r="A758" s="7" t="s">
        <v>688</v>
      </c>
      <c r="B758" s="7" t="str">
        <f t="shared" si="37"/>
        <v>26</v>
      </c>
      <c r="C758" s="7" t="str">
        <f>"06"</f>
        <v>06</v>
      </c>
      <c r="D758" s="7" t="str">
        <f>"20210112606"</f>
        <v>20210112606</v>
      </c>
      <c r="E758" s="7" t="s">
        <v>754</v>
      </c>
      <c r="F758" s="7">
        <v>73</v>
      </c>
      <c r="G758" s="7">
        <v>74</v>
      </c>
      <c r="H758" s="8">
        <f t="shared" si="35"/>
        <v>73.3</v>
      </c>
    </row>
    <row r="759" spans="1:8" s="2" customFormat="1">
      <c r="A759" s="7" t="s">
        <v>688</v>
      </c>
      <c r="B759" s="7" t="str">
        <f t="shared" si="37"/>
        <v>26</v>
      </c>
      <c r="C759" s="7" t="str">
        <f>"07"</f>
        <v>07</v>
      </c>
      <c r="D759" s="7" t="str">
        <f>"20210112607"</f>
        <v>20210112607</v>
      </c>
      <c r="E759" s="7" t="s">
        <v>755</v>
      </c>
      <c r="F759" s="7">
        <v>68</v>
      </c>
      <c r="G759" s="7">
        <v>73</v>
      </c>
      <c r="H759" s="8">
        <f t="shared" si="35"/>
        <v>69.5</v>
      </c>
    </row>
    <row r="760" spans="1:8" s="2" customFormat="1">
      <c r="A760" s="7" t="s">
        <v>688</v>
      </c>
      <c r="B760" s="7" t="str">
        <f t="shared" si="37"/>
        <v>26</v>
      </c>
      <c r="C760" s="7" t="str">
        <f>"08"</f>
        <v>08</v>
      </c>
      <c r="D760" s="7" t="str">
        <f>"20210112608"</f>
        <v>20210112608</v>
      </c>
      <c r="E760" s="7" t="s">
        <v>756</v>
      </c>
      <c r="F760" s="7">
        <v>0</v>
      </c>
      <c r="G760" s="7">
        <v>0</v>
      </c>
      <c r="H760" s="8">
        <f t="shared" si="35"/>
        <v>0</v>
      </c>
    </row>
    <row r="761" spans="1:8" s="2" customFormat="1">
      <c r="A761" s="7" t="s">
        <v>688</v>
      </c>
      <c r="B761" s="7" t="str">
        <f t="shared" si="37"/>
        <v>26</v>
      </c>
      <c r="C761" s="7" t="str">
        <f>"09"</f>
        <v>09</v>
      </c>
      <c r="D761" s="7" t="str">
        <f>"20210112609"</f>
        <v>20210112609</v>
      </c>
      <c r="E761" s="7" t="s">
        <v>757</v>
      </c>
      <c r="F761" s="7">
        <v>56</v>
      </c>
      <c r="G761" s="7">
        <v>67</v>
      </c>
      <c r="H761" s="8">
        <f t="shared" si="35"/>
        <v>59.3</v>
      </c>
    </row>
    <row r="762" spans="1:8" s="2" customFormat="1">
      <c r="A762" s="7" t="s">
        <v>758</v>
      </c>
      <c r="B762" s="7" t="str">
        <f t="shared" si="37"/>
        <v>26</v>
      </c>
      <c r="C762" s="7" t="str">
        <f>"10"</f>
        <v>10</v>
      </c>
      <c r="D762" s="7" t="str">
        <f>"20210122610"</f>
        <v>20210122610</v>
      </c>
      <c r="E762" s="7" t="s">
        <v>759</v>
      </c>
      <c r="F762" s="7">
        <v>63</v>
      </c>
      <c r="G762" s="7">
        <v>64</v>
      </c>
      <c r="H762" s="8">
        <f t="shared" si="35"/>
        <v>63.3</v>
      </c>
    </row>
    <row r="763" spans="1:8" s="2" customFormat="1">
      <c r="A763" s="7" t="s">
        <v>758</v>
      </c>
      <c r="B763" s="7" t="str">
        <f t="shared" si="37"/>
        <v>26</v>
      </c>
      <c r="C763" s="7" t="str">
        <f>"11"</f>
        <v>11</v>
      </c>
      <c r="D763" s="7" t="str">
        <f>"20210122611"</f>
        <v>20210122611</v>
      </c>
      <c r="E763" s="7" t="s">
        <v>760</v>
      </c>
      <c r="F763" s="7">
        <v>52</v>
      </c>
      <c r="G763" s="7">
        <v>74</v>
      </c>
      <c r="H763" s="8">
        <f t="shared" si="35"/>
        <v>58.599999999999994</v>
      </c>
    </row>
    <row r="764" spans="1:8" s="2" customFormat="1">
      <c r="A764" s="7" t="s">
        <v>758</v>
      </c>
      <c r="B764" s="7" t="str">
        <f t="shared" si="37"/>
        <v>26</v>
      </c>
      <c r="C764" s="7" t="str">
        <f>"12"</f>
        <v>12</v>
      </c>
      <c r="D764" s="7" t="str">
        <f>"20210122612"</f>
        <v>20210122612</v>
      </c>
      <c r="E764" s="7" t="s">
        <v>761</v>
      </c>
      <c r="F764" s="7">
        <v>66</v>
      </c>
      <c r="G764" s="7">
        <v>78</v>
      </c>
      <c r="H764" s="8">
        <f t="shared" si="35"/>
        <v>69.599999999999994</v>
      </c>
    </row>
    <row r="765" spans="1:8" s="2" customFormat="1">
      <c r="A765" s="7" t="s">
        <v>758</v>
      </c>
      <c r="B765" s="7" t="str">
        <f t="shared" si="37"/>
        <v>26</v>
      </c>
      <c r="C765" s="7" t="str">
        <f>"13"</f>
        <v>13</v>
      </c>
      <c r="D765" s="7" t="str">
        <f>"20210122613"</f>
        <v>20210122613</v>
      </c>
      <c r="E765" s="7" t="s">
        <v>762</v>
      </c>
      <c r="F765" s="7">
        <v>68</v>
      </c>
      <c r="G765" s="7">
        <v>83</v>
      </c>
      <c r="H765" s="8">
        <f t="shared" si="35"/>
        <v>72.5</v>
      </c>
    </row>
    <row r="766" spans="1:8" s="2" customFormat="1">
      <c r="A766" s="7" t="s">
        <v>758</v>
      </c>
      <c r="B766" s="7" t="str">
        <f t="shared" si="37"/>
        <v>26</v>
      </c>
      <c r="C766" s="7" t="str">
        <f>"14"</f>
        <v>14</v>
      </c>
      <c r="D766" s="7" t="str">
        <f>"20210122614"</f>
        <v>20210122614</v>
      </c>
      <c r="E766" s="7" t="s">
        <v>763</v>
      </c>
      <c r="F766" s="7">
        <v>56</v>
      </c>
      <c r="G766" s="7">
        <v>62</v>
      </c>
      <c r="H766" s="8">
        <f t="shared" si="35"/>
        <v>57.8</v>
      </c>
    </row>
    <row r="767" spans="1:8" s="2" customFormat="1">
      <c r="A767" s="7" t="s">
        <v>758</v>
      </c>
      <c r="B767" s="7" t="str">
        <f t="shared" si="37"/>
        <v>26</v>
      </c>
      <c r="C767" s="7" t="str">
        <f>"15"</f>
        <v>15</v>
      </c>
      <c r="D767" s="7" t="str">
        <f>"20210122615"</f>
        <v>20210122615</v>
      </c>
      <c r="E767" s="7" t="s">
        <v>764</v>
      </c>
      <c r="F767" s="7">
        <v>61</v>
      </c>
      <c r="G767" s="7">
        <v>63</v>
      </c>
      <c r="H767" s="8">
        <f t="shared" si="35"/>
        <v>61.599999999999994</v>
      </c>
    </row>
    <row r="768" spans="1:8" s="2" customFormat="1">
      <c r="A768" s="7" t="s">
        <v>758</v>
      </c>
      <c r="B768" s="7" t="str">
        <f t="shared" si="37"/>
        <v>26</v>
      </c>
      <c r="C768" s="7" t="str">
        <f>"16"</f>
        <v>16</v>
      </c>
      <c r="D768" s="7" t="str">
        <f>"20210122616"</f>
        <v>20210122616</v>
      </c>
      <c r="E768" s="7" t="s">
        <v>765</v>
      </c>
      <c r="F768" s="7">
        <v>56</v>
      </c>
      <c r="G768" s="7">
        <v>75</v>
      </c>
      <c r="H768" s="8">
        <f t="shared" si="35"/>
        <v>61.699999999999996</v>
      </c>
    </row>
    <row r="769" spans="1:8" s="2" customFormat="1">
      <c r="A769" s="7" t="s">
        <v>758</v>
      </c>
      <c r="B769" s="7" t="str">
        <f t="shared" si="37"/>
        <v>26</v>
      </c>
      <c r="C769" s="7" t="str">
        <f>"17"</f>
        <v>17</v>
      </c>
      <c r="D769" s="7" t="str">
        <f>"20210122617"</f>
        <v>20210122617</v>
      </c>
      <c r="E769" s="7" t="s">
        <v>766</v>
      </c>
      <c r="F769" s="7">
        <v>59.5</v>
      </c>
      <c r="G769" s="7">
        <v>75</v>
      </c>
      <c r="H769" s="8">
        <f t="shared" si="35"/>
        <v>64.150000000000006</v>
      </c>
    </row>
    <row r="770" spans="1:8" s="2" customFormat="1">
      <c r="A770" s="7" t="s">
        <v>758</v>
      </c>
      <c r="B770" s="7" t="str">
        <f t="shared" si="37"/>
        <v>26</v>
      </c>
      <c r="C770" s="7" t="str">
        <f>"18"</f>
        <v>18</v>
      </c>
      <c r="D770" s="7" t="str">
        <f>"20210122618"</f>
        <v>20210122618</v>
      </c>
      <c r="E770" s="7" t="s">
        <v>767</v>
      </c>
      <c r="F770" s="7">
        <v>52</v>
      </c>
      <c r="G770" s="7">
        <v>50</v>
      </c>
      <c r="H770" s="8">
        <f t="shared" si="35"/>
        <v>51.4</v>
      </c>
    </row>
    <row r="771" spans="1:8" s="2" customFormat="1">
      <c r="A771" s="7" t="s">
        <v>758</v>
      </c>
      <c r="B771" s="7" t="str">
        <f t="shared" si="37"/>
        <v>26</v>
      </c>
      <c r="C771" s="7" t="str">
        <f>"19"</f>
        <v>19</v>
      </c>
      <c r="D771" s="7" t="str">
        <f>"20210122619"</f>
        <v>20210122619</v>
      </c>
      <c r="E771" s="7" t="s">
        <v>768</v>
      </c>
      <c r="F771" s="7">
        <v>37</v>
      </c>
      <c r="G771" s="7">
        <v>45</v>
      </c>
      <c r="H771" s="8">
        <f t="shared" ref="H771:H834" si="38">F771*0.7+G771*0.3</f>
        <v>39.4</v>
      </c>
    </row>
    <row r="772" spans="1:8" s="2" customFormat="1">
      <c r="A772" s="7" t="s">
        <v>758</v>
      </c>
      <c r="B772" s="7" t="str">
        <f t="shared" si="37"/>
        <v>26</v>
      </c>
      <c r="C772" s="7" t="str">
        <f>"20"</f>
        <v>20</v>
      </c>
      <c r="D772" s="7" t="str">
        <f>"20210122620"</f>
        <v>20210122620</v>
      </c>
      <c r="E772" s="7" t="s">
        <v>769</v>
      </c>
      <c r="F772" s="7">
        <v>0</v>
      </c>
      <c r="G772" s="7">
        <v>0</v>
      </c>
      <c r="H772" s="8">
        <f t="shared" si="38"/>
        <v>0</v>
      </c>
    </row>
    <row r="773" spans="1:8" s="2" customFormat="1">
      <c r="A773" s="7" t="s">
        <v>758</v>
      </c>
      <c r="B773" s="7" t="str">
        <f t="shared" si="37"/>
        <v>26</v>
      </c>
      <c r="C773" s="7" t="str">
        <f>"21"</f>
        <v>21</v>
      </c>
      <c r="D773" s="7" t="str">
        <f>"20210122621"</f>
        <v>20210122621</v>
      </c>
      <c r="E773" s="7" t="s">
        <v>770</v>
      </c>
      <c r="F773" s="7">
        <v>46</v>
      </c>
      <c r="G773" s="7">
        <v>68</v>
      </c>
      <c r="H773" s="8">
        <f t="shared" si="38"/>
        <v>52.599999999999994</v>
      </c>
    </row>
    <row r="774" spans="1:8" s="2" customFormat="1">
      <c r="A774" s="7" t="s">
        <v>758</v>
      </c>
      <c r="B774" s="7" t="str">
        <f t="shared" si="37"/>
        <v>26</v>
      </c>
      <c r="C774" s="7" t="str">
        <f>"22"</f>
        <v>22</v>
      </c>
      <c r="D774" s="7" t="str">
        <f>"20210122622"</f>
        <v>20210122622</v>
      </c>
      <c r="E774" s="7" t="s">
        <v>771</v>
      </c>
      <c r="F774" s="7">
        <v>60</v>
      </c>
      <c r="G774" s="7">
        <v>61</v>
      </c>
      <c r="H774" s="8">
        <f t="shared" si="38"/>
        <v>60.3</v>
      </c>
    </row>
    <row r="775" spans="1:8" s="2" customFormat="1">
      <c r="A775" s="7" t="s">
        <v>758</v>
      </c>
      <c r="B775" s="7" t="str">
        <f t="shared" si="37"/>
        <v>26</v>
      </c>
      <c r="C775" s="7" t="str">
        <f>"23"</f>
        <v>23</v>
      </c>
      <c r="D775" s="7" t="str">
        <f>"20210122623"</f>
        <v>20210122623</v>
      </c>
      <c r="E775" s="7" t="s">
        <v>772</v>
      </c>
      <c r="F775" s="7">
        <v>47</v>
      </c>
      <c r="G775" s="7">
        <v>67</v>
      </c>
      <c r="H775" s="8">
        <f t="shared" si="38"/>
        <v>53</v>
      </c>
    </row>
    <row r="776" spans="1:8" s="2" customFormat="1">
      <c r="A776" s="7" t="s">
        <v>758</v>
      </c>
      <c r="B776" s="7" t="str">
        <f t="shared" si="37"/>
        <v>26</v>
      </c>
      <c r="C776" s="7" t="str">
        <f>"24"</f>
        <v>24</v>
      </c>
      <c r="D776" s="7" t="str">
        <f>"20210122624"</f>
        <v>20210122624</v>
      </c>
      <c r="E776" s="7" t="s">
        <v>773</v>
      </c>
      <c r="F776" s="7">
        <v>50.5</v>
      </c>
      <c r="G776" s="7">
        <v>55</v>
      </c>
      <c r="H776" s="8">
        <f t="shared" si="38"/>
        <v>51.849999999999994</v>
      </c>
    </row>
    <row r="777" spans="1:8" s="2" customFormat="1">
      <c r="A777" s="7" t="s">
        <v>758</v>
      </c>
      <c r="B777" s="7" t="str">
        <f t="shared" si="37"/>
        <v>26</v>
      </c>
      <c r="C777" s="7" t="str">
        <f>"25"</f>
        <v>25</v>
      </c>
      <c r="D777" s="7" t="str">
        <f>"20210122625"</f>
        <v>20210122625</v>
      </c>
      <c r="E777" s="7" t="s">
        <v>774</v>
      </c>
      <c r="F777" s="7">
        <v>61</v>
      </c>
      <c r="G777" s="7">
        <v>54</v>
      </c>
      <c r="H777" s="8">
        <f t="shared" si="38"/>
        <v>58.899999999999991</v>
      </c>
    </row>
    <row r="778" spans="1:8" s="2" customFormat="1">
      <c r="A778" s="7" t="s">
        <v>758</v>
      </c>
      <c r="B778" s="7" t="str">
        <f t="shared" si="37"/>
        <v>26</v>
      </c>
      <c r="C778" s="7" t="str">
        <f>"26"</f>
        <v>26</v>
      </c>
      <c r="D778" s="7" t="str">
        <f>"20210122626"</f>
        <v>20210122626</v>
      </c>
      <c r="E778" s="7" t="s">
        <v>775</v>
      </c>
      <c r="F778" s="7">
        <v>52</v>
      </c>
      <c r="G778" s="7">
        <v>64</v>
      </c>
      <c r="H778" s="8">
        <f t="shared" si="38"/>
        <v>55.599999999999994</v>
      </c>
    </row>
    <row r="779" spans="1:8" s="2" customFormat="1">
      <c r="A779" s="7" t="s">
        <v>758</v>
      </c>
      <c r="B779" s="7" t="str">
        <f t="shared" si="37"/>
        <v>26</v>
      </c>
      <c r="C779" s="7" t="str">
        <f>"27"</f>
        <v>27</v>
      </c>
      <c r="D779" s="7" t="str">
        <f>"20210122627"</f>
        <v>20210122627</v>
      </c>
      <c r="E779" s="7" t="s">
        <v>776</v>
      </c>
      <c r="F779" s="7">
        <v>46</v>
      </c>
      <c r="G779" s="7">
        <v>38</v>
      </c>
      <c r="H779" s="8">
        <f t="shared" si="38"/>
        <v>43.599999999999994</v>
      </c>
    </row>
    <row r="780" spans="1:8" s="2" customFormat="1">
      <c r="A780" s="7" t="s">
        <v>758</v>
      </c>
      <c r="B780" s="7" t="str">
        <f t="shared" si="37"/>
        <v>26</v>
      </c>
      <c r="C780" s="7" t="str">
        <f>"28"</f>
        <v>28</v>
      </c>
      <c r="D780" s="7" t="str">
        <f>"20210122628"</f>
        <v>20210122628</v>
      </c>
      <c r="E780" s="7" t="s">
        <v>777</v>
      </c>
      <c r="F780" s="7">
        <v>52</v>
      </c>
      <c r="G780" s="7">
        <v>65</v>
      </c>
      <c r="H780" s="8">
        <f t="shared" si="38"/>
        <v>55.9</v>
      </c>
    </row>
    <row r="781" spans="1:8" s="2" customFormat="1">
      <c r="A781" s="7" t="s">
        <v>758</v>
      </c>
      <c r="B781" s="7" t="str">
        <f t="shared" si="37"/>
        <v>26</v>
      </c>
      <c r="C781" s="7" t="str">
        <f>"29"</f>
        <v>29</v>
      </c>
      <c r="D781" s="7" t="str">
        <f>"20210122629"</f>
        <v>20210122629</v>
      </c>
      <c r="E781" s="7" t="s">
        <v>778</v>
      </c>
      <c r="F781" s="7">
        <v>60</v>
      </c>
      <c r="G781" s="7">
        <v>81</v>
      </c>
      <c r="H781" s="8">
        <f t="shared" si="38"/>
        <v>66.3</v>
      </c>
    </row>
    <row r="782" spans="1:8" s="2" customFormat="1">
      <c r="A782" s="7" t="s">
        <v>758</v>
      </c>
      <c r="B782" s="7" t="str">
        <f t="shared" si="37"/>
        <v>26</v>
      </c>
      <c r="C782" s="7" t="str">
        <f>"30"</f>
        <v>30</v>
      </c>
      <c r="D782" s="7" t="str">
        <f>"20210122630"</f>
        <v>20210122630</v>
      </c>
      <c r="E782" s="7" t="s">
        <v>779</v>
      </c>
      <c r="F782" s="7">
        <v>47.5</v>
      </c>
      <c r="G782" s="7">
        <v>67</v>
      </c>
      <c r="H782" s="8">
        <f t="shared" si="38"/>
        <v>53.349999999999994</v>
      </c>
    </row>
    <row r="783" spans="1:8" s="2" customFormat="1">
      <c r="A783" s="7" t="s">
        <v>758</v>
      </c>
      <c r="B783" s="7" t="str">
        <f t="shared" ref="B783:B812" si="39">"27"</f>
        <v>27</v>
      </c>
      <c r="C783" s="7" t="str">
        <f>"01"</f>
        <v>01</v>
      </c>
      <c r="D783" s="7" t="str">
        <f>"20210122701"</f>
        <v>20210122701</v>
      </c>
      <c r="E783" s="7" t="s">
        <v>780</v>
      </c>
      <c r="F783" s="7">
        <v>60.5</v>
      </c>
      <c r="G783" s="7">
        <v>46</v>
      </c>
      <c r="H783" s="8">
        <f t="shared" si="38"/>
        <v>56.149999999999991</v>
      </c>
    </row>
    <row r="784" spans="1:8" s="2" customFormat="1">
      <c r="A784" s="7" t="s">
        <v>758</v>
      </c>
      <c r="B784" s="7" t="str">
        <f t="shared" si="39"/>
        <v>27</v>
      </c>
      <c r="C784" s="7" t="str">
        <f>"02"</f>
        <v>02</v>
      </c>
      <c r="D784" s="7" t="str">
        <f>"20210122702"</f>
        <v>20210122702</v>
      </c>
      <c r="E784" s="7" t="s">
        <v>781</v>
      </c>
      <c r="F784" s="7">
        <v>56</v>
      </c>
      <c r="G784" s="7">
        <v>66</v>
      </c>
      <c r="H784" s="8">
        <f t="shared" si="38"/>
        <v>59</v>
      </c>
    </row>
    <row r="785" spans="1:8" s="2" customFormat="1">
      <c r="A785" s="7" t="s">
        <v>758</v>
      </c>
      <c r="B785" s="7" t="str">
        <f t="shared" si="39"/>
        <v>27</v>
      </c>
      <c r="C785" s="7" t="str">
        <f>"03"</f>
        <v>03</v>
      </c>
      <c r="D785" s="7" t="str">
        <f>"20210122703"</f>
        <v>20210122703</v>
      </c>
      <c r="E785" s="7" t="s">
        <v>782</v>
      </c>
      <c r="F785" s="7">
        <v>77</v>
      </c>
      <c r="G785" s="7">
        <v>84</v>
      </c>
      <c r="H785" s="8">
        <f t="shared" si="38"/>
        <v>79.099999999999994</v>
      </c>
    </row>
    <row r="786" spans="1:8" s="2" customFormat="1">
      <c r="A786" s="7" t="s">
        <v>758</v>
      </c>
      <c r="B786" s="7" t="str">
        <f t="shared" si="39"/>
        <v>27</v>
      </c>
      <c r="C786" s="7" t="str">
        <f>"04"</f>
        <v>04</v>
      </c>
      <c r="D786" s="7" t="str">
        <f>"20210122704"</f>
        <v>20210122704</v>
      </c>
      <c r="E786" s="7" t="s">
        <v>783</v>
      </c>
      <c r="F786" s="7">
        <v>0</v>
      </c>
      <c r="G786" s="7">
        <v>0</v>
      </c>
      <c r="H786" s="8">
        <f t="shared" si="38"/>
        <v>0</v>
      </c>
    </row>
    <row r="787" spans="1:8" s="2" customFormat="1">
      <c r="A787" s="7" t="s">
        <v>758</v>
      </c>
      <c r="B787" s="7" t="str">
        <f t="shared" si="39"/>
        <v>27</v>
      </c>
      <c r="C787" s="7" t="str">
        <f>"05"</f>
        <v>05</v>
      </c>
      <c r="D787" s="7" t="str">
        <f>"20210122705"</f>
        <v>20210122705</v>
      </c>
      <c r="E787" s="7" t="s">
        <v>784</v>
      </c>
      <c r="F787" s="7">
        <v>52</v>
      </c>
      <c r="G787" s="7">
        <v>69</v>
      </c>
      <c r="H787" s="8">
        <f t="shared" si="38"/>
        <v>57.099999999999994</v>
      </c>
    </row>
    <row r="788" spans="1:8" s="2" customFormat="1">
      <c r="A788" s="7" t="s">
        <v>758</v>
      </c>
      <c r="B788" s="7" t="str">
        <f t="shared" si="39"/>
        <v>27</v>
      </c>
      <c r="C788" s="7" t="str">
        <f>"06"</f>
        <v>06</v>
      </c>
      <c r="D788" s="7" t="str">
        <f>"20210122706"</f>
        <v>20210122706</v>
      </c>
      <c r="E788" s="7" t="s">
        <v>785</v>
      </c>
      <c r="F788" s="7">
        <v>0</v>
      </c>
      <c r="G788" s="7">
        <v>0</v>
      </c>
      <c r="H788" s="8">
        <f t="shared" si="38"/>
        <v>0</v>
      </c>
    </row>
    <row r="789" spans="1:8" s="2" customFormat="1">
      <c r="A789" s="7" t="s">
        <v>758</v>
      </c>
      <c r="B789" s="7" t="str">
        <f t="shared" si="39"/>
        <v>27</v>
      </c>
      <c r="C789" s="7" t="str">
        <f>"07"</f>
        <v>07</v>
      </c>
      <c r="D789" s="7" t="str">
        <f>"20210122707"</f>
        <v>20210122707</v>
      </c>
      <c r="E789" s="7" t="s">
        <v>786</v>
      </c>
      <c r="F789" s="7">
        <v>62</v>
      </c>
      <c r="G789" s="7">
        <v>73</v>
      </c>
      <c r="H789" s="8">
        <f t="shared" si="38"/>
        <v>65.3</v>
      </c>
    </row>
    <row r="790" spans="1:8" s="2" customFormat="1">
      <c r="A790" s="7" t="s">
        <v>758</v>
      </c>
      <c r="B790" s="7" t="str">
        <f t="shared" si="39"/>
        <v>27</v>
      </c>
      <c r="C790" s="7" t="str">
        <f>"08"</f>
        <v>08</v>
      </c>
      <c r="D790" s="7" t="str">
        <f>"20210122708"</f>
        <v>20210122708</v>
      </c>
      <c r="E790" s="7" t="s">
        <v>787</v>
      </c>
      <c r="F790" s="7">
        <v>51</v>
      </c>
      <c r="G790" s="7">
        <v>78</v>
      </c>
      <c r="H790" s="8">
        <f t="shared" si="38"/>
        <v>59.099999999999994</v>
      </c>
    </row>
    <row r="791" spans="1:8" s="2" customFormat="1">
      <c r="A791" s="7" t="s">
        <v>758</v>
      </c>
      <c r="B791" s="7" t="str">
        <f t="shared" si="39"/>
        <v>27</v>
      </c>
      <c r="C791" s="7" t="str">
        <f>"09"</f>
        <v>09</v>
      </c>
      <c r="D791" s="7" t="str">
        <f>"20210122709"</f>
        <v>20210122709</v>
      </c>
      <c r="E791" s="7" t="s">
        <v>788</v>
      </c>
      <c r="F791" s="7">
        <v>62</v>
      </c>
      <c r="G791" s="7">
        <v>59</v>
      </c>
      <c r="H791" s="8">
        <f t="shared" si="38"/>
        <v>61.099999999999994</v>
      </c>
    </row>
    <row r="792" spans="1:8" s="2" customFormat="1">
      <c r="A792" s="7" t="s">
        <v>758</v>
      </c>
      <c r="B792" s="7" t="str">
        <f t="shared" si="39"/>
        <v>27</v>
      </c>
      <c r="C792" s="7" t="str">
        <f>"10"</f>
        <v>10</v>
      </c>
      <c r="D792" s="7" t="str">
        <f>"20210122710"</f>
        <v>20210122710</v>
      </c>
      <c r="E792" s="7" t="s">
        <v>789</v>
      </c>
      <c r="F792" s="7">
        <v>65</v>
      </c>
      <c r="G792" s="7">
        <v>68</v>
      </c>
      <c r="H792" s="8">
        <f t="shared" si="38"/>
        <v>65.900000000000006</v>
      </c>
    </row>
    <row r="793" spans="1:8" s="2" customFormat="1">
      <c r="A793" s="7" t="s">
        <v>758</v>
      </c>
      <c r="B793" s="7" t="str">
        <f t="shared" si="39"/>
        <v>27</v>
      </c>
      <c r="C793" s="7" t="str">
        <f>"11"</f>
        <v>11</v>
      </c>
      <c r="D793" s="7" t="str">
        <f>"20210122711"</f>
        <v>20210122711</v>
      </c>
      <c r="E793" s="7" t="s">
        <v>790</v>
      </c>
      <c r="F793" s="7">
        <v>0</v>
      </c>
      <c r="G793" s="7">
        <v>0</v>
      </c>
      <c r="H793" s="8">
        <f t="shared" si="38"/>
        <v>0</v>
      </c>
    </row>
    <row r="794" spans="1:8" s="2" customFormat="1">
      <c r="A794" s="7" t="s">
        <v>758</v>
      </c>
      <c r="B794" s="7" t="str">
        <f t="shared" si="39"/>
        <v>27</v>
      </c>
      <c r="C794" s="7" t="str">
        <f>"12"</f>
        <v>12</v>
      </c>
      <c r="D794" s="7" t="str">
        <f>"20210122712"</f>
        <v>20210122712</v>
      </c>
      <c r="E794" s="7" t="s">
        <v>791</v>
      </c>
      <c r="F794" s="7">
        <v>0</v>
      </c>
      <c r="G794" s="7">
        <v>0</v>
      </c>
      <c r="H794" s="8">
        <f t="shared" si="38"/>
        <v>0</v>
      </c>
    </row>
    <row r="795" spans="1:8" s="2" customFormat="1">
      <c r="A795" s="7" t="s">
        <v>758</v>
      </c>
      <c r="B795" s="7" t="str">
        <f t="shared" si="39"/>
        <v>27</v>
      </c>
      <c r="C795" s="7" t="str">
        <f>"13"</f>
        <v>13</v>
      </c>
      <c r="D795" s="7" t="str">
        <f>"20210122713"</f>
        <v>20210122713</v>
      </c>
      <c r="E795" s="7" t="s">
        <v>792</v>
      </c>
      <c r="F795" s="7">
        <v>62</v>
      </c>
      <c r="G795" s="7">
        <v>63</v>
      </c>
      <c r="H795" s="8">
        <f t="shared" si="38"/>
        <v>62.3</v>
      </c>
    </row>
    <row r="796" spans="1:8" s="2" customFormat="1">
      <c r="A796" s="7" t="s">
        <v>758</v>
      </c>
      <c r="B796" s="7" t="str">
        <f t="shared" si="39"/>
        <v>27</v>
      </c>
      <c r="C796" s="7" t="str">
        <f>"14"</f>
        <v>14</v>
      </c>
      <c r="D796" s="7" t="str">
        <f>"20210122714"</f>
        <v>20210122714</v>
      </c>
      <c r="E796" s="7" t="s">
        <v>793</v>
      </c>
      <c r="F796" s="7">
        <v>49.5</v>
      </c>
      <c r="G796" s="7">
        <v>66</v>
      </c>
      <c r="H796" s="8">
        <f t="shared" si="38"/>
        <v>54.45</v>
      </c>
    </row>
    <row r="797" spans="1:8" s="2" customFormat="1">
      <c r="A797" s="7" t="s">
        <v>758</v>
      </c>
      <c r="B797" s="7" t="str">
        <f t="shared" si="39"/>
        <v>27</v>
      </c>
      <c r="C797" s="7" t="str">
        <f>"15"</f>
        <v>15</v>
      </c>
      <c r="D797" s="7" t="str">
        <f>"20210122715"</f>
        <v>20210122715</v>
      </c>
      <c r="E797" s="7" t="s">
        <v>734</v>
      </c>
      <c r="F797" s="7">
        <v>62</v>
      </c>
      <c r="G797" s="7">
        <v>70</v>
      </c>
      <c r="H797" s="8">
        <f t="shared" si="38"/>
        <v>64.400000000000006</v>
      </c>
    </row>
    <row r="798" spans="1:8" s="2" customFormat="1">
      <c r="A798" s="7" t="s">
        <v>758</v>
      </c>
      <c r="B798" s="7" t="str">
        <f t="shared" si="39"/>
        <v>27</v>
      </c>
      <c r="C798" s="7" t="str">
        <f>"16"</f>
        <v>16</v>
      </c>
      <c r="D798" s="7" t="str">
        <f>"20210122716"</f>
        <v>20210122716</v>
      </c>
      <c r="E798" s="7" t="s">
        <v>794</v>
      </c>
      <c r="F798" s="7">
        <v>40.5</v>
      </c>
      <c r="G798" s="7">
        <v>38</v>
      </c>
      <c r="H798" s="8">
        <f t="shared" si="38"/>
        <v>39.75</v>
      </c>
    </row>
    <row r="799" spans="1:8" s="2" customFormat="1">
      <c r="A799" s="7" t="s">
        <v>758</v>
      </c>
      <c r="B799" s="7" t="str">
        <f t="shared" si="39"/>
        <v>27</v>
      </c>
      <c r="C799" s="7" t="str">
        <f>"17"</f>
        <v>17</v>
      </c>
      <c r="D799" s="7" t="str">
        <f>"20210122717"</f>
        <v>20210122717</v>
      </c>
      <c r="E799" s="7" t="s">
        <v>795</v>
      </c>
      <c r="F799" s="7">
        <v>59</v>
      </c>
      <c r="G799" s="7">
        <v>86</v>
      </c>
      <c r="H799" s="8">
        <f t="shared" si="38"/>
        <v>67.099999999999994</v>
      </c>
    </row>
    <row r="800" spans="1:8" s="2" customFormat="1">
      <c r="A800" s="7" t="s">
        <v>758</v>
      </c>
      <c r="B800" s="7" t="str">
        <f t="shared" si="39"/>
        <v>27</v>
      </c>
      <c r="C800" s="7" t="str">
        <f>"18"</f>
        <v>18</v>
      </c>
      <c r="D800" s="7" t="str">
        <f>"20210122718"</f>
        <v>20210122718</v>
      </c>
      <c r="E800" s="7" t="s">
        <v>796</v>
      </c>
      <c r="F800" s="7">
        <v>71.5</v>
      </c>
      <c r="G800" s="7">
        <v>70</v>
      </c>
      <c r="H800" s="8">
        <f t="shared" si="38"/>
        <v>71.05</v>
      </c>
    </row>
    <row r="801" spans="1:8" s="2" customFormat="1">
      <c r="A801" s="7" t="s">
        <v>758</v>
      </c>
      <c r="B801" s="7" t="str">
        <f t="shared" si="39"/>
        <v>27</v>
      </c>
      <c r="C801" s="7" t="str">
        <f>"19"</f>
        <v>19</v>
      </c>
      <c r="D801" s="7" t="str">
        <f>"20210122719"</f>
        <v>20210122719</v>
      </c>
      <c r="E801" s="7" t="s">
        <v>797</v>
      </c>
      <c r="F801" s="7">
        <v>55</v>
      </c>
      <c r="G801" s="7">
        <v>49</v>
      </c>
      <c r="H801" s="8">
        <f t="shared" si="38"/>
        <v>53.2</v>
      </c>
    </row>
    <row r="802" spans="1:8" s="2" customFormat="1">
      <c r="A802" s="7" t="s">
        <v>758</v>
      </c>
      <c r="B802" s="7" t="str">
        <f t="shared" si="39"/>
        <v>27</v>
      </c>
      <c r="C802" s="7" t="str">
        <f>"20"</f>
        <v>20</v>
      </c>
      <c r="D802" s="7" t="str">
        <f>"20210122720"</f>
        <v>20210122720</v>
      </c>
      <c r="E802" s="7" t="s">
        <v>798</v>
      </c>
      <c r="F802" s="7">
        <v>57.5</v>
      </c>
      <c r="G802" s="7">
        <v>41</v>
      </c>
      <c r="H802" s="8">
        <f t="shared" si="38"/>
        <v>52.55</v>
      </c>
    </row>
    <row r="803" spans="1:8" s="2" customFormat="1">
      <c r="A803" s="7" t="s">
        <v>758</v>
      </c>
      <c r="B803" s="7" t="str">
        <f t="shared" si="39"/>
        <v>27</v>
      </c>
      <c r="C803" s="7" t="str">
        <f>"21"</f>
        <v>21</v>
      </c>
      <c r="D803" s="7" t="str">
        <f>"20210122721"</f>
        <v>20210122721</v>
      </c>
      <c r="E803" s="7" t="s">
        <v>799</v>
      </c>
      <c r="F803" s="7">
        <v>59</v>
      </c>
      <c r="G803" s="7">
        <v>48</v>
      </c>
      <c r="H803" s="8">
        <f t="shared" si="38"/>
        <v>55.699999999999996</v>
      </c>
    </row>
    <row r="804" spans="1:8" s="2" customFormat="1">
      <c r="A804" s="7" t="s">
        <v>758</v>
      </c>
      <c r="B804" s="7" t="str">
        <f t="shared" si="39"/>
        <v>27</v>
      </c>
      <c r="C804" s="7" t="str">
        <f>"22"</f>
        <v>22</v>
      </c>
      <c r="D804" s="7" t="str">
        <f>"20210122722"</f>
        <v>20210122722</v>
      </c>
      <c r="E804" s="7" t="s">
        <v>800</v>
      </c>
      <c r="F804" s="7">
        <v>44</v>
      </c>
      <c r="G804" s="7">
        <v>28</v>
      </c>
      <c r="H804" s="8">
        <f t="shared" si="38"/>
        <v>39.199999999999996</v>
      </c>
    </row>
    <row r="805" spans="1:8" s="2" customFormat="1">
      <c r="A805" s="7" t="s">
        <v>758</v>
      </c>
      <c r="B805" s="7" t="str">
        <f t="shared" si="39"/>
        <v>27</v>
      </c>
      <c r="C805" s="7" t="str">
        <f>"23"</f>
        <v>23</v>
      </c>
      <c r="D805" s="7" t="str">
        <f>"20210122723"</f>
        <v>20210122723</v>
      </c>
      <c r="E805" s="7" t="s">
        <v>801</v>
      </c>
      <c r="F805" s="7">
        <v>55</v>
      </c>
      <c r="G805" s="7">
        <v>52</v>
      </c>
      <c r="H805" s="8">
        <f t="shared" si="38"/>
        <v>54.1</v>
      </c>
    </row>
    <row r="806" spans="1:8" s="2" customFormat="1">
      <c r="A806" s="7" t="s">
        <v>758</v>
      </c>
      <c r="B806" s="7" t="str">
        <f t="shared" si="39"/>
        <v>27</v>
      </c>
      <c r="C806" s="7" t="str">
        <f>"24"</f>
        <v>24</v>
      </c>
      <c r="D806" s="7" t="str">
        <f>"20210122724"</f>
        <v>20210122724</v>
      </c>
      <c r="E806" s="7" t="s">
        <v>802</v>
      </c>
      <c r="F806" s="7">
        <v>59</v>
      </c>
      <c r="G806" s="7">
        <v>58</v>
      </c>
      <c r="H806" s="8">
        <f t="shared" si="38"/>
        <v>58.699999999999996</v>
      </c>
    </row>
    <row r="807" spans="1:8" s="2" customFormat="1">
      <c r="A807" s="7" t="s">
        <v>758</v>
      </c>
      <c r="B807" s="7" t="str">
        <f t="shared" si="39"/>
        <v>27</v>
      </c>
      <c r="C807" s="7" t="str">
        <f>"25"</f>
        <v>25</v>
      </c>
      <c r="D807" s="7" t="str">
        <f>"20210122725"</f>
        <v>20210122725</v>
      </c>
      <c r="E807" s="7" t="s">
        <v>803</v>
      </c>
      <c r="F807" s="7">
        <v>55</v>
      </c>
      <c r="G807" s="7">
        <v>34</v>
      </c>
      <c r="H807" s="8">
        <f t="shared" si="38"/>
        <v>48.7</v>
      </c>
    </row>
    <row r="808" spans="1:8" s="2" customFormat="1">
      <c r="A808" s="7" t="s">
        <v>758</v>
      </c>
      <c r="B808" s="7" t="str">
        <f t="shared" si="39"/>
        <v>27</v>
      </c>
      <c r="C808" s="7" t="str">
        <f>"26"</f>
        <v>26</v>
      </c>
      <c r="D808" s="7" t="str">
        <f>"20210122726"</f>
        <v>20210122726</v>
      </c>
      <c r="E808" s="7" t="s">
        <v>804</v>
      </c>
      <c r="F808" s="7">
        <v>63</v>
      </c>
      <c r="G808" s="7">
        <v>73</v>
      </c>
      <c r="H808" s="8">
        <f t="shared" si="38"/>
        <v>66</v>
      </c>
    </row>
    <row r="809" spans="1:8" s="2" customFormat="1">
      <c r="A809" s="7" t="s">
        <v>758</v>
      </c>
      <c r="B809" s="7" t="str">
        <f t="shared" si="39"/>
        <v>27</v>
      </c>
      <c r="C809" s="7" t="str">
        <f>"27"</f>
        <v>27</v>
      </c>
      <c r="D809" s="7" t="str">
        <f>"20210122727"</f>
        <v>20210122727</v>
      </c>
      <c r="E809" s="7" t="s">
        <v>805</v>
      </c>
      <c r="F809" s="7">
        <v>0</v>
      </c>
      <c r="G809" s="7">
        <v>0</v>
      </c>
      <c r="H809" s="8">
        <f t="shared" si="38"/>
        <v>0</v>
      </c>
    </row>
    <row r="810" spans="1:8" s="2" customFormat="1">
      <c r="A810" s="7" t="s">
        <v>758</v>
      </c>
      <c r="B810" s="7" t="str">
        <f t="shared" si="39"/>
        <v>27</v>
      </c>
      <c r="C810" s="7" t="str">
        <f>"28"</f>
        <v>28</v>
      </c>
      <c r="D810" s="7" t="str">
        <f>"20210122728"</f>
        <v>20210122728</v>
      </c>
      <c r="E810" s="7" t="s">
        <v>806</v>
      </c>
      <c r="F810" s="7">
        <v>57</v>
      </c>
      <c r="G810" s="7">
        <v>38</v>
      </c>
      <c r="H810" s="8">
        <f t="shared" si="38"/>
        <v>51.3</v>
      </c>
    </row>
    <row r="811" spans="1:8" s="2" customFormat="1">
      <c r="A811" s="7" t="s">
        <v>758</v>
      </c>
      <c r="B811" s="7" t="str">
        <f t="shared" si="39"/>
        <v>27</v>
      </c>
      <c r="C811" s="7" t="str">
        <f>"29"</f>
        <v>29</v>
      </c>
      <c r="D811" s="7" t="str">
        <f>"20210122729"</f>
        <v>20210122729</v>
      </c>
      <c r="E811" s="7" t="s">
        <v>79</v>
      </c>
      <c r="F811" s="7">
        <v>61.5</v>
      </c>
      <c r="G811" s="7">
        <v>60</v>
      </c>
      <c r="H811" s="8">
        <f t="shared" si="38"/>
        <v>61.05</v>
      </c>
    </row>
    <row r="812" spans="1:8" s="2" customFormat="1">
      <c r="A812" s="7" t="s">
        <v>758</v>
      </c>
      <c r="B812" s="7" t="str">
        <f t="shared" si="39"/>
        <v>27</v>
      </c>
      <c r="C812" s="7" t="str">
        <f>"30"</f>
        <v>30</v>
      </c>
      <c r="D812" s="7" t="str">
        <f>"20210122730"</f>
        <v>20210122730</v>
      </c>
      <c r="E812" s="7" t="s">
        <v>807</v>
      </c>
      <c r="F812" s="7">
        <v>71</v>
      </c>
      <c r="G812" s="7">
        <v>71</v>
      </c>
      <c r="H812" s="8">
        <f t="shared" si="38"/>
        <v>71</v>
      </c>
    </row>
    <row r="813" spans="1:8" s="2" customFormat="1">
      <c r="A813" s="7" t="s">
        <v>758</v>
      </c>
      <c r="B813" s="7" t="str">
        <f t="shared" ref="B813:B842" si="40">"28"</f>
        <v>28</v>
      </c>
      <c r="C813" s="7" t="str">
        <f>"01"</f>
        <v>01</v>
      </c>
      <c r="D813" s="7" t="str">
        <f>"20210122801"</f>
        <v>20210122801</v>
      </c>
      <c r="E813" s="7" t="s">
        <v>808</v>
      </c>
      <c r="F813" s="7">
        <v>0</v>
      </c>
      <c r="G813" s="7">
        <v>0</v>
      </c>
      <c r="H813" s="8">
        <f t="shared" si="38"/>
        <v>0</v>
      </c>
    </row>
    <row r="814" spans="1:8" s="2" customFormat="1">
      <c r="A814" s="7" t="s">
        <v>758</v>
      </c>
      <c r="B814" s="7" t="str">
        <f t="shared" si="40"/>
        <v>28</v>
      </c>
      <c r="C814" s="7" t="str">
        <f>"02"</f>
        <v>02</v>
      </c>
      <c r="D814" s="7" t="str">
        <f>"20210122802"</f>
        <v>20210122802</v>
      </c>
      <c r="E814" s="7" t="s">
        <v>809</v>
      </c>
      <c r="F814" s="7">
        <v>69</v>
      </c>
      <c r="G814" s="7">
        <v>86</v>
      </c>
      <c r="H814" s="8">
        <f t="shared" si="38"/>
        <v>74.099999999999994</v>
      </c>
    </row>
    <row r="815" spans="1:8" s="2" customFormat="1">
      <c r="A815" s="7" t="s">
        <v>758</v>
      </c>
      <c r="B815" s="7" t="str">
        <f t="shared" si="40"/>
        <v>28</v>
      </c>
      <c r="C815" s="7" t="str">
        <f>"03"</f>
        <v>03</v>
      </c>
      <c r="D815" s="7" t="str">
        <f>"20210122803"</f>
        <v>20210122803</v>
      </c>
      <c r="E815" s="7" t="s">
        <v>810</v>
      </c>
      <c r="F815" s="7">
        <v>36.5</v>
      </c>
      <c r="G815" s="7">
        <v>40</v>
      </c>
      <c r="H815" s="8">
        <f t="shared" si="38"/>
        <v>37.549999999999997</v>
      </c>
    </row>
    <row r="816" spans="1:8" s="2" customFormat="1">
      <c r="A816" s="7" t="s">
        <v>758</v>
      </c>
      <c r="B816" s="7" t="str">
        <f t="shared" si="40"/>
        <v>28</v>
      </c>
      <c r="C816" s="7" t="str">
        <f>"04"</f>
        <v>04</v>
      </c>
      <c r="D816" s="7" t="str">
        <f>"20210122804"</f>
        <v>20210122804</v>
      </c>
      <c r="E816" s="7" t="s">
        <v>811</v>
      </c>
      <c r="F816" s="7">
        <v>56.5</v>
      </c>
      <c r="G816" s="7">
        <v>56</v>
      </c>
      <c r="H816" s="8">
        <f t="shared" si="38"/>
        <v>56.349999999999994</v>
      </c>
    </row>
    <row r="817" spans="1:8" s="2" customFormat="1">
      <c r="A817" s="7" t="s">
        <v>758</v>
      </c>
      <c r="B817" s="7" t="str">
        <f t="shared" si="40"/>
        <v>28</v>
      </c>
      <c r="C817" s="7" t="str">
        <f>"05"</f>
        <v>05</v>
      </c>
      <c r="D817" s="7" t="str">
        <f>"20210122805"</f>
        <v>20210122805</v>
      </c>
      <c r="E817" s="7" t="s">
        <v>812</v>
      </c>
      <c r="F817" s="7">
        <v>53.5</v>
      </c>
      <c r="G817" s="7">
        <v>50</v>
      </c>
      <c r="H817" s="8">
        <f t="shared" si="38"/>
        <v>52.449999999999996</v>
      </c>
    </row>
    <row r="818" spans="1:8" s="2" customFormat="1">
      <c r="A818" s="7" t="s">
        <v>758</v>
      </c>
      <c r="B818" s="7" t="str">
        <f t="shared" si="40"/>
        <v>28</v>
      </c>
      <c r="C818" s="7" t="str">
        <f>"06"</f>
        <v>06</v>
      </c>
      <c r="D818" s="7" t="str">
        <f>"20210122806"</f>
        <v>20210122806</v>
      </c>
      <c r="E818" s="7" t="s">
        <v>813</v>
      </c>
      <c r="F818" s="7">
        <v>0</v>
      </c>
      <c r="G818" s="7">
        <v>0</v>
      </c>
      <c r="H818" s="8">
        <f t="shared" si="38"/>
        <v>0</v>
      </c>
    </row>
    <row r="819" spans="1:8" s="2" customFormat="1">
      <c r="A819" s="7" t="s">
        <v>814</v>
      </c>
      <c r="B819" s="7" t="str">
        <f t="shared" si="40"/>
        <v>28</v>
      </c>
      <c r="C819" s="7" t="str">
        <f>"07"</f>
        <v>07</v>
      </c>
      <c r="D819" s="7" t="str">
        <f>"20210132807"</f>
        <v>20210132807</v>
      </c>
      <c r="E819" s="7" t="s">
        <v>815</v>
      </c>
      <c r="F819" s="7">
        <v>48.5</v>
      </c>
      <c r="G819" s="7">
        <v>66</v>
      </c>
      <c r="H819" s="8">
        <f t="shared" si="38"/>
        <v>53.75</v>
      </c>
    </row>
    <row r="820" spans="1:8" s="2" customFormat="1">
      <c r="A820" s="7" t="s">
        <v>814</v>
      </c>
      <c r="B820" s="7" t="str">
        <f t="shared" si="40"/>
        <v>28</v>
      </c>
      <c r="C820" s="7" t="str">
        <f>"08"</f>
        <v>08</v>
      </c>
      <c r="D820" s="7" t="str">
        <f>"20210132808"</f>
        <v>20210132808</v>
      </c>
      <c r="E820" s="7" t="s">
        <v>816</v>
      </c>
      <c r="F820" s="7">
        <v>78</v>
      </c>
      <c r="G820" s="7">
        <v>77</v>
      </c>
      <c r="H820" s="8">
        <f t="shared" si="38"/>
        <v>77.699999999999989</v>
      </c>
    </row>
    <row r="821" spans="1:8" s="2" customFormat="1">
      <c r="A821" s="7" t="s">
        <v>814</v>
      </c>
      <c r="B821" s="7" t="str">
        <f t="shared" si="40"/>
        <v>28</v>
      </c>
      <c r="C821" s="7" t="str">
        <f>"09"</f>
        <v>09</v>
      </c>
      <c r="D821" s="7" t="str">
        <f>"20210132809"</f>
        <v>20210132809</v>
      </c>
      <c r="E821" s="7" t="s">
        <v>817</v>
      </c>
      <c r="F821" s="7">
        <v>41</v>
      </c>
      <c r="G821" s="7">
        <v>42</v>
      </c>
      <c r="H821" s="8">
        <f t="shared" si="38"/>
        <v>41.3</v>
      </c>
    </row>
    <row r="822" spans="1:8" s="2" customFormat="1">
      <c r="A822" s="7" t="s">
        <v>814</v>
      </c>
      <c r="B822" s="7" t="str">
        <f t="shared" si="40"/>
        <v>28</v>
      </c>
      <c r="C822" s="7" t="str">
        <f>"10"</f>
        <v>10</v>
      </c>
      <c r="D822" s="7" t="str">
        <f>"20210132810"</f>
        <v>20210132810</v>
      </c>
      <c r="E822" s="7" t="s">
        <v>818</v>
      </c>
      <c r="F822" s="7">
        <v>67.5</v>
      </c>
      <c r="G822" s="7">
        <v>69</v>
      </c>
      <c r="H822" s="8">
        <f t="shared" si="38"/>
        <v>67.95</v>
      </c>
    </row>
    <row r="823" spans="1:8" s="2" customFormat="1">
      <c r="A823" s="7" t="s">
        <v>814</v>
      </c>
      <c r="B823" s="7" t="str">
        <f t="shared" si="40"/>
        <v>28</v>
      </c>
      <c r="C823" s="7" t="str">
        <f>"11"</f>
        <v>11</v>
      </c>
      <c r="D823" s="7" t="str">
        <f>"20210132811"</f>
        <v>20210132811</v>
      </c>
      <c r="E823" s="7" t="s">
        <v>819</v>
      </c>
      <c r="F823" s="7">
        <v>68</v>
      </c>
      <c r="G823" s="7">
        <v>81</v>
      </c>
      <c r="H823" s="8">
        <f t="shared" si="38"/>
        <v>71.899999999999991</v>
      </c>
    </row>
    <row r="824" spans="1:8" s="2" customFormat="1">
      <c r="A824" s="7" t="s">
        <v>814</v>
      </c>
      <c r="B824" s="7" t="str">
        <f t="shared" si="40"/>
        <v>28</v>
      </c>
      <c r="C824" s="7" t="str">
        <f>"12"</f>
        <v>12</v>
      </c>
      <c r="D824" s="7" t="str">
        <f>"20210132812"</f>
        <v>20210132812</v>
      </c>
      <c r="E824" s="7" t="s">
        <v>820</v>
      </c>
      <c r="F824" s="7">
        <v>62</v>
      </c>
      <c r="G824" s="7">
        <v>65</v>
      </c>
      <c r="H824" s="8">
        <f t="shared" si="38"/>
        <v>62.9</v>
      </c>
    </row>
    <row r="825" spans="1:8" s="2" customFormat="1">
      <c r="A825" s="7" t="s">
        <v>814</v>
      </c>
      <c r="B825" s="7" t="str">
        <f t="shared" si="40"/>
        <v>28</v>
      </c>
      <c r="C825" s="7" t="str">
        <f>"13"</f>
        <v>13</v>
      </c>
      <c r="D825" s="7" t="str">
        <f>"20210132813"</f>
        <v>20210132813</v>
      </c>
      <c r="E825" s="7" t="s">
        <v>821</v>
      </c>
      <c r="F825" s="7">
        <v>49</v>
      </c>
      <c r="G825" s="7">
        <v>63</v>
      </c>
      <c r="H825" s="8">
        <f t="shared" si="38"/>
        <v>53.199999999999996</v>
      </c>
    </row>
    <row r="826" spans="1:8" s="2" customFormat="1">
      <c r="A826" s="7" t="s">
        <v>814</v>
      </c>
      <c r="B826" s="7" t="str">
        <f t="shared" si="40"/>
        <v>28</v>
      </c>
      <c r="C826" s="7" t="str">
        <f>"14"</f>
        <v>14</v>
      </c>
      <c r="D826" s="7" t="str">
        <f>"20210132814"</f>
        <v>20210132814</v>
      </c>
      <c r="E826" s="7" t="s">
        <v>822</v>
      </c>
      <c r="F826" s="7">
        <v>53.5</v>
      </c>
      <c r="G826" s="7">
        <v>79</v>
      </c>
      <c r="H826" s="8">
        <f t="shared" si="38"/>
        <v>61.149999999999991</v>
      </c>
    </row>
    <row r="827" spans="1:8" s="2" customFormat="1">
      <c r="A827" s="7" t="s">
        <v>814</v>
      </c>
      <c r="B827" s="7" t="str">
        <f t="shared" si="40"/>
        <v>28</v>
      </c>
      <c r="C827" s="7" t="str">
        <f>"15"</f>
        <v>15</v>
      </c>
      <c r="D827" s="7" t="str">
        <f>"20210132815"</f>
        <v>20210132815</v>
      </c>
      <c r="E827" s="7" t="s">
        <v>823</v>
      </c>
      <c r="F827" s="7">
        <v>64</v>
      </c>
      <c r="G827" s="7">
        <v>68</v>
      </c>
      <c r="H827" s="8">
        <f t="shared" si="38"/>
        <v>65.199999999999989</v>
      </c>
    </row>
    <row r="828" spans="1:8" s="2" customFormat="1">
      <c r="A828" s="7" t="s">
        <v>814</v>
      </c>
      <c r="B828" s="7" t="str">
        <f t="shared" si="40"/>
        <v>28</v>
      </c>
      <c r="C828" s="7" t="str">
        <f>"16"</f>
        <v>16</v>
      </c>
      <c r="D828" s="7" t="str">
        <f>"20210132816"</f>
        <v>20210132816</v>
      </c>
      <c r="E828" s="7" t="s">
        <v>824</v>
      </c>
      <c r="F828" s="7">
        <v>70.5</v>
      </c>
      <c r="G828" s="7">
        <v>76</v>
      </c>
      <c r="H828" s="8">
        <f t="shared" si="38"/>
        <v>72.149999999999991</v>
      </c>
    </row>
    <row r="829" spans="1:8" s="2" customFormat="1">
      <c r="A829" s="7" t="s">
        <v>814</v>
      </c>
      <c r="B829" s="7" t="str">
        <f t="shared" si="40"/>
        <v>28</v>
      </c>
      <c r="C829" s="7" t="str">
        <f>"17"</f>
        <v>17</v>
      </c>
      <c r="D829" s="7" t="str">
        <f>"20210132817"</f>
        <v>20210132817</v>
      </c>
      <c r="E829" s="7" t="s">
        <v>825</v>
      </c>
      <c r="F829" s="7">
        <v>71</v>
      </c>
      <c r="G829" s="7">
        <v>75</v>
      </c>
      <c r="H829" s="8">
        <f t="shared" si="38"/>
        <v>72.199999999999989</v>
      </c>
    </row>
    <row r="830" spans="1:8" s="2" customFormat="1">
      <c r="A830" s="7" t="s">
        <v>814</v>
      </c>
      <c r="B830" s="7" t="str">
        <f t="shared" si="40"/>
        <v>28</v>
      </c>
      <c r="C830" s="7" t="str">
        <f>"18"</f>
        <v>18</v>
      </c>
      <c r="D830" s="7" t="str">
        <f>"20210132818"</f>
        <v>20210132818</v>
      </c>
      <c r="E830" s="7" t="s">
        <v>826</v>
      </c>
      <c r="F830" s="7">
        <v>69</v>
      </c>
      <c r="G830" s="7">
        <v>63</v>
      </c>
      <c r="H830" s="8">
        <f t="shared" si="38"/>
        <v>67.199999999999989</v>
      </c>
    </row>
    <row r="831" spans="1:8" s="2" customFormat="1">
      <c r="A831" s="7" t="s">
        <v>814</v>
      </c>
      <c r="B831" s="7" t="str">
        <f t="shared" si="40"/>
        <v>28</v>
      </c>
      <c r="C831" s="7" t="str">
        <f>"19"</f>
        <v>19</v>
      </c>
      <c r="D831" s="7" t="str">
        <f>"20210132819"</f>
        <v>20210132819</v>
      </c>
      <c r="E831" s="7" t="s">
        <v>827</v>
      </c>
      <c r="F831" s="7">
        <v>0</v>
      </c>
      <c r="G831" s="7">
        <v>0</v>
      </c>
      <c r="H831" s="8">
        <f t="shared" si="38"/>
        <v>0</v>
      </c>
    </row>
    <row r="832" spans="1:8" s="2" customFormat="1">
      <c r="A832" s="7" t="s">
        <v>814</v>
      </c>
      <c r="B832" s="7" t="str">
        <f t="shared" si="40"/>
        <v>28</v>
      </c>
      <c r="C832" s="7" t="str">
        <f>"20"</f>
        <v>20</v>
      </c>
      <c r="D832" s="7" t="str">
        <f>"20210132820"</f>
        <v>20210132820</v>
      </c>
      <c r="E832" s="7" t="s">
        <v>828</v>
      </c>
      <c r="F832" s="7">
        <v>74</v>
      </c>
      <c r="G832" s="7">
        <v>75</v>
      </c>
      <c r="H832" s="8">
        <f t="shared" si="38"/>
        <v>74.3</v>
      </c>
    </row>
    <row r="833" spans="1:8" s="2" customFormat="1">
      <c r="A833" s="7" t="s">
        <v>814</v>
      </c>
      <c r="B833" s="7" t="str">
        <f t="shared" si="40"/>
        <v>28</v>
      </c>
      <c r="C833" s="7" t="str">
        <f>"21"</f>
        <v>21</v>
      </c>
      <c r="D833" s="7" t="str">
        <f>"20210132821"</f>
        <v>20210132821</v>
      </c>
      <c r="E833" s="7" t="s">
        <v>829</v>
      </c>
      <c r="F833" s="7">
        <v>72</v>
      </c>
      <c r="G833" s="7">
        <v>84</v>
      </c>
      <c r="H833" s="8">
        <f t="shared" si="38"/>
        <v>75.599999999999994</v>
      </c>
    </row>
    <row r="834" spans="1:8" s="2" customFormat="1">
      <c r="A834" s="7" t="s">
        <v>814</v>
      </c>
      <c r="B834" s="7" t="str">
        <f t="shared" si="40"/>
        <v>28</v>
      </c>
      <c r="C834" s="7" t="str">
        <f>"22"</f>
        <v>22</v>
      </c>
      <c r="D834" s="7" t="str">
        <f>"20210132822"</f>
        <v>20210132822</v>
      </c>
      <c r="E834" s="7" t="s">
        <v>830</v>
      </c>
      <c r="F834" s="7">
        <v>69</v>
      </c>
      <c r="G834" s="7">
        <v>79</v>
      </c>
      <c r="H834" s="8">
        <f t="shared" si="38"/>
        <v>72</v>
      </c>
    </row>
    <row r="835" spans="1:8" s="2" customFormat="1">
      <c r="A835" s="7" t="s">
        <v>814</v>
      </c>
      <c r="B835" s="7" t="str">
        <f t="shared" si="40"/>
        <v>28</v>
      </c>
      <c r="C835" s="7" t="str">
        <f>"23"</f>
        <v>23</v>
      </c>
      <c r="D835" s="7" t="str">
        <f>"20210132823"</f>
        <v>20210132823</v>
      </c>
      <c r="E835" s="7" t="s">
        <v>831</v>
      </c>
      <c r="F835" s="7">
        <v>68.5</v>
      </c>
      <c r="G835" s="7">
        <v>49</v>
      </c>
      <c r="H835" s="8">
        <f t="shared" ref="H835:H898" si="41">F835*0.7+G835*0.3</f>
        <v>62.649999999999991</v>
      </c>
    </row>
    <row r="836" spans="1:8" s="2" customFormat="1">
      <c r="A836" s="7" t="s">
        <v>814</v>
      </c>
      <c r="B836" s="7" t="str">
        <f t="shared" si="40"/>
        <v>28</v>
      </c>
      <c r="C836" s="7" t="str">
        <f>"24"</f>
        <v>24</v>
      </c>
      <c r="D836" s="7" t="str">
        <f>"20210132824"</f>
        <v>20210132824</v>
      </c>
      <c r="E836" s="7" t="s">
        <v>832</v>
      </c>
      <c r="F836" s="7">
        <v>57.5</v>
      </c>
      <c r="G836" s="7">
        <v>74</v>
      </c>
      <c r="H836" s="8">
        <f t="shared" si="41"/>
        <v>62.45</v>
      </c>
    </row>
    <row r="837" spans="1:8" s="2" customFormat="1">
      <c r="A837" s="7" t="s">
        <v>814</v>
      </c>
      <c r="B837" s="7" t="str">
        <f t="shared" si="40"/>
        <v>28</v>
      </c>
      <c r="C837" s="7" t="str">
        <f>"25"</f>
        <v>25</v>
      </c>
      <c r="D837" s="7" t="str">
        <f>"20210132825"</f>
        <v>20210132825</v>
      </c>
      <c r="E837" s="7" t="s">
        <v>833</v>
      </c>
      <c r="F837" s="7">
        <v>55</v>
      </c>
      <c r="G837" s="7">
        <v>77</v>
      </c>
      <c r="H837" s="8">
        <f t="shared" si="41"/>
        <v>61.599999999999994</v>
      </c>
    </row>
    <row r="838" spans="1:8" s="2" customFormat="1">
      <c r="A838" s="7" t="s">
        <v>814</v>
      </c>
      <c r="B838" s="7" t="str">
        <f t="shared" si="40"/>
        <v>28</v>
      </c>
      <c r="C838" s="7" t="str">
        <f>"26"</f>
        <v>26</v>
      </c>
      <c r="D838" s="7" t="str">
        <f>"20210132826"</f>
        <v>20210132826</v>
      </c>
      <c r="E838" s="7" t="s">
        <v>834</v>
      </c>
      <c r="F838" s="7">
        <v>53.5</v>
      </c>
      <c r="G838" s="7">
        <v>74</v>
      </c>
      <c r="H838" s="8">
        <f t="shared" si="41"/>
        <v>59.649999999999991</v>
      </c>
    </row>
    <row r="839" spans="1:8" s="2" customFormat="1">
      <c r="A839" s="7" t="s">
        <v>814</v>
      </c>
      <c r="B839" s="7" t="str">
        <f t="shared" si="40"/>
        <v>28</v>
      </c>
      <c r="C839" s="7" t="str">
        <f>"27"</f>
        <v>27</v>
      </c>
      <c r="D839" s="7" t="str">
        <f>"20210132827"</f>
        <v>20210132827</v>
      </c>
      <c r="E839" s="7" t="s">
        <v>835</v>
      </c>
      <c r="F839" s="7">
        <v>0</v>
      </c>
      <c r="G839" s="7">
        <v>0</v>
      </c>
      <c r="H839" s="8">
        <f t="shared" si="41"/>
        <v>0</v>
      </c>
    </row>
    <row r="840" spans="1:8" s="2" customFormat="1">
      <c r="A840" s="7" t="s">
        <v>814</v>
      </c>
      <c r="B840" s="7" t="str">
        <f t="shared" si="40"/>
        <v>28</v>
      </c>
      <c r="C840" s="7" t="str">
        <f>"28"</f>
        <v>28</v>
      </c>
      <c r="D840" s="7" t="str">
        <f>"20210132828"</f>
        <v>20210132828</v>
      </c>
      <c r="E840" s="7" t="s">
        <v>836</v>
      </c>
      <c r="F840" s="7">
        <v>75</v>
      </c>
      <c r="G840" s="7">
        <v>85</v>
      </c>
      <c r="H840" s="8">
        <f t="shared" si="41"/>
        <v>78</v>
      </c>
    </row>
    <row r="841" spans="1:8" s="2" customFormat="1">
      <c r="A841" s="7" t="s">
        <v>814</v>
      </c>
      <c r="B841" s="7" t="str">
        <f t="shared" si="40"/>
        <v>28</v>
      </c>
      <c r="C841" s="7" t="str">
        <f>"29"</f>
        <v>29</v>
      </c>
      <c r="D841" s="7" t="str">
        <f>"20210132829"</f>
        <v>20210132829</v>
      </c>
      <c r="E841" s="7" t="s">
        <v>837</v>
      </c>
      <c r="F841" s="7">
        <v>62</v>
      </c>
      <c r="G841" s="7">
        <v>69</v>
      </c>
      <c r="H841" s="8">
        <f t="shared" si="41"/>
        <v>64.099999999999994</v>
      </c>
    </row>
    <row r="842" spans="1:8" s="2" customFormat="1">
      <c r="A842" s="7" t="s">
        <v>814</v>
      </c>
      <c r="B842" s="7" t="str">
        <f t="shared" si="40"/>
        <v>28</v>
      </c>
      <c r="C842" s="7" t="str">
        <f>"30"</f>
        <v>30</v>
      </c>
      <c r="D842" s="7" t="str">
        <f>"20210132830"</f>
        <v>20210132830</v>
      </c>
      <c r="E842" s="7" t="s">
        <v>838</v>
      </c>
      <c r="F842" s="7">
        <v>69</v>
      </c>
      <c r="G842" s="7">
        <v>67</v>
      </c>
      <c r="H842" s="8">
        <f t="shared" si="41"/>
        <v>68.399999999999991</v>
      </c>
    </row>
    <row r="843" spans="1:8" s="2" customFormat="1">
      <c r="A843" s="7" t="s">
        <v>814</v>
      </c>
      <c r="B843" s="7" t="str">
        <f t="shared" ref="B843:B872" si="42">"29"</f>
        <v>29</v>
      </c>
      <c r="C843" s="7" t="str">
        <f>"01"</f>
        <v>01</v>
      </c>
      <c r="D843" s="7" t="str">
        <f>"20210132901"</f>
        <v>20210132901</v>
      </c>
      <c r="E843" s="7" t="s">
        <v>839</v>
      </c>
      <c r="F843" s="7">
        <v>58.5</v>
      </c>
      <c r="G843" s="7">
        <v>74</v>
      </c>
      <c r="H843" s="8">
        <f t="shared" si="41"/>
        <v>63.149999999999991</v>
      </c>
    </row>
    <row r="844" spans="1:8" s="2" customFormat="1">
      <c r="A844" s="7" t="s">
        <v>814</v>
      </c>
      <c r="B844" s="7" t="str">
        <f t="shared" si="42"/>
        <v>29</v>
      </c>
      <c r="C844" s="7" t="str">
        <f>"02"</f>
        <v>02</v>
      </c>
      <c r="D844" s="7" t="str">
        <f>"20210132902"</f>
        <v>20210132902</v>
      </c>
      <c r="E844" s="7" t="s">
        <v>840</v>
      </c>
      <c r="F844" s="7">
        <v>49</v>
      </c>
      <c r="G844" s="7">
        <v>42</v>
      </c>
      <c r="H844" s="8">
        <f t="shared" si="41"/>
        <v>46.9</v>
      </c>
    </row>
    <row r="845" spans="1:8" s="2" customFormat="1">
      <c r="A845" s="7" t="s">
        <v>814</v>
      </c>
      <c r="B845" s="7" t="str">
        <f t="shared" si="42"/>
        <v>29</v>
      </c>
      <c r="C845" s="7" t="str">
        <f>"03"</f>
        <v>03</v>
      </c>
      <c r="D845" s="7" t="str">
        <f>"20210132903"</f>
        <v>20210132903</v>
      </c>
      <c r="E845" s="7" t="s">
        <v>841</v>
      </c>
      <c r="F845" s="7">
        <v>53</v>
      </c>
      <c r="G845" s="7">
        <v>54</v>
      </c>
      <c r="H845" s="8">
        <f t="shared" si="41"/>
        <v>53.3</v>
      </c>
    </row>
    <row r="846" spans="1:8" s="2" customFormat="1">
      <c r="A846" s="7" t="s">
        <v>814</v>
      </c>
      <c r="B846" s="7" t="str">
        <f t="shared" si="42"/>
        <v>29</v>
      </c>
      <c r="C846" s="7" t="str">
        <f>"04"</f>
        <v>04</v>
      </c>
      <c r="D846" s="7" t="str">
        <f>"20210132904"</f>
        <v>20210132904</v>
      </c>
      <c r="E846" s="7" t="s">
        <v>842</v>
      </c>
      <c r="F846" s="7">
        <v>73</v>
      </c>
      <c r="G846" s="7">
        <v>76</v>
      </c>
      <c r="H846" s="8">
        <f t="shared" si="41"/>
        <v>73.899999999999991</v>
      </c>
    </row>
    <row r="847" spans="1:8" s="2" customFormat="1">
      <c r="A847" s="7" t="s">
        <v>814</v>
      </c>
      <c r="B847" s="7" t="str">
        <f t="shared" si="42"/>
        <v>29</v>
      </c>
      <c r="C847" s="7" t="str">
        <f>"05"</f>
        <v>05</v>
      </c>
      <c r="D847" s="7" t="str">
        <f>"20210132905"</f>
        <v>20210132905</v>
      </c>
      <c r="E847" s="7" t="s">
        <v>818</v>
      </c>
      <c r="F847" s="7">
        <v>82</v>
      </c>
      <c r="G847" s="7">
        <v>61</v>
      </c>
      <c r="H847" s="8">
        <f t="shared" si="41"/>
        <v>75.7</v>
      </c>
    </row>
    <row r="848" spans="1:8" s="2" customFormat="1">
      <c r="A848" s="7" t="s">
        <v>814</v>
      </c>
      <c r="B848" s="7" t="str">
        <f t="shared" si="42"/>
        <v>29</v>
      </c>
      <c r="C848" s="7" t="str">
        <f>"06"</f>
        <v>06</v>
      </c>
      <c r="D848" s="7" t="str">
        <f>"20210132906"</f>
        <v>20210132906</v>
      </c>
      <c r="E848" s="7" t="s">
        <v>843</v>
      </c>
      <c r="F848" s="7">
        <v>67.5</v>
      </c>
      <c r="G848" s="7">
        <v>68</v>
      </c>
      <c r="H848" s="8">
        <f t="shared" si="41"/>
        <v>67.650000000000006</v>
      </c>
    </row>
    <row r="849" spans="1:8" s="2" customFormat="1">
      <c r="A849" s="7" t="s">
        <v>814</v>
      </c>
      <c r="B849" s="7" t="str">
        <f t="shared" si="42"/>
        <v>29</v>
      </c>
      <c r="C849" s="7" t="str">
        <f>"07"</f>
        <v>07</v>
      </c>
      <c r="D849" s="7" t="str">
        <f>"20210132907"</f>
        <v>20210132907</v>
      </c>
      <c r="E849" s="7" t="s">
        <v>844</v>
      </c>
      <c r="F849" s="7">
        <v>64</v>
      </c>
      <c r="G849" s="7">
        <v>41</v>
      </c>
      <c r="H849" s="8">
        <f t="shared" si="41"/>
        <v>57.099999999999994</v>
      </c>
    </row>
    <row r="850" spans="1:8" s="2" customFormat="1">
      <c r="A850" s="7" t="s">
        <v>814</v>
      </c>
      <c r="B850" s="7" t="str">
        <f t="shared" si="42"/>
        <v>29</v>
      </c>
      <c r="C850" s="7" t="str">
        <f>"08"</f>
        <v>08</v>
      </c>
      <c r="D850" s="7" t="str">
        <f>"20210132908"</f>
        <v>20210132908</v>
      </c>
      <c r="E850" s="7" t="s">
        <v>845</v>
      </c>
      <c r="F850" s="7">
        <v>47</v>
      </c>
      <c r="G850" s="7">
        <v>40</v>
      </c>
      <c r="H850" s="8">
        <f t="shared" si="41"/>
        <v>44.9</v>
      </c>
    </row>
    <row r="851" spans="1:8" s="2" customFormat="1">
      <c r="A851" s="7" t="s">
        <v>814</v>
      </c>
      <c r="B851" s="7" t="str">
        <f t="shared" si="42"/>
        <v>29</v>
      </c>
      <c r="C851" s="7" t="str">
        <f>"09"</f>
        <v>09</v>
      </c>
      <c r="D851" s="7" t="str">
        <f>"20210132909"</f>
        <v>20210132909</v>
      </c>
      <c r="E851" s="7" t="s">
        <v>846</v>
      </c>
      <c r="F851" s="7">
        <v>0</v>
      </c>
      <c r="G851" s="7">
        <v>0</v>
      </c>
      <c r="H851" s="8">
        <f t="shared" si="41"/>
        <v>0</v>
      </c>
    </row>
    <row r="852" spans="1:8" s="2" customFormat="1">
      <c r="A852" s="7" t="s">
        <v>814</v>
      </c>
      <c r="B852" s="7" t="str">
        <f t="shared" si="42"/>
        <v>29</v>
      </c>
      <c r="C852" s="7" t="str">
        <f>"10"</f>
        <v>10</v>
      </c>
      <c r="D852" s="7" t="str">
        <f>"20210132910"</f>
        <v>20210132910</v>
      </c>
      <c r="E852" s="7" t="s">
        <v>42</v>
      </c>
      <c r="F852" s="7">
        <v>65</v>
      </c>
      <c r="G852" s="7">
        <v>68</v>
      </c>
      <c r="H852" s="8">
        <f t="shared" si="41"/>
        <v>65.900000000000006</v>
      </c>
    </row>
    <row r="853" spans="1:8" s="2" customFormat="1">
      <c r="A853" s="7" t="s">
        <v>814</v>
      </c>
      <c r="B853" s="7" t="str">
        <f t="shared" si="42"/>
        <v>29</v>
      </c>
      <c r="C853" s="7" t="str">
        <f>"11"</f>
        <v>11</v>
      </c>
      <c r="D853" s="7" t="str">
        <f>"20210132911"</f>
        <v>20210132911</v>
      </c>
      <c r="E853" s="7" t="s">
        <v>847</v>
      </c>
      <c r="F853" s="7">
        <v>73.5</v>
      </c>
      <c r="G853" s="7">
        <v>74</v>
      </c>
      <c r="H853" s="8">
        <f t="shared" si="41"/>
        <v>73.649999999999991</v>
      </c>
    </row>
    <row r="854" spans="1:8" s="2" customFormat="1">
      <c r="A854" s="7" t="s">
        <v>814</v>
      </c>
      <c r="B854" s="7" t="str">
        <f t="shared" si="42"/>
        <v>29</v>
      </c>
      <c r="C854" s="7" t="str">
        <f>"12"</f>
        <v>12</v>
      </c>
      <c r="D854" s="7" t="str">
        <f>"20210132912"</f>
        <v>20210132912</v>
      </c>
      <c r="E854" s="7" t="s">
        <v>848</v>
      </c>
      <c r="F854" s="7">
        <v>0</v>
      </c>
      <c r="G854" s="7">
        <v>0</v>
      </c>
      <c r="H854" s="8">
        <f t="shared" si="41"/>
        <v>0</v>
      </c>
    </row>
    <row r="855" spans="1:8" s="2" customFormat="1">
      <c r="A855" s="7" t="s">
        <v>814</v>
      </c>
      <c r="B855" s="7" t="str">
        <f t="shared" si="42"/>
        <v>29</v>
      </c>
      <c r="C855" s="7" t="str">
        <f>"13"</f>
        <v>13</v>
      </c>
      <c r="D855" s="7" t="str">
        <f>"20210132913"</f>
        <v>20210132913</v>
      </c>
      <c r="E855" s="7" t="s">
        <v>849</v>
      </c>
      <c r="F855" s="7">
        <v>59</v>
      </c>
      <c r="G855" s="7">
        <v>58</v>
      </c>
      <c r="H855" s="8">
        <f t="shared" si="41"/>
        <v>58.699999999999996</v>
      </c>
    </row>
    <row r="856" spans="1:8" s="2" customFormat="1">
      <c r="A856" s="7" t="s">
        <v>814</v>
      </c>
      <c r="B856" s="7" t="str">
        <f t="shared" si="42"/>
        <v>29</v>
      </c>
      <c r="C856" s="7" t="str">
        <f>"14"</f>
        <v>14</v>
      </c>
      <c r="D856" s="7" t="str">
        <f>"20210132914"</f>
        <v>20210132914</v>
      </c>
      <c r="E856" s="7" t="s">
        <v>850</v>
      </c>
      <c r="F856" s="7">
        <v>0</v>
      </c>
      <c r="G856" s="7">
        <v>0</v>
      </c>
      <c r="H856" s="8">
        <f t="shared" si="41"/>
        <v>0</v>
      </c>
    </row>
    <row r="857" spans="1:8" s="2" customFormat="1">
      <c r="A857" s="7" t="s">
        <v>814</v>
      </c>
      <c r="B857" s="7" t="str">
        <f t="shared" si="42"/>
        <v>29</v>
      </c>
      <c r="C857" s="7" t="str">
        <f>"15"</f>
        <v>15</v>
      </c>
      <c r="D857" s="7" t="str">
        <f>"20210132915"</f>
        <v>20210132915</v>
      </c>
      <c r="E857" s="7" t="s">
        <v>851</v>
      </c>
      <c r="F857" s="7">
        <v>35</v>
      </c>
      <c r="G857" s="7">
        <v>41</v>
      </c>
      <c r="H857" s="8">
        <f t="shared" si="41"/>
        <v>36.799999999999997</v>
      </c>
    </row>
    <row r="858" spans="1:8" s="2" customFormat="1">
      <c r="A858" s="7" t="s">
        <v>814</v>
      </c>
      <c r="B858" s="7" t="str">
        <f t="shared" si="42"/>
        <v>29</v>
      </c>
      <c r="C858" s="7" t="str">
        <f>"16"</f>
        <v>16</v>
      </c>
      <c r="D858" s="7" t="str">
        <f>"20210132916"</f>
        <v>20210132916</v>
      </c>
      <c r="E858" s="7" t="s">
        <v>852</v>
      </c>
      <c r="F858" s="7">
        <v>67.5</v>
      </c>
      <c r="G858" s="7">
        <v>58</v>
      </c>
      <c r="H858" s="8">
        <f t="shared" si="41"/>
        <v>64.650000000000006</v>
      </c>
    </row>
    <row r="859" spans="1:8" s="2" customFormat="1">
      <c r="A859" s="7" t="s">
        <v>814</v>
      </c>
      <c r="B859" s="7" t="str">
        <f t="shared" si="42"/>
        <v>29</v>
      </c>
      <c r="C859" s="7" t="str">
        <f>"17"</f>
        <v>17</v>
      </c>
      <c r="D859" s="7" t="str">
        <f>"20210132917"</f>
        <v>20210132917</v>
      </c>
      <c r="E859" s="7" t="s">
        <v>853</v>
      </c>
      <c r="F859" s="7">
        <v>66</v>
      </c>
      <c r="G859" s="7">
        <v>48</v>
      </c>
      <c r="H859" s="8">
        <f t="shared" si="41"/>
        <v>60.599999999999994</v>
      </c>
    </row>
    <row r="860" spans="1:8" s="2" customFormat="1">
      <c r="A860" s="7" t="s">
        <v>814</v>
      </c>
      <c r="B860" s="7" t="str">
        <f t="shared" si="42"/>
        <v>29</v>
      </c>
      <c r="C860" s="7" t="str">
        <f>"18"</f>
        <v>18</v>
      </c>
      <c r="D860" s="7" t="str">
        <f>"20210132918"</f>
        <v>20210132918</v>
      </c>
      <c r="E860" s="7" t="s">
        <v>854</v>
      </c>
      <c r="F860" s="7">
        <v>60</v>
      </c>
      <c r="G860" s="7">
        <v>64</v>
      </c>
      <c r="H860" s="8">
        <f t="shared" si="41"/>
        <v>61.2</v>
      </c>
    </row>
    <row r="861" spans="1:8" s="2" customFormat="1">
      <c r="A861" s="7" t="s">
        <v>814</v>
      </c>
      <c r="B861" s="7" t="str">
        <f t="shared" si="42"/>
        <v>29</v>
      </c>
      <c r="C861" s="7" t="str">
        <f>"19"</f>
        <v>19</v>
      </c>
      <c r="D861" s="7" t="str">
        <f>"20210132919"</f>
        <v>20210132919</v>
      </c>
      <c r="E861" s="7" t="s">
        <v>855</v>
      </c>
      <c r="F861" s="7">
        <v>32</v>
      </c>
      <c r="G861" s="7">
        <v>39</v>
      </c>
      <c r="H861" s="8">
        <f t="shared" si="41"/>
        <v>34.099999999999994</v>
      </c>
    </row>
    <row r="862" spans="1:8" s="2" customFormat="1">
      <c r="A862" s="7" t="s">
        <v>814</v>
      </c>
      <c r="B862" s="7" t="str">
        <f t="shared" si="42"/>
        <v>29</v>
      </c>
      <c r="C862" s="7" t="str">
        <f>"20"</f>
        <v>20</v>
      </c>
      <c r="D862" s="7" t="str">
        <f>"20210132920"</f>
        <v>20210132920</v>
      </c>
      <c r="E862" s="7" t="s">
        <v>856</v>
      </c>
      <c r="F862" s="7">
        <v>80</v>
      </c>
      <c r="G862" s="7">
        <v>81</v>
      </c>
      <c r="H862" s="8">
        <f t="shared" si="41"/>
        <v>80.3</v>
      </c>
    </row>
    <row r="863" spans="1:8" s="2" customFormat="1">
      <c r="A863" s="7" t="s">
        <v>814</v>
      </c>
      <c r="B863" s="7" t="str">
        <f t="shared" si="42"/>
        <v>29</v>
      </c>
      <c r="C863" s="7" t="str">
        <f>"21"</f>
        <v>21</v>
      </c>
      <c r="D863" s="7" t="str">
        <f>"20210132921"</f>
        <v>20210132921</v>
      </c>
      <c r="E863" s="7" t="s">
        <v>857</v>
      </c>
      <c r="F863" s="7">
        <v>47</v>
      </c>
      <c r="G863" s="7">
        <v>63</v>
      </c>
      <c r="H863" s="8">
        <f t="shared" si="41"/>
        <v>51.8</v>
      </c>
    </row>
    <row r="864" spans="1:8" s="2" customFormat="1">
      <c r="A864" s="7" t="s">
        <v>814</v>
      </c>
      <c r="B864" s="7" t="str">
        <f t="shared" si="42"/>
        <v>29</v>
      </c>
      <c r="C864" s="7" t="str">
        <f>"22"</f>
        <v>22</v>
      </c>
      <c r="D864" s="7" t="str">
        <f>"20210132922"</f>
        <v>20210132922</v>
      </c>
      <c r="E864" s="7" t="s">
        <v>858</v>
      </c>
      <c r="F864" s="7">
        <v>58</v>
      </c>
      <c r="G864" s="7">
        <v>54</v>
      </c>
      <c r="H864" s="8">
        <f t="shared" si="41"/>
        <v>56.8</v>
      </c>
    </row>
    <row r="865" spans="1:8" s="2" customFormat="1">
      <c r="A865" s="7" t="s">
        <v>814</v>
      </c>
      <c r="B865" s="7" t="str">
        <f t="shared" si="42"/>
        <v>29</v>
      </c>
      <c r="C865" s="7" t="str">
        <f>"23"</f>
        <v>23</v>
      </c>
      <c r="D865" s="7" t="str">
        <f>"20210132923"</f>
        <v>20210132923</v>
      </c>
      <c r="E865" s="7" t="s">
        <v>859</v>
      </c>
      <c r="F865" s="7">
        <v>60</v>
      </c>
      <c r="G865" s="7">
        <v>65</v>
      </c>
      <c r="H865" s="8">
        <f t="shared" si="41"/>
        <v>61.5</v>
      </c>
    </row>
    <row r="866" spans="1:8" s="2" customFormat="1">
      <c r="A866" s="7" t="s">
        <v>814</v>
      </c>
      <c r="B866" s="7" t="str">
        <f t="shared" si="42"/>
        <v>29</v>
      </c>
      <c r="C866" s="7" t="str">
        <f>"24"</f>
        <v>24</v>
      </c>
      <c r="D866" s="7" t="str">
        <f>"20210132924"</f>
        <v>20210132924</v>
      </c>
      <c r="E866" s="7" t="s">
        <v>860</v>
      </c>
      <c r="F866" s="7">
        <v>76</v>
      </c>
      <c r="G866" s="7">
        <v>73</v>
      </c>
      <c r="H866" s="8">
        <f t="shared" si="41"/>
        <v>75.099999999999994</v>
      </c>
    </row>
    <row r="867" spans="1:8" s="2" customFormat="1">
      <c r="A867" s="7" t="s">
        <v>814</v>
      </c>
      <c r="B867" s="7" t="str">
        <f t="shared" si="42"/>
        <v>29</v>
      </c>
      <c r="C867" s="7" t="str">
        <f>"25"</f>
        <v>25</v>
      </c>
      <c r="D867" s="7" t="str">
        <f>"20210132925"</f>
        <v>20210132925</v>
      </c>
      <c r="E867" s="7" t="s">
        <v>861</v>
      </c>
      <c r="F867" s="7">
        <v>64.5</v>
      </c>
      <c r="G867" s="7">
        <v>61</v>
      </c>
      <c r="H867" s="8">
        <f t="shared" si="41"/>
        <v>63.45</v>
      </c>
    </row>
    <row r="868" spans="1:8" s="2" customFormat="1">
      <c r="A868" s="7" t="s">
        <v>814</v>
      </c>
      <c r="B868" s="7" t="str">
        <f t="shared" si="42"/>
        <v>29</v>
      </c>
      <c r="C868" s="7" t="str">
        <f>"26"</f>
        <v>26</v>
      </c>
      <c r="D868" s="7" t="str">
        <f>"20210132926"</f>
        <v>20210132926</v>
      </c>
      <c r="E868" s="7" t="s">
        <v>862</v>
      </c>
      <c r="F868" s="7">
        <v>79</v>
      </c>
      <c r="G868" s="7">
        <v>66</v>
      </c>
      <c r="H868" s="8">
        <f t="shared" si="41"/>
        <v>75.099999999999994</v>
      </c>
    </row>
    <row r="869" spans="1:8" s="2" customFormat="1">
      <c r="A869" s="7" t="s">
        <v>814</v>
      </c>
      <c r="B869" s="7" t="str">
        <f t="shared" si="42"/>
        <v>29</v>
      </c>
      <c r="C869" s="7" t="str">
        <f>"27"</f>
        <v>27</v>
      </c>
      <c r="D869" s="7" t="str">
        <f>"20210132927"</f>
        <v>20210132927</v>
      </c>
      <c r="E869" s="7" t="s">
        <v>863</v>
      </c>
      <c r="F869" s="7">
        <v>69.5</v>
      </c>
      <c r="G869" s="7">
        <v>76</v>
      </c>
      <c r="H869" s="8">
        <f t="shared" si="41"/>
        <v>71.45</v>
      </c>
    </row>
    <row r="870" spans="1:8" s="2" customFormat="1">
      <c r="A870" s="7" t="s">
        <v>814</v>
      </c>
      <c r="B870" s="7" t="str">
        <f t="shared" si="42"/>
        <v>29</v>
      </c>
      <c r="C870" s="7" t="str">
        <f>"28"</f>
        <v>28</v>
      </c>
      <c r="D870" s="7" t="str">
        <f>"20210132928"</f>
        <v>20210132928</v>
      </c>
      <c r="E870" s="7" t="s">
        <v>864</v>
      </c>
      <c r="F870" s="7">
        <v>73</v>
      </c>
      <c r="G870" s="7">
        <v>72</v>
      </c>
      <c r="H870" s="8">
        <f t="shared" si="41"/>
        <v>72.699999999999989</v>
      </c>
    </row>
    <row r="871" spans="1:8" s="2" customFormat="1">
      <c r="A871" s="7" t="s">
        <v>814</v>
      </c>
      <c r="B871" s="7" t="str">
        <f t="shared" si="42"/>
        <v>29</v>
      </c>
      <c r="C871" s="7" t="str">
        <f>"29"</f>
        <v>29</v>
      </c>
      <c r="D871" s="7" t="str">
        <f>"20210132929"</f>
        <v>20210132929</v>
      </c>
      <c r="E871" s="7" t="s">
        <v>865</v>
      </c>
      <c r="F871" s="7">
        <v>53</v>
      </c>
      <c r="G871" s="7">
        <v>43</v>
      </c>
      <c r="H871" s="8">
        <f t="shared" si="41"/>
        <v>49.999999999999993</v>
      </c>
    </row>
    <row r="872" spans="1:8" s="2" customFormat="1">
      <c r="A872" s="7" t="s">
        <v>814</v>
      </c>
      <c r="B872" s="7" t="str">
        <f t="shared" si="42"/>
        <v>29</v>
      </c>
      <c r="C872" s="7" t="str">
        <f>"30"</f>
        <v>30</v>
      </c>
      <c r="D872" s="7" t="str">
        <f>"20210132930"</f>
        <v>20210132930</v>
      </c>
      <c r="E872" s="7" t="s">
        <v>866</v>
      </c>
      <c r="F872" s="7">
        <v>62</v>
      </c>
      <c r="G872" s="7">
        <v>77</v>
      </c>
      <c r="H872" s="8">
        <f t="shared" si="41"/>
        <v>66.5</v>
      </c>
    </row>
    <row r="873" spans="1:8" s="2" customFormat="1">
      <c r="A873" s="7" t="s">
        <v>814</v>
      </c>
      <c r="B873" s="7" t="str">
        <f t="shared" ref="B873:B902" si="43">"30"</f>
        <v>30</v>
      </c>
      <c r="C873" s="7" t="str">
        <f>"01"</f>
        <v>01</v>
      </c>
      <c r="D873" s="7" t="str">
        <f>"20210133001"</f>
        <v>20210133001</v>
      </c>
      <c r="E873" s="7" t="s">
        <v>867</v>
      </c>
      <c r="F873" s="7">
        <v>65</v>
      </c>
      <c r="G873" s="7">
        <v>77</v>
      </c>
      <c r="H873" s="8">
        <f t="shared" si="41"/>
        <v>68.599999999999994</v>
      </c>
    </row>
    <row r="874" spans="1:8" s="2" customFormat="1">
      <c r="A874" s="7" t="s">
        <v>814</v>
      </c>
      <c r="B874" s="7" t="str">
        <f t="shared" si="43"/>
        <v>30</v>
      </c>
      <c r="C874" s="7" t="str">
        <f>"02"</f>
        <v>02</v>
      </c>
      <c r="D874" s="7" t="str">
        <f>"20210133002"</f>
        <v>20210133002</v>
      </c>
      <c r="E874" s="7" t="s">
        <v>868</v>
      </c>
      <c r="F874" s="7">
        <v>42</v>
      </c>
      <c r="G874" s="7">
        <v>56</v>
      </c>
      <c r="H874" s="8">
        <f t="shared" si="41"/>
        <v>46.2</v>
      </c>
    </row>
    <row r="875" spans="1:8" s="2" customFormat="1">
      <c r="A875" s="7" t="s">
        <v>814</v>
      </c>
      <c r="B875" s="7" t="str">
        <f t="shared" si="43"/>
        <v>30</v>
      </c>
      <c r="C875" s="7" t="str">
        <f>"03"</f>
        <v>03</v>
      </c>
      <c r="D875" s="7" t="str">
        <f>"20210133003"</f>
        <v>20210133003</v>
      </c>
      <c r="E875" s="7" t="s">
        <v>869</v>
      </c>
      <c r="F875" s="7">
        <v>41.5</v>
      </c>
      <c r="G875" s="7">
        <v>44</v>
      </c>
      <c r="H875" s="8">
        <f t="shared" si="41"/>
        <v>42.25</v>
      </c>
    </row>
    <row r="876" spans="1:8" s="2" customFormat="1">
      <c r="A876" s="7" t="s">
        <v>814</v>
      </c>
      <c r="B876" s="7" t="str">
        <f t="shared" si="43"/>
        <v>30</v>
      </c>
      <c r="C876" s="7" t="str">
        <f>"04"</f>
        <v>04</v>
      </c>
      <c r="D876" s="7" t="str">
        <f>"20210133004"</f>
        <v>20210133004</v>
      </c>
      <c r="E876" s="7" t="s">
        <v>870</v>
      </c>
      <c r="F876" s="7">
        <v>74</v>
      </c>
      <c r="G876" s="7">
        <v>61</v>
      </c>
      <c r="H876" s="8">
        <f t="shared" si="41"/>
        <v>70.099999999999994</v>
      </c>
    </row>
    <row r="877" spans="1:8" s="2" customFormat="1">
      <c r="A877" s="7" t="s">
        <v>814</v>
      </c>
      <c r="B877" s="7" t="str">
        <f t="shared" si="43"/>
        <v>30</v>
      </c>
      <c r="C877" s="7" t="str">
        <f>"05"</f>
        <v>05</v>
      </c>
      <c r="D877" s="7" t="str">
        <f>"20210133005"</f>
        <v>20210133005</v>
      </c>
      <c r="E877" s="7" t="s">
        <v>871</v>
      </c>
      <c r="F877" s="7">
        <v>53.5</v>
      </c>
      <c r="G877" s="7">
        <v>50</v>
      </c>
      <c r="H877" s="8">
        <f t="shared" si="41"/>
        <v>52.449999999999996</v>
      </c>
    </row>
    <row r="878" spans="1:8" s="2" customFormat="1">
      <c r="A878" s="7" t="s">
        <v>814</v>
      </c>
      <c r="B878" s="7" t="str">
        <f t="shared" si="43"/>
        <v>30</v>
      </c>
      <c r="C878" s="7" t="str">
        <f>"06"</f>
        <v>06</v>
      </c>
      <c r="D878" s="7" t="str">
        <f>"20210133006"</f>
        <v>20210133006</v>
      </c>
      <c r="E878" s="7" t="s">
        <v>872</v>
      </c>
      <c r="F878" s="7">
        <v>58.5</v>
      </c>
      <c r="G878" s="7">
        <v>84</v>
      </c>
      <c r="H878" s="8">
        <f t="shared" si="41"/>
        <v>66.149999999999991</v>
      </c>
    </row>
    <row r="879" spans="1:8" s="2" customFormat="1">
      <c r="A879" s="7" t="s">
        <v>814</v>
      </c>
      <c r="B879" s="7" t="str">
        <f t="shared" si="43"/>
        <v>30</v>
      </c>
      <c r="C879" s="7" t="str">
        <f>"07"</f>
        <v>07</v>
      </c>
      <c r="D879" s="7" t="str">
        <f>"20210133007"</f>
        <v>20210133007</v>
      </c>
      <c r="E879" s="7" t="s">
        <v>873</v>
      </c>
      <c r="F879" s="7">
        <v>53</v>
      </c>
      <c r="G879" s="7">
        <v>57</v>
      </c>
      <c r="H879" s="8">
        <f t="shared" si="41"/>
        <v>54.199999999999989</v>
      </c>
    </row>
    <row r="880" spans="1:8" s="2" customFormat="1">
      <c r="A880" s="7" t="s">
        <v>814</v>
      </c>
      <c r="B880" s="7" t="str">
        <f t="shared" si="43"/>
        <v>30</v>
      </c>
      <c r="C880" s="7" t="str">
        <f>"08"</f>
        <v>08</v>
      </c>
      <c r="D880" s="7" t="str">
        <f>"20210133008"</f>
        <v>20210133008</v>
      </c>
      <c r="E880" s="7" t="s">
        <v>874</v>
      </c>
      <c r="F880" s="7">
        <v>51</v>
      </c>
      <c r="G880" s="7">
        <v>62</v>
      </c>
      <c r="H880" s="8">
        <f t="shared" si="41"/>
        <v>54.3</v>
      </c>
    </row>
    <row r="881" spans="1:8" s="2" customFormat="1">
      <c r="A881" s="7" t="s">
        <v>814</v>
      </c>
      <c r="B881" s="7" t="str">
        <f t="shared" si="43"/>
        <v>30</v>
      </c>
      <c r="C881" s="7" t="str">
        <f>"09"</f>
        <v>09</v>
      </c>
      <c r="D881" s="7" t="str">
        <f>"20210133009"</f>
        <v>20210133009</v>
      </c>
      <c r="E881" s="7" t="s">
        <v>875</v>
      </c>
      <c r="F881" s="7">
        <v>61</v>
      </c>
      <c r="G881" s="7">
        <v>65</v>
      </c>
      <c r="H881" s="8">
        <f t="shared" si="41"/>
        <v>62.199999999999996</v>
      </c>
    </row>
    <row r="882" spans="1:8" s="2" customFormat="1">
      <c r="A882" s="7" t="s">
        <v>814</v>
      </c>
      <c r="B882" s="7" t="str">
        <f t="shared" si="43"/>
        <v>30</v>
      </c>
      <c r="C882" s="7" t="str">
        <f>"10"</f>
        <v>10</v>
      </c>
      <c r="D882" s="7" t="str">
        <f>"20210133010"</f>
        <v>20210133010</v>
      </c>
      <c r="E882" s="7" t="s">
        <v>876</v>
      </c>
      <c r="F882" s="7">
        <v>57</v>
      </c>
      <c r="G882" s="7">
        <v>70</v>
      </c>
      <c r="H882" s="8">
        <f t="shared" si="41"/>
        <v>60.9</v>
      </c>
    </row>
    <row r="883" spans="1:8" s="2" customFormat="1">
      <c r="A883" s="7" t="s">
        <v>814</v>
      </c>
      <c r="B883" s="7" t="str">
        <f t="shared" si="43"/>
        <v>30</v>
      </c>
      <c r="C883" s="7" t="str">
        <f>"11"</f>
        <v>11</v>
      </c>
      <c r="D883" s="7" t="str">
        <f>"20210133011"</f>
        <v>20210133011</v>
      </c>
      <c r="E883" s="7" t="s">
        <v>877</v>
      </c>
      <c r="F883" s="7">
        <v>0</v>
      </c>
      <c r="G883" s="7">
        <v>0</v>
      </c>
      <c r="H883" s="8">
        <f t="shared" si="41"/>
        <v>0</v>
      </c>
    </row>
    <row r="884" spans="1:8" s="2" customFormat="1">
      <c r="A884" s="7" t="s">
        <v>814</v>
      </c>
      <c r="B884" s="7" t="str">
        <f t="shared" si="43"/>
        <v>30</v>
      </c>
      <c r="C884" s="7" t="str">
        <f>"12"</f>
        <v>12</v>
      </c>
      <c r="D884" s="7" t="str">
        <f>"20210133012"</f>
        <v>20210133012</v>
      </c>
      <c r="E884" s="7" t="s">
        <v>878</v>
      </c>
      <c r="F884" s="7">
        <v>64</v>
      </c>
      <c r="G884" s="7">
        <v>76</v>
      </c>
      <c r="H884" s="8">
        <f t="shared" si="41"/>
        <v>67.599999999999994</v>
      </c>
    </row>
    <row r="885" spans="1:8" s="2" customFormat="1">
      <c r="A885" s="7" t="s">
        <v>879</v>
      </c>
      <c r="B885" s="7" t="str">
        <f t="shared" si="43"/>
        <v>30</v>
      </c>
      <c r="C885" s="7" t="str">
        <f>"13"</f>
        <v>13</v>
      </c>
      <c r="D885" s="7" t="str">
        <f>"20210143013"</f>
        <v>20210143013</v>
      </c>
      <c r="E885" s="7" t="s">
        <v>880</v>
      </c>
      <c r="F885" s="7">
        <v>53</v>
      </c>
      <c r="G885" s="7">
        <v>62</v>
      </c>
      <c r="H885" s="8">
        <f t="shared" si="41"/>
        <v>55.699999999999989</v>
      </c>
    </row>
    <row r="886" spans="1:8" s="2" customFormat="1">
      <c r="A886" s="7" t="s">
        <v>879</v>
      </c>
      <c r="B886" s="7" t="str">
        <f t="shared" si="43"/>
        <v>30</v>
      </c>
      <c r="C886" s="7" t="str">
        <f>"14"</f>
        <v>14</v>
      </c>
      <c r="D886" s="7" t="str">
        <f>"20210143014"</f>
        <v>20210143014</v>
      </c>
      <c r="E886" s="7" t="s">
        <v>881</v>
      </c>
      <c r="F886" s="7">
        <v>45</v>
      </c>
      <c r="G886" s="7">
        <v>55</v>
      </c>
      <c r="H886" s="8">
        <f t="shared" si="41"/>
        <v>48</v>
      </c>
    </row>
    <row r="887" spans="1:8" s="2" customFormat="1">
      <c r="A887" s="7" t="s">
        <v>879</v>
      </c>
      <c r="B887" s="7" t="str">
        <f t="shared" si="43"/>
        <v>30</v>
      </c>
      <c r="C887" s="7" t="str">
        <f>"15"</f>
        <v>15</v>
      </c>
      <c r="D887" s="7" t="str">
        <f>"20210143015"</f>
        <v>20210143015</v>
      </c>
      <c r="E887" s="7" t="s">
        <v>882</v>
      </c>
      <c r="F887" s="7">
        <v>41</v>
      </c>
      <c r="G887" s="7">
        <v>35</v>
      </c>
      <c r="H887" s="8">
        <f t="shared" si="41"/>
        <v>39.200000000000003</v>
      </c>
    </row>
    <row r="888" spans="1:8" s="2" customFormat="1">
      <c r="A888" s="7" t="s">
        <v>879</v>
      </c>
      <c r="B888" s="7" t="str">
        <f t="shared" si="43"/>
        <v>30</v>
      </c>
      <c r="C888" s="7" t="str">
        <f>"16"</f>
        <v>16</v>
      </c>
      <c r="D888" s="7" t="str">
        <f>"20210143016"</f>
        <v>20210143016</v>
      </c>
      <c r="E888" s="7" t="s">
        <v>883</v>
      </c>
      <c r="F888" s="7">
        <v>71</v>
      </c>
      <c r="G888" s="7">
        <v>76</v>
      </c>
      <c r="H888" s="8">
        <f t="shared" si="41"/>
        <v>72.5</v>
      </c>
    </row>
    <row r="889" spans="1:8" s="2" customFormat="1">
      <c r="A889" s="7" t="s">
        <v>879</v>
      </c>
      <c r="B889" s="7" t="str">
        <f t="shared" si="43"/>
        <v>30</v>
      </c>
      <c r="C889" s="7" t="str">
        <f>"17"</f>
        <v>17</v>
      </c>
      <c r="D889" s="7" t="str">
        <f>"20210143017"</f>
        <v>20210143017</v>
      </c>
      <c r="E889" s="7" t="s">
        <v>884</v>
      </c>
      <c r="F889" s="7">
        <v>51.5</v>
      </c>
      <c r="G889" s="7">
        <v>44</v>
      </c>
      <c r="H889" s="8">
        <f t="shared" si="41"/>
        <v>49.25</v>
      </c>
    </row>
    <row r="890" spans="1:8" s="2" customFormat="1">
      <c r="A890" s="7" t="s">
        <v>879</v>
      </c>
      <c r="B890" s="7" t="str">
        <f t="shared" si="43"/>
        <v>30</v>
      </c>
      <c r="C890" s="7" t="str">
        <f>"18"</f>
        <v>18</v>
      </c>
      <c r="D890" s="7" t="str">
        <f>"20210143018"</f>
        <v>20210143018</v>
      </c>
      <c r="E890" s="7" t="s">
        <v>885</v>
      </c>
      <c r="F890" s="7">
        <v>47.5</v>
      </c>
      <c r="G890" s="7">
        <v>65</v>
      </c>
      <c r="H890" s="8">
        <f t="shared" si="41"/>
        <v>52.75</v>
      </c>
    </row>
    <row r="891" spans="1:8" s="2" customFormat="1">
      <c r="A891" s="7" t="s">
        <v>879</v>
      </c>
      <c r="B891" s="7" t="str">
        <f t="shared" si="43"/>
        <v>30</v>
      </c>
      <c r="C891" s="7" t="str">
        <f>"19"</f>
        <v>19</v>
      </c>
      <c r="D891" s="7" t="str">
        <f>"20210143019"</f>
        <v>20210143019</v>
      </c>
      <c r="E891" s="7" t="s">
        <v>886</v>
      </c>
      <c r="F891" s="7">
        <v>52</v>
      </c>
      <c r="G891" s="7">
        <v>37</v>
      </c>
      <c r="H891" s="8">
        <f t="shared" si="41"/>
        <v>47.5</v>
      </c>
    </row>
    <row r="892" spans="1:8" s="2" customFormat="1">
      <c r="A892" s="7" t="s">
        <v>879</v>
      </c>
      <c r="B892" s="7" t="str">
        <f t="shared" si="43"/>
        <v>30</v>
      </c>
      <c r="C892" s="7" t="str">
        <f>"20"</f>
        <v>20</v>
      </c>
      <c r="D892" s="7" t="str">
        <f>"20210143020"</f>
        <v>20210143020</v>
      </c>
      <c r="E892" s="7" t="s">
        <v>887</v>
      </c>
      <c r="F892" s="7">
        <v>0</v>
      </c>
      <c r="G892" s="7">
        <v>0</v>
      </c>
      <c r="H892" s="8">
        <f t="shared" si="41"/>
        <v>0</v>
      </c>
    </row>
    <row r="893" spans="1:8" s="2" customFormat="1">
      <c r="A893" s="7" t="s">
        <v>879</v>
      </c>
      <c r="B893" s="7" t="str">
        <f t="shared" si="43"/>
        <v>30</v>
      </c>
      <c r="C893" s="7" t="str">
        <f>"21"</f>
        <v>21</v>
      </c>
      <c r="D893" s="7" t="str">
        <f>"20210143021"</f>
        <v>20210143021</v>
      </c>
      <c r="E893" s="7" t="s">
        <v>888</v>
      </c>
      <c r="F893" s="7">
        <v>42</v>
      </c>
      <c r="G893" s="7">
        <v>42</v>
      </c>
      <c r="H893" s="8">
        <f t="shared" si="41"/>
        <v>42</v>
      </c>
    </row>
    <row r="894" spans="1:8" s="2" customFormat="1">
      <c r="A894" s="7" t="s">
        <v>879</v>
      </c>
      <c r="B894" s="7" t="str">
        <f t="shared" si="43"/>
        <v>30</v>
      </c>
      <c r="C894" s="7" t="str">
        <f>"22"</f>
        <v>22</v>
      </c>
      <c r="D894" s="7" t="str">
        <f>"20210143022"</f>
        <v>20210143022</v>
      </c>
      <c r="E894" s="7" t="s">
        <v>889</v>
      </c>
      <c r="F894" s="7">
        <v>48.5</v>
      </c>
      <c r="G894" s="7">
        <v>58</v>
      </c>
      <c r="H894" s="8">
        <f t="shared" si="41"/>
        <v>51.349999999999994</v>
      </c>
    </row>
    <row r="895" spans="1:8" s="2" customFormat="1">
      <c r="A895" s="7" t="s">
        <v>879</v>
      </c>
      <c r="B895" s="7" t="str">
        <f t="shared" si="43"/>
        <v>30</v>
      </c>
      <c r="C895" s="7" t="str">
        <f>"23"</f>
        <v>23</v>
      </c>
      <c r="D895" s="7" t="str">
        <f>"20210143023"</f>
        <v>20210143023</v>
      </c>
      <c r="E895" s="7" t="s">
        <v>890</v>
      </c>
      <c r="F895" s="7">
        <v>52.5</v>
      </c>
      <c r="G895" s="7">
        <v>58</v>
      </c>
      <c r="H895" s="8">
        <f t="shared" si="41"/>
        <v>54.15</v>
      </c>
    </row>
    <row r="896" spans="1:8" s="2" customFormat="1">
      <c r="A896" s="7" t="s">
        <v>879</v>
      </c>
      <c r="B896" s="7" t="str">
        <f t="shared" si="43"/>
        <v>30</v>
      </c>
      <c r="C896" s="7" t="str">
        <f>"24"</f>
        <v>24</v>
      </c>
      <c r="D896" s="7" t="str">
        <f>"20210143024"</f>
        <v>20210143024</v>
      </c>
      <c r="E896" s="7" t="s">
        <v>891</v>
      </c>
      <c r="F896" s="7">
        <v>61</v>
      </c>
      <c r="G896" s="7">
        <v>80</v>
      </c>
      <c r="H896" s="8">
        <f t="shared" si="41"/>
        <v>66.699999999999989</v>
      </c>
    </row>
    <row r="897" spans="1:8" s="2" customFormat="1">
      <c r="A897" s="7" t="s">
        <v>879</v>
      </c>
      <c r="B897" s="7" t="str">
        <f t="shared" si="43"/>
        <v>30</v>
      </c>
      <c r="C897" s="7" t="str">
        <f>"25"</f>
        <v>25</v>
      </c>
      <c r="D897" s="7" t="str">
        <f>"20210143025"</f>
        <v>20210143025</v>
      </c>
      <c r="E897" s="7" t="s">
        <v>892</v>
      </c>
      <c r="F897" s="7">
        <v>52</v>
      </c>
      <c r="G897" s="7">
        <v>62</v>
      </c>
      <c r="H897" s="8">
        <f t="shared" si="41"/>
        <v>55</v>
      </c>
    </row>
    <row r="898" spans="1:8" s="2" customFormat="1">
      <c r="A898" s="7" t="s">
        <v>879</v>
      </c>
      <c r="B898" s="7" t="str">
        <f t="shared" si="43"/>
        <v>30</v>
      </c>
      <c r="C898" s="7" t="str">
        <f>"26"</f>
        <v>26</v>
      </c>
      <c r="D898" s="7" t="str">
        <f>"20210143026"</f>
        <v>20210143026</v>
      </c>
      <c r="E898" s="7" t="s">
        <v>153</v>
      </c>
      <c r="F898" s="7">
        <v>50</v>
      </c>
      <c r="G898" s="7">
        <v>65</v>
      </c>
      <c r="H898" s="8">
        <f t="shared" si="41"/>
        <v>54.5</v>
      </c>
    </row>
    <row r="899" spans="1:8" s="2" customFormat="1">
      <c r="A899" s="7" t="s">
        <v>879</v>
      </c>
      <c r="B899" s="7" t="str">
        <f t="shared" si="43"/>
        <v>30</v>
      </c>
      <c r="C899" s="7" t="str">
        <f>"27"</f>
        <v>27</v>
      </c>
      <c r="D899" s="7" t="str">
        <f>"20210143027"</f>
        <v>20210143027</v>
      </c>
      <c r="E899" s="7" t="s">
        <v>893</v>
      </c>
      <c r="F899" s="7">
        <v>59.5</v>
      </c>
      <c r="G899" s="7">
        <v>54</v>
      </c>
      <c r="H899" s="8">
        <f t="shared" ref="H899:H962" si="44">F899*0.7+G899*0.3</f>
        <v>57.849999999999994</v>
      </c>
    </row>
    <row r="900" spans="1:8" s="2" customFormat="1">
      <c r="A900" s="7" t="s">
        <v>879</v>
      </c>
      <c r="B900" s="7" t="str">
        <f t="shared" si="43"/>
        <v>30</v>
      </c>
      <c r="C900" s="7" t="str">
        <f>"28"</f>
        <v>28</v>
      </c>
      <c r="D900" s="7" t="str">
        <f>"20210143028"</f>
        <v>20210143028</v>
      </c>
      <c r="E900" s="7" t="s">
        <v>894</v>
      </c>
      <c r="F900" s="7">
        <v>48</v>
      </c>
      <c r="G900" s="7">
        <v>33</v>
      </c>
      <c r="H900" s="8">
        <f t="shared" si="44"/>
        <v>43.499999999999993</v>
      </c>
    </row>
    <row r="901" spans="1:8" s="2" customFormat="1">
      <c r="A901" s="7" t="s">
        <v>879</v>
      </c>
      <c r="B901" s="7" t="str">
        <f t="shared" si="43"/>
        <v>30</v>
      </c>
      <c r="C901" s="7" t="str">
        <f>"29"</f>
        <v>29</v>
      </c>
      <c r="D901" s="7" t="str">
        <f>"20210143029"</f>
        <v>20210143029</v>
      </c>
      <c r="E901" s="7" t="s">
        <v>895</v>
      </c>
      <c r="F901" s="7">
        <v>46.5</v>
      </c>
      <c r="G901" s="7">
        <v>66</v>
      </c>
      <c r="H901" s="8">
        <f t="shared" si="44"/>
        <v>52.349999999999994</v>
      </c>
    </row>
    <row r="902" spans="1:8" s="2" customFormat="1">
      <c r="A902" s="7" t="s">
        <v>879</v>
      </c>
      <c r="B902" s="7" t="str">
        <f t="shared" si="43"/>
        <v>30</v>
      </c>
      <c r="C902" s="7" t="str">
        <f>"30"</f>
        <v>30</v>
      </c>
      <c r="D902" s="7" t="str">
        <f>"20210143030"</f>
        <v>20210143030</v>
      </c>
      <c r="E902" s="7" t="s">
        <v>257</v>
      </c>
      <c r="F902" s="7">
        <v>52.5</v>
      </c>
      <c r="G902" s="7">
        <v>52</v>
      </c>
      <c r="H902" s="8">
        <f t="shared" si="44"/>
        <v>52.35</v>
      </c>
    </row>
    <row r="903" spans="1:8" s="2" customFormat="1">
      <c r="A903" s="7" t="s">
        <v>879</v>
      </c>
      <c r="B903" s="7" t="str">
        <f t="shared" ref="B903:B932" si="45">"31"</f>
        <v>31</v>
      </c>
      <c r="C903" s="7" t="str">
        <f>"01"</f>
        <v>01</v>
      </c>
      <c r="D903" s="7" t="str">
        <f>"20210143101"</f>
        <v>20210143101</v>
      </c>
      <c r="E903" s="7" t="s">
        <v>896</v>
      </c>
      <c r="F903" s="7">
        <v>46.5</v>
      </c>
      <c r="G903" s="7">
        <v>78</v>
      </c>
      <c r="H903" s="8">
        <f t="shared" si="44"/>
        <v>55.949999999999996</v>
      </c>
    </row>
    <row r="904" spans="1:8" s="2" customFormat="1">
      <c r="A904" s="7" t="s">
        <v>879</v>
      </c>
      <c r="B904" s="7" t="str">
        <f t="shared" si="45"/>
        <v>31</v>
      </c>
      <c r="C904" s="7" t="str">
        <f>"02"</f>
        <v>02</v>
      </c>
      <c r="D904" s="7" t="str">
        <f>"20210143102"</f>
        <v>20210143102</v>
      </c>
      <c r="E904" s="7" t="s">
        <v>897</v>
      </c>
      <c r="F904" s="7">
        <v>69.5</v>
      </c>
      <c r="G904" s="7">
        <v>63</v>
      </c>
      <c r="H904" s="8">
        <f t="shared" si="44"/>
        <v>67.55</v>
      </c>
    </row>
    <row r="905" spans="1:8" s="2" customFormat="1">
      <c r="A905" s="7" t="s">
        <v>879</v>
      </c>
      <c r="B905" s="7" t="str">
        <f t="shared" si="45"/>
        <v>31</v>
      </c>
      <c r="C905" s="7" t="str">
        <f>"03"</f>
        <v>03</v>
      </c>
      <c r="D905" s="7" t="str">
        <f>"20210143103"</f>
        <v>20210143103</v>
      </c>
      <c r="E905" s="7" t="s">
        <v>898</v>
      </c>
      <c r="F905" s="7">
        <v>51</v>
      </c>
      <c r="G905" s="7">
        <v>83</v>
      </c>
      <c r="H905" s="8">
        <f t="shared" si="44"/>
        <v>60.599999999999994</v>
      </c>
    </row>
    <row r="906" spans="1:8" s="2" customFormat="1">
      <c r="A906" s="7" t="s">
        <v>879</v>
      </c>
      <c r="B906" s="7" t="str">
        <f t="shared" si="45"/>
        <v>31</v>
      </c>
      <c r="C906" s="7" t="str">
        <f>"04"</f>
        <v>04</v>
      </c>
      <c r="D906" s="7" t="str">
        <f>"20210143104"</f>
        <v>20210143104</v>
      </c>
      <c r="E906" s="7" t="s">
        <v>899</v>
      </c>
      <c r="F906" s="7">
        <v>58</v>
      </c>
      <c r="G906" s="7">
        <v>53</v>
      </c>
      <c r="H906" s="8">
        <f t="shared" si="44"/>
        <v>56.499999999999993</v>
      </c>
    </row>
    <row r="907" spans="1:8" s="2" customFormat="1">
      <c r="A907" s="7" t="s">
        <v>879</v>
      </c>
      <c r="B907" s="7" t="str">
        <f t="shared" si="45"/>
        <v>31</v>
      </c>
      <c r="C907" s="7" t="str">
        <f>"05"</f>
        <v>05</v>
      </c>
      <c r="D907" s="7" t="str">
        <f>"20210143105"</f>
        <v>20210143105</v>
      </c>
      <c r="E907" s="7" t="s">
        <v>900</v>
      </c>
      <c r="F907" s="7">
        <v>59</v>
      </c>
      <c r="G907" s="7">
        <v>80</v>
      </c>
      <c r="H907" s="8">
        <f t="shared" si="44"/>
        <v>65.3</v>
      </c>
    </row>
    <row r="908" spans="1:8" s="2" customFormat="1">
      <c r="A908" s="7" t="s">
        <v>879</v>
      </c>
      <c r="B908" s="7" t="str">
        <f t="shared" si="45"/>
        <v>31</v>
      </c>
      <c r="C908" s="7" t="str">
        <f>"06"</f>
        <v>06</v>
      </c>
      <c r="D908" s="7" t="str">
        <f>"20210143106"</f>
        <v>20210143106</v>
      </c>
      <c r="E908" s="7" t="s">
        <v>901</v>
      </c>
      <c r="F908" s="7">
        <v>57</v>
      </c>
      <c r="G908" s="7">
        <v>74</v>
      </c>
      <c r="H908" s="8">
        <f t="shared" si="44"/>
        <v>62.099999999999994</v>
      </c>
    </row>
    <row r="909" spans="1:8" s="2" customFormat="1">
      <c r="A909" s="7" t="s">
        <v>879</v>
      </c>
      <c r="B909" s="7" t="str">
        <f t="shared" si="45"/>
        <v>31</v>
      </c>
      <c r="C909" s="7" t="str">
        <f>"07"</f>
        <v>07</v>
      </c>
      <c r="D909" s="7" t="str">
        <f>"20210143107"</f>
        <v>20210143107</v>
      </c>
      <c r="E909" s="7" t="s">
        <v>902</v>
      </c>
      <c r="F909" s="7">
        <v>69</v>
      </c>
      <c r="G909" s="7">
        <v>61</v>
      </c>
      <c r="H909" s="8">
        <f t="shared" si="44"/>
        <v>66.599999999999994</v>
      </c>
    </row>
    <row r="910" spans="1:8" s="2" customFormat="1">
      <c r="A910" s="7" t="s">
        <v>879</v>
      </c>
      <c r="B910" s="7" t="str">
        <f t="shared" si="45"/>
        <v>31</v>
      </c>
      <c r="C910" s="7" t="str">
        <f>"08"</f>
        <v>08</v>
      </c>
      <c r="D910" s="7" t="str">
        <f>"20210143108"</f>
        <v>20210143108</v>
      </c>
      <c r="E910" s="7" t="s">
        <v>903</v>
      </c>
      <c r="F910" s="7">
        <v>58</v>
      </c>
      <c r="G910" s="7">
        <v>74</v>
      </c>
      <c r="H910" s="8">
        <f t="shared" si="44"/>
        <v>62.8</v>
      </c>
    </row>
    <row r="911" spans="1:8" s="2" customFormat="1">
      <c r="A911" s="7" t="s">
        <v>879</v>
      </c>
      <c r="B911" s="7" t="str">
        <f t="shared" si="45"/>
        <v>31</v>
      </c>
      <c r="C911" s="7" t="str">
        <f>"09"</f>
        <v>09</v>
      </c>
      <c r="D911" s="7" t="str">
        <f>"20210143109"</f>
        <v>20210143109</v>
      </c>
      <c r="E911" s="7" t="s">
        <v>904</v>
      </c>
      <c r="F911" s="7">
        <v>0</v>
      </c>
      <c r="G911" s="7">
        <v>0</v>
      </c>
      <c r="H911" s="8">
        <f t="shared" si="44"/>
        <v>0</v>
      </c>
    </row>
    <row r="912" spans="1:8" s="2" customFormat="1">
      <c r="A912" s="7" t="s">
        <v>879</v>
      </c>
      <c r="B912" s="7" t="str">
        <f t="shared" si="45"/>
        <v>31</v>
      </c>
      <c r="C912" s="7" t="str">
        <f>"10"</f>
        <v>10</v>
      </c>
      <c r="D912" s="7" t="str">
        <f>"20210143110"</f>
        <v>20210143110</v>
      </c>
      <c r="E912" s="7" t="s">
        <v>905</v>
      </c>
      <c r="F912" s="7">
        <v>70</v>
      </c>
      <c r="G912" s="7">
        <v>65</v>
      </c>
      <c r="H912" s="8">
        <f t="shared" si="44"/>
        <v>68.5</v>
      </c>
    </row>
    <row r="913" spans="1:8" s="2" customFormat="1">
      <c r="A913" s="7" t="s">
        <v>879</v>
      </c>
      <c r="B913" s="7" t="str">
        <f t="shared" si="45"/>
        <v>31</v>
      </c>
      <c r="C913" s="7" t="str">
        <f>"11"</f>
        <v>11</v>
      </c>
      <c r="D913" s="7" t="str">
        <f>"20210143111"</f>
        <v>20210143111</v>
      </c>
      <c r="E913" s="7" t="s">
        <v>906</v>
      </c>
      <c r="F913" s="7">
        <v>42.5</v>
      </c>
      <c r="G913" s="7">
        <v>47</v>
      </c>
      <c r="H913" s="8">
        <f t="shared" si="44"/>
        <v>43.849999999999994</v>
      </c>
    </row>
    <row r="914" spans="1:8" s="2" customFormat="1">
      <c r="A914" s="7" t="s">
        <v>879</v>
      </c>
      <c r="B914" s="7" t="str">
        <f t="shared" si="45"/>
        <v>31</v>
      </c>
      <c r="C914" s="7" t="str">
        <f>"12"</f>
        <v>12</v>
      </c>
      <c r="D914" s="7" t="str">
        <f>"20210143112"</f>
        <v>20210143112</v>
      </c>
      <c r="E914" s="7" t="s">
        <v>907</v>
      </c>
      <c r="F914" s="7">
        <v>57</v>
      </c>
      <c r="G914" s="7">
        <v>61</v>
      </c>
      <c r="H914" s="8">
        <f t="shared" si="44"/>
        <v>58.2</v>
      </c>
    </row>
    <row r="915" spans="1:8" s="2" customFormat="1">
      <c r="A915" s="7" t="s">
        <v>879</v>
      </c>
      <c r="B915" s="7" t="str">
        <f t="shared" si="45"/>
        <v>31</v>
      </c>
      <c r="C915" s="7" t="str">
        <f>"13"</f>
        <v>13</v>
      </c>
      <c r="D915" s="7" t="str">
        <f>"20210143113"</f>
        <v>20210143113</v>
      </c>
      <c r="E915" s="7" t="s">
        <v>908</v>
      </c>
      <c r="F915" s="7">
        <v>53.5</v>
      </c>
      <c r="G915" s="7">
        <v>54</v>
      </c>
      <c r="H915" s="8">
        <f t="shared" si="44"/>
        <v>53.649999999999991</v>
      </c>
    </row>
    <row r="916" spans="1:8" s="2" customFormat="1">
      <c r="A916" s="7" t="s">
        <v>879</v>
      </c>
      <c r="B916" s="7" t="str">
        <f t="shared" si="45"/>
        <v>31</v>
      </c>
      <c r="C916" s="7" t="str">
        <f>"14"</f>
        <v>14</v>
      </c>
      <c r="D916" s="7" t="str">
        <f>"20210143114"</f>
        <v>20210143114</v>
      </c>
      <c r="E916" s="7" t="s">
        <v>909</v>
      </c>
      <c r="F916" s="7">
        <v>69</v>
      </c>
      <c r="G916" s="7">
        <v>87</v>
      </c>
      <c r="H916" s="8">
        <f t="shared" si="44"/>
        <v>74.399999999999991</v>
      </c>
    </row>
    <row r="917" spans="1:8" s="2" customFormat="1">
      <c r="A917" s="7" t="s">
        <v>879</v>
      </c>
      <c r="B917" s="7" t="str">
        <f t="shared" si="45"/>
        <v>31</v>
      </c>
      <c r="C917" s="7" t="str">
        <f>"15"</f>
        <v>15</v>
      </c>
      <c r="D917" s="7" t="str">
        <f>"20210143115"</f>
        <v>20210143115</v>
      </c>
      <c r="E917" s="7" t="s">
        <v>910</v>
      </c>
      <c r="F917" s="7">
        <v>65</v>
      </c>
      <c r="G917" s="7">
        <v>62</v>
      </c>
      <c r="H917" s="8">
        <f t="shared" si="44"/>
        <v>64.099999999999994</v>
      </c>
    </row>
    <row r="918" spans="1:8" s="2" customFormat="1">
      <c r="A918" s="7" t="s">
        <v>879</v>
      </c>
      <c r="B918" s="7" t="str">
        <f t="shared" si="45"/>
        <v>31</v>
      </c>
      <c r="C918" s="7" t="str">
        <f>"16"</f>
        <v>16</v>
      </c>
      <c r="D918" s="7" t="str">
        <f>"20210143116"</f>
        <v>20210143116</v>
      </c>
      <c r="E918" s="7" t="s">
        <v>911</v>
      </c>
      <c r="F918" s="7">
        <v>35</v>
      </c>
      <c r="G918" s="7">
        <v>42</v>
      </c>
      <c r="H918" s="8">
        <f t="shared" si="44"/>
        <v>37.1</v>
      </c>
    </row>
    <row r="919" spans="1:8" s="2" customFormat="1">
      <c r="A919" s="7" t="s">
        <v>879</v>
      </c>
      <c r="B919" s="7" t="str">
        <f t="shared" si="45"/>
        <v>31</v>
      </c>
      <c r="C919" s="7" t="str">
        <f>"17"</f>
        <v>17</v>
      </c>
      <c r="D919" s="7" t="str">
        <f>"20210143117"</f>
        <v>20210143117</v>
      </c>
      <c r="E919" s="7" t="s">
        <v>906</v>
      </c>
      <c r="F919" s="7">
        <v>58</v>
      </c>
      <c r="G919" s="7">
        <v>42</v>
      </c>
      <c r="H919" s="8">
        <f t="shared" si="44"/>
        <v>53.199999999999996</v>
      </c>
    </row>
    <row r="920" spans="1:8" s="2" customFormat="1">
      <c r="A920" s="7" t="s">
        <v>879</v>
      </c>
      <c r="B920" s="7" t="str">
        <f t="shared" si="45"/>
        <v>31</v>
      </c>
      <c r="C920" s="7" t="str">
        <f>"18"</f>
        <v>18</v>
      </c>
      <c r="D920" s="7" t="str">
        <f>"20210143118"</f>
        <v>20210143118</v>
      </c>
      <c r="E920" s="7" t="s">
        <v>912</v>
      </c>
      <c r="F920" s="7">
        <v>58</v>
      </c>
      <c r="G920" s="7">
        <v>56</v>
      </c>
      <c r="H920" s="8">
        <f t="shared" si="44"/>
        <v>57.399999999999991</v>
      </c>
    </row>
    <row r="921" spans="1:8" s="2" customFormat="1">
      <c r="A921" s="7" t="s">
        <v>879</v>
      </c>
      <c r="B921" s="7" t="str">
        <f t="shared" si="45"/>
        <v>31</v>
      </c>
      <c r="C921" s="7" t="str">
        <f>"19"</f>
        <v>19</v>
      </c>
      <c r="D921" s="7" t="str">
        <f>"20210143119"</f>
        <v>20210143119</v>
      </c>
      <c r="E921" s="7" t="s">
        <v>913</v>
      </c>
      <c r="F921" s="7">
        <v>61</v>
      </c>
      <c r="G921" s="7">
        <v>72</v>
      </c>
      <c r="H921" s="8">
        <f t="shared" si="44"/>
        <v>64.3</v>
      </c>
    </row>
    <row r="922" spans="1:8" s="2" customFormat="1">
      <c r="A922" s="7" t="s">
        <v>879</v>
      </c>
      <c r="B922" s="7" t="str">
        <f t="shared" si="45"/>
        <v>31</v>
      </c>
      <c r="C922" s="7" t="str">
        <f>"20"</f>
        <v>20</v>
      </c>
      <c r="D922" s="7" t="str">
        <f>"20210143120"</f>
        <v>20210143120</v>
      </c>
      <c r="E922" s="7" t="s">
        <v>914</v>
      </c>
      <c r="F922" s="7">
        <v>69.5</v>
      </c>
      <c r="G922" s="7">
        <v>80</v>
      </c>
      <c r="H922" s="8">
        <f t="shared" si="44"/>
        <v>72.650000000000006</v>
      </c>
    </row>
    <row r="923" spans="1:8" s="2" customFormat="1">
      <c r="A923" s="7" t="s">
        <v>879</v>
      </c>
      <c r="B923" s="7" t="str">
        <f t="shared" si="45"/>
        <v>31</v>
      </c>
      <c r="C923" s="7" t="str">
        <f>"21"</f>
        <v>21</v>
      </c>
      <c r="D923" s="7" t="str">
        <f>"20210143121"</f>
        <v>20210143121</v>
      </c>
      <c r="E923" s="7" t="s">
        <v>915</v>
      </c>
      <c r="F923" s="7">
        <v>65</v>
      </c>
      <c r="G923" s="7">
        <v>78</v>
      </c>
      <c r="H923" s="8">
        <f t="shared" si="44"/>
        <v>68.900000000000006</v>
      </c>
    </row>
    <row r="924" spans="1:8" s="2" customFormat="1">
      <c r="A924" s="7" t="s">
        <v>879</v>
      </c>
      <c r="B924" s="7" t="str">
        <f t="shared" si="45"/>
        <v>31</v>
      </c>
      <c r="C924" s="7" t="str">
        <f>"22"</f>
        <v>22</v>
      </c>
      <c r="D924" s="7" t="str">
        <f>"20210143122"</f>
        <v>20210143122</v>
      </c>
      <c r="E924" s="7" t="s">
        <v>916</v>
      </c>
      <c r="F924" s="7">
        <v>67</v>
      </c>
      <c r="G924" s="7">
        <v>84</v>
      </c>
      <c r="H924" s="8">
        <f t="shared" si="44"/>
        <v>72.099999999999994</v>
      </c>
    </row>
    <row r="925" spans="1:8" s="2" customFormat="1">
      <c r="A925" s="7" t="s">
        <v>879</v>
      </c>
      <c r="B925" s="7" t="str">
        <f t="shared" si="45"/>
        <v>31</v>
      </c>
      <c r="C925" s="7" t="str">
        <f>"23"</f>
        <v>23</v>
      </c>
      <c r="D925" s="7" t="str">
        <f>"20210143123"</f>
        <v>20210143123</v>
      </c>
      <c r="E925" s="7" t="s">
        <v>917</v>
      </c>
      <c r="F925" s="7">
        <v>74</v>
      </c>
      <c r="G925" s="7">
        <v>84</v>
      </c>
      <c r="H925" s="8">
        <f t="shared" si="44"/>
        <v>77</v>
      </c>
    </row>
    <row r="926" spans="1:8" s="2" customFormat="1">
      <c r="A926" s="7" t="s">
        <v>879</v>
      </c>
      <c r="B926" s="7" t="str">
        <f t="shared" si="45"/>
        <v>31</v>
      </c>
      <c r="C926" s="7" t="str">
        <f>"24"</f>
        <v>24</v>
      </c>
      <c r="D926" s="7" t="str">
        <f>"20210143124"</f>
        <v>20210143124</v>
      </c>
      <c r="E926" s="7" t="s">
        <v>572</v>
      </c>
      <c r="F926" s="7">
        <v>71</v>
      </c>
      <c r="G926" s="7">
        <v>85</v>
      </c>
      <c r="H926" s="8">
        <f t="shared" si="44"/>
        <v>75.199999999999989</v>
      </c>
    </row>
    <row r="927" spans="1:8" s="2" customFormat="1">
      <c r="A927" s="7" t="s">
        <v>879</v>
      </c>
      <c r="B927" s="7" t="str">
        <f t="shared" si="45"/>
        <v>31</v>
      </c>
      <c r="C927" s="7" t="str">
        <f>"25"</f>
        <v>25</v>
      </c>
      <c r="D927" s="7" t="str">
        <f>"20210143125"</f>
        <v>20210143125</v>
      </c>
      <c r="E927" s="7" t="s">
        <v>918</v>
      </c>
      <c r="F927" s="7">
        <v>62</v>
      </c>
      <c r="G927" s="7">
        <v>84</v>
      </c>
      <c r="H927" s="8">
        <f t="shared" si="44"/>
        <v>68.599999999999994</v>
      </c>
    </row>
    <row r="928" spans="1:8" s="2" customFormat="1">
      <c r="A928" s="7" t="s">
        <v>879</v>
      </c>
      <c r="B928" s="7" t="str">
        <f t="shared" si="45"/>
        <v>31</v>
      </c>
      <c r="C928" s="7" t="str">
        <f>"26"</f>
        <v>26</v>
      </c>
      <c r="D928" s="7" t="str">
        <f>"20210143126"</f>
        <v>20210143126</v>
      </c>
      <c r="E928" s="7" t="s">
        <v>919</v>
      </c>
      <c r="F928" s="7">
        <v>69</v>
      </c>
      <c r="G928" s="7">
        <v>81</v>
      </c>
      <c r="H928" s="8">
        <f t="shared" si="44"/>
        <v>72.599999999999994</v>
      </c>
    </row>
    <row r="929" spans="1:8" s="2" customFormat="1">
      <c r="A929" s="7" t="s">
        <v>879</v>
      </c>
      <c r="B929" s="7" t="str">
        <f t="shared" si="45"/>
        <v>31</v>
      </c>
      <c r="C929" s="7" t="str">
        <f>"27"</f>
        <v>27</v>
      </c>
      <c r="D929" s="7" t="str">
        <f>"20210143127"</f>
        <v>20210143127</v>
      </c>
      <c r="E929" s="7" t="s">
        <v>920</v>
      </c>
      <c r="F929" s="7">
        <v>43</v>
      </c>
      <c r="G929" s="7">
        <v>49</v>
      </c>
      <c r="H929" s="8">
        <f t="shared" si="44"/>
        <v>44.8</v>
      </c>
    </row>
    <row r="930" spans="1:8" s="2" customFormat="1">
      <c r="A930" s="7" t="s">
        <v>879</v>
      </c>
      <c r="B930" s="7" t="str">
        <f t="shared" si="45"/>
        <v>31</v>
      </c>
      <c r="C930" s="7" t="str">
        <f>"28"</f>
        <v>28</v>
      </c>
      <c r="D930" s="7" t="str">
        <f>"20210143128"</f>
        <v>20210143128</v>
      </c>
      <c r="E930" s="7" t="s">
        <v>285</v>
      </c>
      <c r="F930" s="7">
        <v>64</v>
      </c>
      <c r="G930" s="7">
        <v>76</v>
      </c>
      <c r="H930" s="8">
        <f t="shared" si="44"/>
        <v>67.599999999999994</v>
      </c>
    </row>
    <row r="931" spans="1:8" s="2" customFormat="1">
      <c r="A931" s="7" t="s">
        <v>879</v>
      </c>
      <c r="B931" s="7" t="str">
        <f t="shared" si="45"/>
        <v>31</v>
      </c>
      <c r="C931" s="7" t="str">
        <f>"29"</f>
        <v>29</v>
      </c>
      <c r="D931" s="7" t="str">
        <f>"20210143129"</f>
        <v>20210143129</v>
      </c>
      <c r="E931" s="7" t="s">
        <v>921</v>
      </c>
      <c r="F931" s="7">
        <v>56.5</v>
      </c>
      <c r="G931" s="7">
        <v>70</v>
      </c>
      <c r="H931" s="8">
        <f t="shared" si="44"/>
        <v>60.55</v>
      </c>
    </row>
    <row r="932" spans="1:8" s="2" customFormat="1">
      <c r="A932" s="7" t="s">
        <v>879</v>
      </c>
      <c r="B932" s="7" t="str">
        <f t="shared" si="45"/>
        <v>31</v>
      </c>
      <c r="C932" s="7" t="str">
        <f>"30"</f>
        <v>30</v>
      </c>
      <c r="D932" s="7" t="str">
        <f>"20210143130"</f>
        <v>20210143130</v>
      </c>
      <c r="E932" s="7" t="s">
        <v>922</v>
      </c>
      <c r="F932" s="7">
        <v>44.5</v>
      </c>
      <c r="G932" s="7">
        <v>64</v>
      </c>
      <c r="H932" s="8">
        <f t="shared" si="44"/>
        <v>50.349999999999994</v>
      </c>
    </row>
    <row r="933" spans="1:8" s="2" customFormat="1">
      <c r="A933" s="7" t="s">
        <v>879</v>
      </c>
      <c r="B933" s="7" t="str">
        <f t="shared" ref="B933:B962" si="46">"32"</f>
        <v>32</v>
      </c>
      <c r="C933" s="7" t="str">
        <f>"01"</f>
        <v>01</v>
      </c>
      <c r="D933" s="7" t="str">
        <f>"20210143201"</f>
        <v>20210143201</v>
      </c>
      <c r="E933" s="7" t="s">
        <v>923</v>
      </c>
      <c r="F933" s="7">
        <v>45</v>
      </c>
      <c r="G933" s="7">
        <v>78</v>
      </c>
      <c r="H933" s="8">
        <f t="shared" si="44"/>
        <v>54.899999999999991</v>
      </c>
    </row>
    <row r="934" spans="1:8" s="2" customFormat="1">
      <c r="A934" s="7" t="s">
        <v>879</v>
      </c>
      <c r="B934" s="7" t="str">
        <f t="shared" si="46"/>
        <v>32</v>
      </c>
      <c r="C934" s="7" t="str">
        <f>"02"</f>
        <v>02</v>
      </c>
      <c r="D934" s="7" t="str">
        <f>"20210143202"</f>
        <v>20210143202</v>
      </c>
      <c r="E934" s="7" t="s">
        <v>924</v>
      </c>
      <c r="F934" s="7">
        <v>36</v>
      </c>
      <c r="G934" s="7">
        <v>54</v>
      </c>
      <c r="H934" s="8">
        <f t="shared" si="44"/>
        <v>41.4</v>
      </c>
    </row>
    <row r="935" spans="1:8" s="2" customFormat="1">
      <c r="A935" s="7" t="s">
        <v>879</v>
      </c>
      <c r="B935" s="7" t="str">
        <f t="shared" si="46"/>
        <v>32</v>
      </c>
      <c r="C935" s="7" t="str">
        <f>"03"</f>
        <v>03</v>
      </c>
      <c r="D935" s="7" t="str">
        <f>"20210143203"</f>
        <v>20210143203</v>
      </c>
      <c r="E935" s="7" t="s">
        <v>925</v>
      </c>
      <c r="F935" s="7">
        <v>41</v>
      </c>
      <c r="G935" s="7">
        <v>82</v>
      </c>
      <c r="H935" s="8">
        <f t="shared" si="44"/>
        <v>53.3</v>
      </c>
    </row>
    <row r="936" spans="1:8" s="2" customFormat="1">
      <c r="A936" s="7" t="s">
        <v>879</v>
      </c>
      <c r="B936" s="7" t="str">
        <f t="shared" si="46"/>
        <v>32</v>
      </c>
      <c r="C936" s="7" t="str">
        <f>"04"</f>
        <v>04</v>
      </c>
      <c r="D936" s="7" t="str">
        <f>"20210143204"</f>
        <v>20210143204</v>
      </c>
      <c r="E936" s="7" t="s">
        <v>926</v>
      </c>
      <c r="F936" s="7">
        <v>58</v>
      </c>
      <c r="G936" s="7">
        <v>70</v>
      </c>
      <c r="H936" s="8">
        <f t="shared" si="44"/>
        <v>61.599999999999994</v>
      </c>
    </row>
    <row r="937" spans="1:8" s="2" customFormat="1">
      <c r="A937" s="7" t="s">
        <v>879</v>
      </c>
      <c r="B937" s="7" t="str">
        <f t="shared" si="46"/>
        <v>32</v>
      </c>
      <c r="C937" s="7" t="str">
        <f>"05"</f>
        <v>05</v>
      </c>
      <c r="D937" s="7" t="str">
        <f>"20210143205"</f>
        <v>20210143205</v>
      </c>
      <c r="E937" s="7" t="s">
        <v>927</v>
      </c>
      <c r="F937" s="7">
        <v>57</v>
      </c>
      <c r="G937" s="7">
        <v>68</v>
      </c>
      <c r="H937" s="8">
        <f t="shared" si="44"/>
        <v>60.3</v>
      </c>
    </row>
    <row r="938" spans="1:8" s="2" customFormat="1">
      <c r="A938" s="7" t="s">
        <v>879</v>
      </c>
      <c r="B938" s="7" t="str">
        <f t="shared" si="46"/>
        <v>32</v>
      </c>
      <c r="C938" s="7" t="str">
        <f>"06"</f>
        <v>06</v>
      </c>
      <c r="D938" s="7" t="str">
        <f>"20210143206"</f>
        <v>20210143206</v>
      </c>
      <c r="E938" s="7" t="s">
        <v>928</v>
      </c>
      <c r="F938" s="7">
        <v>58.5</v>
      </c>
      <c r="G938" s="7">
        <v>70</v>
      </c>
      <c r="H938" s="8">
        <f t="shared" si="44"/>
        <v>61.949999999999996</v>
      </c>
    </row>
    <row r="939" spans="1:8" s="2" customFormat="1">
      <c r="A939" s="7" t="s">
        <v>879</v>
      </c>
      <c r="B939" s="7" t="str">
        <f t="shared" si="46"/>
        <v>32</v>
      </c>
      <c r="C939" s="7" t="str">
        <f>"07"</f>
        <v>07</v>
      </c>
      <c r="D939" s="7" t="str">
        <f>"20210143207"</f>
        <v>20210143207</v>
      </c>
      <c r="E939" s="7" t="s">
        <v>929</v>
      </c>
      <c r="F939" s="7">
        <v>37</v>
      </c>
      <c r="G939" s="7">
        <v>54</v>
      </c>
      <c r="H939" s="8">
        <f t="shared" si="44"/>
        <v>42.099999999999994</v>
      </c>
    </row>
    <row r="940" spans="1:8" s="2" customFormat="1">
      <c r="A940" s="7" t="s">
        <v>879</v>
      </c>
      <c r="B940" s="7" t="str">
        <f t="shared" si="46"/>
        <v>32</v>
      </c>
      <c r="C940" s="7" t="str">
        <f>"08"</f>
        <v>08</v>
      </c>
      <c r="D940" s="7" t="str">
        <f>"20210143208"</f>
        <v>20210143208</v>
      </c>
      <c r="E940" s="7" t="s">
        <v>930</v>
      </c>
      <c r="F940" s="7">
        <v>0</v>
      </c>
      <c r="G940" s="7">
        <v>0</v>
      </c>
      <c r="H940" s="8">
        <f t="shared" si="44"/>
        <v>0</v>
      </c>
    </row>
    <row r="941" spans="1:8" s="2" customFormat="1">
      <c r="A941" s="7" t="s">
        <v>879</v>
      </c>
      <c r="B941" s="7" t="str">
        <f t="shared" si="46"/>
        <v>32</v>
      </c>
      <c r="C941" s="7" t="str">
        <f>"09"</f>
        <v>09</v>
      </c>
      <c r="D941" s="7" t="str">
        <f>"20210143209"</f>
        <v>20210143209</v>
      </c>
      <c r="E941" s="7" t="s">
        <v>334</v>
      </c>
      <c r="F941" s="7">
        <v>69.5</v>
      </c>
      <c r="G941" s="7">
        <v>76</v>
      </c>
      <c r="H941" s="8">
        <f t="shared" si="44"/>
        <v>71.45</v>
      </c>
    </row>
    <row r="942" spans="1:8" s="2" customFormat="1">
      <c r="A942" s="7" t="s">
        <v>879</v>
      </c>
      <c r="B942" s="7" t="str">
        <f t="shared" si="46"/>
        <v>32</v>
      </c>
      <c r="C942" s="7" t="str">
        <f>"10"</f>
        <v>10</v>
      </c>
      <c r="D942" s="7" t="str">
        <f>"20210143210"</f>
        <v>20210143210</v>
      </c>
      <c r="E942" s="7" t="s">
        <v>931</v>
      </c>
      <c r="F942" s="7">
        <v>45</v>
      </c>
      <c r="G942" s="7">
        <v>53</v>
      </c>
      <c r="H942" s="8">
        <f t="shared" si="44"/>
        <v>47.399999999999991</v>
      </c>
    </row>
    <row r="943" spans="1:8" s="2" customFormat="1">
      <c r="A943" s="7" t="s">
        <v>879</v>
      </c>
      <c r="B943" s="7" t="str">
        <f t="shared" si="46"/>
        <v>32</v>
      </c>
      <c r="C943" s="7" t="str">
        <f>"11"</f>
        <v>11</v>
      </c>
      <c r="D943" s="7" t="str">
        <f>"20210143211"</f>
        <v>20210143211</v>
      </c>
      <c r="E943" s="7" t="s">
        <v>932</v>
      </c>
      <c r="F943" s="7">
        <v>60</v>
      </c>
      <c r="G943" s="7">
        <v>67</v>
      </c>
      <c r="H943" s="8">
        <f t="shared" si="44"/>
        <v>62.099999999999994</v>
      </c>
    </row>
    <row r="944" spans="1:8" s="2" customFormat="1">
      <c r="A944" s="7" t="s">
        <v>879</v>
      </c>
      <c r="B944" s="7" t="str">
        <f t="shared" si="46"/>
        <v>32</v>
      </c>
      <c r="C944" s="7" t="str">
        <f>"12"</f>
        <v>12</v>
      </c>
      <c r="D944" s="7" t="str">
        <f>"20210143212"</f>
        <v>20210143212</v>
      </c>
      <c r="E944" s="7" t="s">
        <v>933</v>
      </c>
      <c r="F944" s="7">
        <v>20</v>
      </c>
      <c r="G944" s="7">
        <v>36</v>
      </c>
      <c r="H944" s="8">
        <f t="shared" si="44"/>
        <v>24.799999999999997</v>
      </c>
    </row>
    <row r="945" spans="1:8" s="2" customFormat="1">
      <c r="A945" s="7" t="s">
        <v>879</v>
      </c>
      <c r="B945" s="7" t="str">
        <f t="shared" si="46"/>
        <v>32</v>
      </c>
      <c r="C945" s="7" t="str">
        <f>"13"</f>
        <v>13</v>
      </c>
      <c r="D945" s="7" t="str">
        <f>"20210143213"</f>
        <v>20210143213</v>
      </c>
      <c r="E945" s="7" t="s">
        <v>934</v>
      </c>
      <c r="F945" s="7">
        <v>59</v>
      </c>
      <c r="G945" s="7">
        <v>85</v>
      </c>
      <c r="H945" s="8">
        <f t="shared" si="44"/>
        <v>66.8</v>
      </c>
    </row>
    <row r="946" spans="1:8" s="2" customFormat="1">
      <c r="A946" s="7" t="s">
        <v>879</v>
      </c>
      <c r="B946" s="7" t="str">
        <f t="shared" si="46"/>
        <v>32</v>
      </c>
      <c r="C946" s="7" t="str">
        <f>"14"</f>
        <v>14</v>
      </c>
      <c r="D946" s="7" t="str">
        <f>"20210143214"</f>
        <v>20210143214</v>
      </c>
      <c r="E946" s="7" t="s">
        <v>935</v>
      </c>
      <c r="F946" s="7">
        <v>58</v>
      </c>
      <c r="G946" s="7">
        <v>64</v>
      </c>
      <c r="H946" s="8">
        <f t="shared" si="44"/>
        <v>59.8</v>
      </c>
    </row>
    <row r="947" spans="1:8" s="2" customFormat="1">
      <c r="A947" s="7" t="s">
        <v>879</v>
      </c>
      <c r="B947" s="7" t="str">
        <f t="shared" si="46"/>
        <v>32</v>
      </c>
      <c r="C947" s="7" t="str">
        <f>"15"</f>
        <v>15</v>
      </c>
      <c r="D947" s="7" t="str">
        <f>"20210143215"</f>
        <v>20210143215</v>
      </c>
      <c r="E947" s="7" t="s">
        <v>936</v>
      </c>
      <c r="F947" s="7">
        <v>75</v>
      </c>
      <c r="G947" s="7">
        <v>77</v>
      </c>
      <c r="H947" s="8">
        <f t="shared" si="44"/>
        <v>75.599999999999994</v>
      </c>
    </row>
    <row r="948" spans="1:8" s="2" customFormat="1">
      <c r="A948" s="7" t="s">
        <v>879</v>
      </c>
      <c r="B948" s="7" t="str">
        <f t="shared" si="46"/>
        <v>32</v>
      </c>
      <c r="C948" s="7" t="str">
        <f>"16"</f>
        <v>16</v>
      </c>
      <c r="D948" s="7" t="str">
        <f>"20210143216"</f>
        <v>20210143216</v>
      </c>
      <c r="E948" s="7" t="s">
        <v>937</v>
      </c>
      <c r="F948" s="7">
        <v>41</v>
      </c>
      <c r="G948" s="7">
        <v>78</v>
      </c>
      <c r="H948" s="8">
        <f t="shared" si="44"/>
        <v>52.099999999999994</v>
      </c>
    </row>
    <row r="949" spans="1:8" s="2" customFormat="1">
      <c r="A949" s="7" t="s">
        <v>879</v>
      </c>
      <c r="B949" s="7" t="str">
        <f t="shared" si="46"/>
        <v>32</v>
      </c>
      <c r="C949" s="7" t="str">
        <f>"17"</f>
        <v>17</v>
      </c>
      <c r="D949" s="7" t="str">
        <f>"20210143217"</f>
        <v>20210143217</v>
      </c>
      <c r="E949" s="7" t="s">
        <v>938</v>
      </c>
      <c r="F949" s="7">
        <v>43</v>
      </c>
      <c r="G949" s="7">
        <v>52</v>
      </c>
      <c r="H949" s="8">
        <f t="shared" si="44"/>
        <v>45.699999999999996</v>
      </c>
    </row>
    <row r="950" spans="1:8" s="2" customFormat="1">
      <c r="A950" s="7" t="s">
        <v>879</v>
      </c>
      <c r="B950" s="7" t="str">
        <f t="shared" si="46"/>
        <v>32</v>
      </c>
      <c r="C950" s="7" t="str">
        <f>"18"</f>
        <v>18</v>
      </c>
      <c r="D950" s="7" t="str">
        <f>"20210143218"</f>
        <v>20210143218</v>
      </c>
      <c r="E950" s="7" t="s">
        <v>939</v>
      </c>
      <c r="F950" s="7">
        <v>62</v>
      </c>
      <c r="G950" s="7">
        <v>86</v>
      </c>
      <c r="H950" s="8">
        <f t="shared" si="44"/>
        <v>69.2</v>
      </c>
    </row>
    <row r="951" spans="1:8" s="2" customFormat="1">
      <c r="A951" s="7" t="s">
        <v>879</v>
      </c>
      <c r="B951" s="7" t="str">
        <f t="shared" si="46"/>
        <v>32</v>
      </c>
      <c r="C951" s="7" t="str">
        <f>"19"</f>
        <v>19</v>
      </c>
      <c r="D951" s="7" t="str">
        <f>"20210143219"</f>
        <v>20210143219</v>
      </c>
      <c r="E951" s="7" t="s">
        <v>940</v>
      </c>
      <c r="F951" s="7">
        <v>52</v>
      </c>
      <c r="G951" s="7">
        <v>70</v>
      </c>
      <c r="H951" s="8">
        <f t="shared" si="44"/>
        <v>57.4</v>
      </c>
    </row>
    <row r="952" spans="1:8" s="2" customFormat="1">
      <c r="A952" s="7" t="s">
        <v>879</v>
      </c>
      <c r="B952" s="7" t="str">
        <f t="shared" si="46"/>
        <v>32</v>
      </c>
      <c r="C952" s="7" t="str">
        <f>"20"</f>
        <v>20</v>
      </c>
      <c r="D952" s="7" t="str">
        <f>"20210143220"</f>
        <v>20210143220</v>
      </c>
      <c r="E952" s="7" t="s">
        <v>941</v>
      </c>
      <c r="F952" s="7">
        <v>63</v>
      </c>
      <c r="G952" s="7">
        <v>82</v>
      </c>
      <c r="H952" s="8">
        <f t="shared" si="44"/>
        <v>68.699999999999989</v>
      </c>
    </row>
    <row r="953" spans="1:8" s="2" customFormat="1">
      <c r="A953" s="7" t="s">
        <v>942</v>
      </c>
      <c r="B953" s="7" t="str">
        <f t="shared" si="46"/>
        <v>32</v>
      </c>
      <c r="C953" s="7" t="str">
        <f>"21"</f>
        <v>21</v>
      </c>
      <c r="D953" s="7" t="str">
        <f>"20210153221"</f>
        <v>20210153221</v>
      </c>
      <c r="E953" s="7" t="s">
        <v>943</v>
      </c>
      <c r="F953" s="7">
        <v>45</v>
      </c>
      <c r="G953" s="7">
        <v>47</v>
      </c>
      <c r="H953" s="8">
        <f t="shared" si="44"/>
        <v>45.599999999999994</v>
      </c>
    </row>
    <row r="954" spans="1:8" s="2" customFormat="1">
      <c r="A954" s="7" t="s">
        <v>942</v>
      </c>
      <c r="B954" s="7" t="str">
        <f t="shared" si="46"/>
        <v>32</v>
      </c>
      <c r="C954" s="7" t="str">
        <f>"22"</f>
        <v>22</v>
      </c>
      <c r="D954" s="7" t="str">
        <f>"20210153222"</f>
        <v>20210153222</v>
      </c>
      <c r="E954" s="7" t="s">
        <v>944</v>
      </c>
      <c r="F954" s="7">
        <v>52</v>
      </c>
      <c r="G954" s="7">
        <v>66</v>
      </c>
      <c r="H954" s="8">
        <f t="shared" si="44"/>
        <v>56.2</v>
      </c>
    </row>
    <row r="955" spans="1:8" s="2" customFormat="1">
      <c r="A955" s="7" t="s">
        <v>942</v>
      </c>
      <c r="B955" s="7" t="str">
        <f t="shared" si="46"/>
        <v>32</v>
      </c>
      <c r="C955" s="7" t="str">
        <f>"23"</f>
        <v>23</v>
      </c>
      <c r="D955" s="7" t="str">
        <f>"20210153223"</f>
        <v>20210153223</v>
      </c>
      <c r="E955" s="7" t="s">
        <v>945</v>
      </c>
      <c r="F955" s="7">
        <v>61</v>
      </c>
      <c r="G955" s="7">
        <v>63</v>
      </c>
      <c r="H955" s="8">
        <f t="shared" si="44"/>
        <v>61.599999999999994</v>
      </c>
    </row>
    <row r="956" spans="1:8" s="2" customFormat="1">
      <c r="A956" s="7" t="s">
        <v>942</v>
      </c>
      <c r="B956" s="7" t="str">
        <f t="shared" si="46"/>
        <v>32</v>
      </c>
      <c r="C956" s="7" t="str">
        <f>"24"</f>
        <v>24</v>
      </c>
      <c r="D956" s="7" t="str">
        <f>"20210153224"</f>
        <v>20210153224</v>
      </c>
      <c r="E956" s="7" t="s">
        <v>946</v>
      </c>
      <c r="F956" s="7">
        <v>50</v>
      </c>
      <c r="G956" s="7">
        <v>50</v>
      </c>
      <c r="H956" s="8">
        <f t="shared" si="44"/>
        <v>50</v>
      </c>
    </row>
    <row r="957" spans="1:8" s="2" customFormat="1">
      <c r="A957" s="7" t="s">
        <v>942</v>
      </c>
      <c r="B957" s="7" t="str">
        <f t="shared" si="46"/>
        <v>32</v>
      </c>
      <c r="C957" s="7" t="str">
        <f>"25"</f>
        <v>25</v>
      </c>
      <c r="D957" s="7" t="str">
        <f>"20210153225"</f>
        <v>20210153225</v>
      </c>
      <c r="E957" s="7" t="s">
        <v>947</v>
      </c>
      <c r="F957" s="7">
        <v>46.5</v>
      </c>
      <c r="G957" s="7">
        <v>43</v>
      </c>
      <c r="H957" s="8">
        <f t="shared" si="44"/>
        <v>45.449999999999996</v>
      </c>
    </row>
    <row r="958" spans="1:8" s="2" customFormat="1">
      <c r="A958" s="7" t="s">
        <v>942</v>
      </c>
      <c r="B958" s="7" t="str">
        <f t="shared" si="46"/>
        <v>32</v>
      </c>
      <c r="C958" s="7" t="str">
        <f>"26"</f>
        <v>26</v>
      </c>
      <c r="D958" s="7" t="str">
        <f>"20210153226"</f>
        <v>20210153226</v>
      </c>
      <c r="E958" s="7" t="s">
        <v>948</v>
      </c>
      <c r="F958" s="7">
        <v>53</v>
      </c>
      <c r="G958" s="7">
        <v>77</v>
      </c>
      <c r="H958" s="8">
        <f t="shared" si="44"/>
        <v>60.199999999999989</v>
      </c>
    </row>
    <row r="959" spans="1:8" s="2" customFormat="1">
      <c r="A959" s="7" t="s">
        <v>942</v>
      </c>
      <c r="B959" s="7" t="str">
        <f t="shared" si="46"/>
        <v>32</v>
      </c>
      <c r="C959" s="7" t="str">
        <f>"27"</f>
        <v>27</v>
      </c>
      <c r="D959" s="7" t="str">
        <f>"20210153227"</f>
        <v>20210153227</v>
      </c>
      <c r="E959" s="7" t="s">
        <v>949</v>
      </c>
      <c r="F959" s="7">
        <v>0</v>
      </c>
      <c r="G959" s="7">
        <v>0</v>
      </c>
      <c r="H959" s="8">
        <f t="shared" si="44"/>
        <v>0</v>
      </c>
    </row>
    <row r="960" spans="1:8" s="2" customFormat="1">
      <c r="A960" s="7" t="s">
        <v>942</v>
      </c>
      <c r="B960" s="7" t="str">
        <f t="shared" si="46"/>
        <v>32</v>
      </c>
      <c r="C960" s="7" t="str">
        <f>"28"</f>
        <v>28</v>
      </c>
      <c r="D960" s="7" t="str">
        <f>"20210153228"</f>
        <v>20210153228</v>
      </c>
      <c r="E960" s="7" t="s">
        <v>950</v>
      </c>
      <c r="F960" s="7">
        <v>47.5</v>
      </c>
      <c r="G960" s="7">
        <v>50</v>
      </c>
      <c r="H960" s="8">
        <f t="shared" si="44"/>
        <v>48.25</v>
      </c>
    </row>
    <row r="961" spans="1:8" s="2" customFormat="1">
      <c r="A961" s="7" t="s">
        <v>942</v>
      </c>
      <c r="B961" s="7" t="str">
        <f t="shared" si="46"/>
        <v>32</v>
      </c>
      <c r="C961" s="7" t="str">
        <f>"29"</f>
        <v>29</v>
      </c>
      <c r="D961" s="7" t="str">
        <f>"20210153229"</f>
        <v>20210153229</v>
      </c>
      <c r="E961" s="7" t="s">
        <v>951</v>
      </c>
      <c r="F961" s="7">
        <v>45</v>
      </c>
      <c r="G961" s="7">
        <v>46</v>
      </c>
      <c r="H961" s="8">
        <f t="shared" si="44"/>
        <v>45.3</v>
      </c>
    </row>
    <row r="962" spans="1:8" s="2" customFormat="1">
      <c r="A962" s="7" t="s">
        <v>942</v>
      </c>
      <c r="B962" s="7" t="str">
        <f t="shared" si="46"/>
        <v>32</v>
      </c>
      <c r="C962" s="7" t="str">
        <f>"30"</f>
        <v>30</v>
      </c>
      <c r="D962" s="7" t="str">
        <f>"20210153230"</f>
        <v>20210153230</v>
      </c>
      <c r="E962" s="7" t="s">
        <v>952</v>
      </c>
      <c r="F962" s="7">
        <v>60</v>
      </c>
      <c r="G962" s="7">
        <v>49</v>
      </c>
      <c r="H962" s="8">
        <f t="shared" si="44"/>
        <v>56.7</v>
      </c>
    </row>
    <row r="963" spans="1:8" s="2" customFormat="1">
      <c r="A963" s="7" t="s">
        <v>942</v>
      </c>
      <c r="B963" s="7" t="str">
        <f t="shared" ref="B963:B992" si="47">"33"</f>
        <v>33</v>
      </c>
      <c r="C963" s="7" t="str">
        <f>"01"</f>
        <v>01</v>
      </c>
      <c r="D963" s="7" t="str">
        <f>"20210153301"</f>
        <v>20210153301</v>
      </c>
      <c r="E963" s="7" t="s">
        <v>953</v>
      </c>
      <c r="F963" s="7">
        <v>73</v>
      </c>
      <c r="G963" s="7">
        <v>80</v>
      </c>
      <c r="H963" s="8">
        <f t="shared" ref="H963:H993" si="48">F963*0.7+G963*0.3</f>
        <v>75.099999999999994</v>
      </c>
    </row>
    <row r="964" spans="1:8" s="2" customFormat="1">
      <c r="A964" s="7" t="s">
        <v>942</v>
      </c>
      <c r="B964" s="7" t="str">
        <f t="shared" si="47"/>
        <v>33</v>
      </c>
      <c r="C964" s="7" t="str">
        <f>"02"</f>
        <v>02</v>
      </c>
      <c r="D964" s="7" t="str">
        <f>"20210153302"</f>
        <v>20210153302</v>
      </c>
      <c r="E964" s="7" t="s">
        <v>954</v>
      </c>
      <c r="F964" s="7">
        <v>46</v>
      </c>
      <c r="G964" s="7">
        <v>44</v>
      </c>
      <c r="H964" s="8">
        <f t="shared" si="48"/>
        <v>45.399999999999991</v>
      </c>
    </row>
    <row r="965" spans="1:8" s="2" customFormat="1">
      <c r="A965" s="7" t="s">
        <v>942</v>
      </c>
      <c r="B965" s="7" t="str">
        <f t="shared" si="47"/>
        <v>33</v>
      </c>
      <c r="C965" s="7" t="str">
        <f>"03"</f>
        <v>03</v>
      </c>
      <c r="D965" s="7" t="str">
        <f>"20210153303"</f>
        <v>20210153303</v>
      </c>
      <c r="E965" s="7" t="s">
        <v>955</v>
      </c>
      <c r="F965" s="7">
        <v>0</v>
      </c>
      <c r="G965" s="7">
        <v>0</v>
      </c>
      <c r="H965" s="8">
        <f t="shared" si="48"/>
        <v>0</v>
      </c>
    </row>
    <row r="966" spans="1:8" s="2" customFormat="1">
      <c r="A966" s="7" t="s">
        <v>942</v>
      </c>
      <c r="B966" s="7" t="str">
        <f t="shared" si="47"/>
        <v>33</v>
      </c>
      <c r="C966" s="7" t="str">
        <f>"04"</f>
        <v>04</v>
      </c>
      <c r="D966" s="7" t="str">
        <f>"20210153304"</f>
        <v>20210153304</v>
      </c>
      <c r="E966" s="7" t="s">
        <v>956</v>
      </c>
      <c r="F966" s="7">
        <v>39</v>
      </c>
      <c r="G966" s="7">
        <v>68</v>
      </c>
      <c r="H966" s="8">
        <f t="shared" si="48"/>
        <v>47.699999999999996</v>
      </c>
    </row>
    <row r="967" spans="1:8" s="2" customFormat="1">
      <c r="A967" s="7" t="s">
        <v>942</v>
      </c>
      <c r="B967" s="7" t="str">
        <f t="shared" si="47"/>
        <v>33</v>
      </c>
      <c r="C967" s="7" t="str">
        <f>"05"</f>
        <v>05</v>
      </c>
      <c r="D967" s="7" t="str">
        <f>"20210153305"</f>
        <v>20210153305</v>
      </c>
      <c r="E967" s="7" t="s">
        <v>957</v>
      </c>
      <c r="F967" s="7">
        <v>49.5</v>
      </c>
      <c r="G967" s="7">
        <v>52</v>
      </c>
      <c r="H967" s="8">
        <f t="shared" si="48"/>
        <v>50.25</v>
      </c>
    </row>
    <row r="968" spans="1:8" s="2" customFormat="1">
      <c r="A968" s="7" t="s">
        <v>942</v>
      </c>
      <c r="B968" s="7" t="str">
        <f t="shared" si="47"/>
        <v>33</v>
      </c>
      <c r="C968" s="7" t="str">
        <f>"06"</f>
        <v>06</v>
      </c>
      <c r="D968" s="7" t="str">
        <f>"20210153306"</f>
        <v>20210153306</v>
      </c>
      <c r="E968" s="7" t="s">
        <v>958</v>
      </c>
      <c r="F968" s="7">
        <v>67</v>
      </c>
      <c r="G968" s="7">
        <v>73</v>
      </c>
      <c r="H968" s="8">
        <f t="shared" si="48"/>
        <v>68.8</v>
      </c>
    </row>
    <row r="969" spans="1:8" s="2" customFormat="1">
      <c r="A969" s="7" t="s">
        <v>942</v>
      </c>
      <c r="B969" s="7" t="str">
        <f t="shared" si="47"/>
        <v>33</v>
      </c>
      <c r="C969" s="7" t="str">
        <f>"07"</f>
        <v>07</v>
      </c>
      <c r="D969" s="7" t="str">
        <f>"20210153307"</f>
        <v>20210153307</v>
      </c>
      <c r="E969" s="7" t="s">
        <v>959</v>
      </c>
      <c r="F969" s="7">
        <v>89</v>
      </c>
      <c r="G969" s="7">
        <v>82</v>
      </c>
      <c r="H969" s="8">
        <f t="shared" si="48"/>
        <v>86.899999999999991</v>
      </c>
    </row>
    <row r="970" spans="1:8" s="2" customFormat="1">
      <c r="A970" s="7" t="s">
        <v>942</v>
      </c>
      <c r="B970" s="7" t="str">
        <f t="shared" si="47"/>
        <v>33</v>
      </c>
      <c r="C970" s="7" t="str">
        <f>"08"</f>
        <v>08</v>
      </c>
      <c r="D970" s="7" t="str">
        <f>"20210153308"</f>
        <v>20210153308</v>
      </c>
      <c r="E970" s="7" t="s">
        <v>960</v>
      </c>
      <c r="F970" s="7">
        <v>51</v>
      </c>
      <c r="G970" s="7">
        <v>54</v>
      </c>
      <c r="H970" s="8">
        <f t="shared" si="48"/>
        <v>51.899999999999991</v>
      </c>
    </row>
    <row r="971" spans="1:8" s="2" customFormat="1">
      <c r="A971" s="7" t="s">
        <v>942</v>
      </c>
      <c r="B971" s="7" t="str">
        <f t="shared" si="47"/>
        <v>33</v>
      </c>
      <c r="C971" s="7" t="str">
        <f>"09"</f>
        <v>09</v>
      </c>
      <c r="D971" s="7" t="str">
        <f>"20210153309"</f>
        <v>20210153309</v>
      </c>
      <c r="E971" s="7" t="s">
        <v>961</v>
      </c>
      <c r="F971" s="7">
        <v>46</v>
      </c>
      <c r="G971" s="7">
        <v>57</v>
      </c>
      <c r="H971" s="8">
        <f t="shared" si="48"/>
        <v>49.3</v>
      </c>
    </row>
    <row r="972" spans="1:8" s="2" customFormat="1">
      <c r="A972" s="7" t="s">
        <v>942</v>
      </c>
      <c r="B972" s="7" t="str">
        <f t="shared" si="47"/>
        <v>33</v>
      </c>
      <c r="C972" s="7" t="str">
        <f>"10"</f>
        <v>10</v>
      </c>
      <c r="D972" s="7" t="str">
        <f>"20210153310"</f>
        <v>20210153310</v>
      </c>
      <c r="E972" s="7" t="s">
        <v>962</v>
      </c>
      <c r="F972" s="7">
        <v>0</v>
      </c>
      <c r="G972" s="7">
        <v>0</v>
      </c>
      <c r="H972" s="8">
        <f t="shared" si="48"/>
        <v>0</v>
      </c>
    </row>
    <row r="973" spans="1:8" s="2" customFormat="1">
      <c r="A973" s="7" t="s">
        <v>942</v>
      </c>
      <c r="B973" s="7" t="str">
        <f t="shared" si="47"/>
        <v>33</v>
      </c>
      <c r="C973" s="7" t="str">
        <f>"11"</f>
        <v>11</v>
      </c>
      <c r="D973" s="7" t="str">
        <f>"20210153311"</f>
        <v>20210153311</v>
      </c>
      <c r="E973" s="7" t="s">
        <v>963</v>
      </c>
      <c r="F973" s="7">
        <v>64</v>
      </c>
      <c r="G973" s="7">
        <v>81</v>
      </c>
      <c r="H973" s="8">
        <f t="shared" si="48"/>
        <v>69.099999999999994</v>
      </c>
    </row>
    <row r="974" spans="1:8" s="2" customFormat="1">
      <c r="A974" s="7" t="s">
        <v>942</v>
      </c>
      <c r="B974" s="7" t="str">
        <f t="shared" si="47"/>
        <v>33</v>
      </c>
      <c r="C974" s="7" t="str">
        <f>"12"</f>
        <v>12</v>
      </c>
      <c r="D974" s="7" t="str">
        <f>"20210153312"</f>
        <v>20210153312</v>
      </c>
      <c r="E974" s="7" t="s">
        <v>964</v>
      </c>
      <c r="F974" s="7">
        <v>46</v>
      </c>
      <c r="G974" s="7">
        <v>40</v>
      </c>
      <c r="H974" s="8">
        <f t="shared" si="48"/>
        <v>44.199999999999996</v>
      </c>
    </row>
    <row r="975" spans="1:8" s="2" customFormat="1">
      <c r="A975" s="7" t="s">
        <v>942</v>
      </c>
      <c r="B975" s="7" t="str">
        <f t="shared" si="47"/>
        <v>33</v>
      </c>
      <c r="C975" s="7" t="str">
        <f>"13"</f>
        <v>13</v>
      </c>
      <c r="D975" s="7" t="str">
        <f>"20210153313"</f>
        <v>20210153313</v>
      </c>
      <c r="E975" s="7" t="s">
        <v>965</v>
      </c>
      <c r="F975" s="7">
        <v>43</v>
      </c>
      <c r="G975" s="7">
        <v>65</v>
      </c>
      <c r="H975" s="8">
        <f t="shared" si="48"/>
        <v>49.599999999999994</v>
      </c>
    </row>
    <row r="976" spans="1:8" s="2" customFormat="1">
      <c r="A976" s="7" t="s">
        <v>942</v>
      </c>
      <c r="B976" s="7" t="str">
        <f t="shared" si="47"/>
        <v>33</v>
      </c>
      <c r="C976" s="7" t="str">
        <f>"14"</f>
        <v>14</v>
      </c>
      <c r="D976" s="7" t="str">
        <f>"20210153314"</f>
        <v>20210153314</v>
      </c>
      <c r="E976" s="7" t="s">
        <v>966</v>
      </c>
      <c r="F976" s="7">
        <v>83</v>
      </c>
      <c r="G976" s="7">
        <v>85</v>
      </c>
      <c r="H976" s="8">
        <f t="shared" si="48"/>
        <v>83.6</v>
      </c>
    </row>
    <row r="977" spans="1:8" s="2" customFormat="1">
      <c r="A977" s="7" t="s">
        <v>942</v>
      </c>
      <c r="B977" s="7" t="str">
        <f t="shared" si="47"/>
        <v>33</v>
      </c>
      <c r="C977" s="7" t="str">
        <f>"15"</f>
        <v>15</v>
      </c>
      <c r="D977" s="7" t="str">
        <f>"20210153315"</f>
        <v>20210153315</v>
      </c>
      <c r="E977" s="7" t="s">
        <v>967</v>
      </c>
      <c r="F977" s="7">
        <v>72</v>
      </c>
      <c r="G977" s="7">
        <v>73</v>
      </c>
      <c r="H977" s="8">
        <f t="shared" si="48"/>
        <v>72.3</v>
      </c>
    </row>
    <row r="978" spans="1:8" s="2" customFormat="1">
      <c r="A978" s="7" t="s">
        <v>942</v>
      </c>
      <c r="B978" s="7" t="str">
        <f t="shared" si="47"/>
        <v>33</v>
      </c>
      <c r="C978" s="7" t="str">
        <f>"16"</f>
        <v>16</v>
      </c>
      <c r="D978" s="7" t="str">
        <f>"20210153316"</f>
        <v>20210153316</v>
      </c>
      <c r="E978" s="7" t="s">
        <v>968</v>
      </c>
      <c r="F978" s="7">
        <v>65</v>
      </c>
      <c r="G978" s="7">
        <v>87</v>
      </c>
      <c r="H978" s="8">
        <f t="shared" si="48"/>
        <v>71.599999999999994</v>
      </c>
    </row>
    <row r="979" spans="1:8" s="2" customFormat="1">
      <c r="A979" s="7" t="s">
        <v>942</v>
      </c>
      <c r="B979" s="7" t="str">
        <f t="shared" si="47"/>
        <v>33</v>
      </c>
      <c r="C979" s="7" t="str">
        <f>"17"</f>
        <v>17</v>
      </c>
      <c r="D979" s="7" t="str">
        <f>"20210153317"</f>
        <v>20210153317</v>
      </c>
      <c r="E979" s="7" t="s">
        <v>969</v>
      </c>
      <c r="F979" s="7">
        <v>69</v>
      </c>
      <c r="G979" s="7">
        <v>77</v>
      </c>
      <c r="H979" s="8">
        <f t="shared" si="48"/>
        <v>71.399999999999991</v>
      </c>
    </row>
    <row r="980" spans="1:8" s="2" customFormat="1">
      <c r="A980" s="7" t="s">
        <v>942</v>
      </c>
      <c r="B980" s="7" t="str">
        <f t="shared" si="47"/>
        <v>33</v>
      </c>
      <c r="C980" s="7" t="str">
        <f>"18"</f>
        <v>18</v>
      </c>
      <c r="D980" s="7" t="str">
        <f>"20210153318"</f>
        <v>20210153318</v>
      </c>
      <c r="E980" s="7" t="s">
        <v>970</v>
      </c>
      <c r="F980" s="7">
        <v>44</v>
      </c>
      <c r="G980" s="7">
        <v>67</v>
      </c>
      <c r="H980" s="8">
        <f t="shared" si="48"/>
        <v>50.899999999999991</v>
      </c>
    </row>
    <row r="981" spans="1:8" s="2" customFormat="1">
      <c r="A981" s="7" t="s">
        <v>942</v>
      </c>
      <c r="B981" s="7" t="str">
        <f t="shared" si="47"/>
        <v>33</v>
      </c>
      <c r="C981" s="7" t="str">
        <f>"19"</f>
        <v>19</v>
      </c>
      <c r="D981" s="7" t="str">
        <f>"20210153319"</f>
        <v>20210153319</v>
      </c>
      <c r="E981" s="7" t="s">
        <v>971</v>
      </c>
      <c r="F981" s="7">
        <v>55.5</v>
      </c>
      <c r="G981" s="7">
        <v>51</v>
      </c>
      <c r="H981" s="8">
        <f t="shared" si="48"/>
        <v>54.149999999999991</v>
      </c>
    </row>
    <row r="982" spans="1:8" s="2" customFormat="1">
      <c r="A982" s="7" t="s">
        <v>942</v>
      </c>
      <c r="B982" s="7" t="str">
        <f t="shared" si="47"/>
        <v>33</v>
      </c>
      <c r="C982" s="7" t="str">
        <f>"20"</f>
        <v>20</v>
      </c>
      <c r="D982" s="7" t="str">
        <f>"20210153320"</f>
        <v>20210153320</v>
      </c>
      <c r="E982" s="7" t="s">
        <v>972</v>
      </c>
      <c r="F982" s="7">
        <v>54</v>
      </c>
      <c r="G982" s="7">
        <v>74</v>
      </c>
      <c r="H982" s="8">
        <f t="shared" si="48"/>
        <v>60</v>
      </c>
    </row>
    <row r="983" spans="1:8" s="2" customFormat="1">
      <c r="A983" s="7" t="s">
        <v>942</v>
      </c>
      <c r="B983" s="7" t="str">
        <f t="shared" si="47"/>
        <v>33</v>
      </c>
      <c r="C983" s="7" t="str">
        <f>"21"</f>
        <v>21</v>
      </c>
      <c r="D983" s="7" t="str">
        <f>"20210153321"</f>
        <v>20210153321</v>
      </c>
      <c r="E983" s="7" t="s">
        <v>973</v>
      </c>
      <c r="F983" s="7">
        <v>37</v>
      </c>
      <c r="G983" s="7">
        <v>46</v>
      </c>
      <c r="H983" s="8">
        <f t="shared" si="48"/>
        <v>39.699999999999996</v>
      </c>
    </row>
    <row r="984" spans="1:8" s="2" customFormat="1">
      <c r="A984" s="7" t="s">
        <v>942</v>
      </c>
      <c r="B984" s="7" t="str">
        <f t="shared" si="47"/>
        <v>33</v>
      </c>
      <c r="C984" s="7" t="str">
        <f>"22"</f>
        <v>22</v>
      </c>
      <c r="D984" s="7" t="str">
        <f>"20210153322"</f>
        <v>20210153322</v>
      </c>
      <c r="E984" s="7" t="s">
        <v>974</v>
      </c>
      <c r="F984" s="7">
        <v>69</v>
      </c>
      <c r="G984" s="7">
        <v>64</v>
      </c>
      <c r="H984" s="8">
        <f t="shared" si="48"/>
        <v>67.5</v>
      </c>
    </row>
    <row r="985" spans="1:8" s="2" customFormat="1">
      <c r="A985" s="7" t="s">
        <v>942</v>
      </c>
      <c r="B985" s="7" t="str">
        <f t="shared" si="47"/>
        <v>33</v>
      </c>
      <c r="C985" s="7" t="str">
        <f>"23"</f>
        <v>23</v>
      </c>
      <c r="D985" s="7" t="str">
        <f>"20210153323"</f>
        <v>20210153323</v>
      </c>
      <c r="E985" s="7" t="s">
        <v>975</v>
      </c>
      <c r="F985" s="7">
        <v>0</v>
      </c>
      <c r="G985" s="7">
        <v>0</v>
      </c>
      <c r="H985" s="8">
        <f t="shared" si="48"/>
        <v>0</v>
      </c>
    </row>
    <row r="986" spans="1:8" s="2" customFormat="1">
      <c r="A986" s="7" t="s">
        <v>942</v>
      </c>
      <c r="B986" s="7" t="str">
        <f t="shared" si="47"/>
        <v>33</v>
      </c>
      <c r="C986" s="7" t="str">
        <f>"24"</f>
        <v>24</v>
      </c>
      <c r="D986" s="7" t="str">
        <f>"20210153324"</f>
        <v>20210153324</v>
      </c>
      <c r="E986" s="7" t="s">
        <v>976</v>
      </c>
      <c r="F986" s="7">
        <v>46</v>
      </c>
      <c r="G986" s="7">
        <v>52</v>
      </c>
      <c r="H986" s="8">
        <f t="shared" si="48"/>
        <v>47.8</v>
      </c>
    </row>
    <row r="987" spans="1:8" s="2" customFormat="1">
      <c r="A987" s="7" t="s">
        <v>942</v>
      </c>
      <c r="B987" s="7" t="str">
        <f t="shared" si="47"/>
        <v>33</v>
      </c>
      <c r="C987" s="7" t="str">
        <f>"25"</f>
        <v>25</v>
      </c>
      <c r="D987" s="7" t="str">
        <f>"20210153325"</f>
        <v>20210153325</v>
      </c>
      <c r="E987" s="7" t="s">
        <v>977</v>
      </c>
      <c r="F987" s="7">
        <v>45.5</v>
      </c>
      <c r="G987" s="7">
        <v>42</v>
      </c>
      <c r="H987" s="8">
        <f t="shared" si="48"/>
        <v>44.449999999999996</v>
      </c>
    </row>
    <row r="988" spans="1:8" s="2" customFormat="1">
      <c r="A988" s="7" t="s">
        <v>942</v>
      </c>
      <c r="B988" s="7" t="str">
        <f t="shared" si="47"/>
        <v>33</v>
      </c>
      <c r="C988" s="7" t="str">
        <f>"26"</f>
        <v>26</v>
      </c>
      <c r="D988" s="7" t="str">
        <f>"20210153326"</f>
        <v>20210153326</v>
      </c>
      <c r="E988" s="7" t="s">
        <v>978</v>
      </c>
      <c r="F988" s="7">
        <v>49</v>
      </c>
      <c r="G988" s="7">
        <v>36</v>
      </c>
      <c r="H988" s="8">
        <f t="shared" si="48"/>
        <v>45.099999999999994</v>
      </c>
    </row>
    <row r="989" spans="1:8" s="2" customFormat="1">
      <c r="A989" s="7" t="s">
        <v>942</v>
      </c>
      <c r="B989" s="7" t="str">
        <f t="shared" si="47"/>
        <v>33</v>
      </c>
      <c r="C989" s="7" t="str">
        <f>"27"</f>
        <v>27</v>
      </c>
      <c r="D989" s="7" t="str">
        <f>"20210153327"</f>
        <v>20210153327</v>
      </c>
      <c r="E989" s="7" t="s">
        <v>979</v>
      </c>
      <c r="F989" s="7">
        <v>37</v>
      </c>
      <c r="G989" s="7">
        <v>63</v>
      </c>
      <c r="H989" s="8">
        <f t="shared" si="48"/>
        <v>44.8</v>
      </c>
    </row>
    <row r="990" spans="1:8" s="2" customFormat="1">
      <c r="A990" s="7" t="s">
        <v>942</v>
      </c>
      <c r="B990" s="7" t="str">
        <f t="shared" si="47"/>
        <v>33</v>
      </c>
      <c r="C990" s="7" t="str">
        <f>"28"</f>
        <v>28</v>
      </c>
      <c r="D990" s="7" t="str">
        <f>"20210153328"</f>
        <v>20210153328</v>
      </c>
      <c r="E990" s="7" t="s">
        <v>980</v>
      </c>
      <c r="F990" s="7">
        <v>61</v>
      </c>
      <c r="G990" s="7">
        <v>56</v>
      </c>
      <c r="H990" s="8">
        <f t="shared" si="48"/>
        <v>59.5</v>
      </c>
    </row>
    <row r="991" spans="1:8" s="2" customFormat="1">
      <c r="A991" s="7" t="s">
        <v>942</v>
      </c>
      <c r="B991" s="7" t="str">
        <f t="shared" si="47"/>
        <v>33</v>
      </c>
      <c r="C991" s="7" t="str">
        <f>"29"</f>
        <v>29</v>
      </c>
      <c r="D991" s="7" t="str">
        <f>"20210153329"</f>
        <v>20210153329</v>
      </c>
      <c r="E991" s="7" t="s">
        <v>981</v>
      </c>
      <c r="F991" s="7">
        <v>82</v>
      </c>
      <c r="G991" s="7">
        <v>90</v>
      </c>
      <c r="H991" s="8">
        <f t="shared" si="48"/>
        <v>84.4</v>
      </c>
    </row>
    <row r="992" spans="1:8" s="2" customFormat="1">
      <c r="A992" s="7" t="s">
        <v>942</v>
      </c>
      <c r="B992" s="7" t="str">
        <f t="shared" si="47"/>
        <v>33</v>
      </c>
      <c r="C992" s="7" t="str">
        <f>"30"</f>
        <v>30</v>
      </c>
      <c r="D992" s="7" t="str">
        <f>"20210153330"</f>
        <v>20210153330</v>
      </c>
      <c r="E992" s="7" t="s">
        <v>982</v>
      </c>
      <c r="F992" s="7">
        <v>71</v>
      </c>
      <c r="G992" s="7">
        <v>77</v>
      </c>
      <c r="H992" s="8">
        <f t="shared" si="48"/>
        <v>72.8</v>
      </c>
    </row>
    <row r="993" spans="1:8" s="2" customFormat="1">
      <c r="A993" s="7" t="s">
        <v>942</v>
      </c>
      <c r="B993" s="7" t="str">
        <f t="shared" ref="B993:B1022" si="49">"34"</f>
        <v>34</v>
      </c>
      <c r="C993" s="7" t="str">
        <f>"01"</f>
        <v>01</v>
      </c>
      <c r="D993" s="7" t="str">
        <f>"20210153401"</f>
        <v>20210153401</v>
      </c>
      <c r="E993" s="7" t="s">
        <v>983</v>
      </c>
      <c r="F993" s="7">
        <v>67</v>
      </c>
      <c r="G993" s="7">
        <v>78</v>
      </c>
      <c r="H993" s="8">
        <f t="shared" si="48"/>
        <v>70.3</v>
      </c>
    </row>
    <row r="994" spans="1:8" s="2" customFormat="1">
      <c r="A994" s="7" t="s">
        <v>942</v>
      </c>
      <c r="B994" s="7" t="str">
        <f t="shared" si="49"/>
        <v>34</v>
      </c>
      <c r="C994" s="7" t="str">
        <f>"02"</f>
        <v>02</v>
      </c>
      <c r="D994" s="7" t="str">
        <f>"20210153402"</f>
        <v>20210153402</v>
      </c>
      <c r="E994" s="7" t="s">
        <v>984</v>
      </c>
      <c r="F994" s="7">
        <v>0</v>
      </c>
      <c r="G994" s="7">
        <v>0</v>
      </c>
      <c r="H994" s="8">
        <f t="shared" ref="H994:H1057" si="50">F994*0.7+G994*0.3</f>
        <v>0</v>
      </c>
    </row>
    <row r="995" spans="1:8" s="2" customFormat="1">
      <c r="A995" s="7" t="s">
        <v>942</v>
      </c>
      <c r="B995" s="7" t="str">
        <f t="shared" si="49"/>
        <v>34</v>
      </c>
      <c r="C995" s="7" t="str">
        <f>"03"</f>
        <v>03</v>
      </c>
      <c r="D995" s="7" t="str">
        <f>"20210153403"</f>
        <v>20210153403</v>
      </c>
      <c r="E995" s="7" t="s">
        <v>985</v>
      </c>
      <c r="F995" s="7">
        <v>65</v>
      </c>
      <c r="G995" s="7">
        <v>73</v>
      </c>
      <c r="H995" s="8">
        <f t="shared" si="50"/>
        <v>67.400000000000006</v>
      </c>
    </row>
    <row r="996" spans="1:8" s="2" customFormat="1">
      <c r="A996" s="7" t="s">
        <v>942</v>
      </c>
      <c r="B996" s="7" t="str">
        <f t="shared" si="49"/>
        <v>34</v>
      </c>
      <c r="C996" s="7" t="str">
        <f>"04"</f>
        <v>04</v>
      </c>
      <c r="D996" s="7" t="str">
        <f>"20210153404"</f>
        <v>20210153404</v>
      </c>
      <c r="E996" s="7" t="s">
        <v>986</v>
      </c>
      <c r="F996" s="7">
        <v>0</v>
      </c>
      <c r="G996" s="7">
        <v>0</v>
      </c>
      <c r="H996" s="8">
        <f t="shared" si="50"/>
        <v>0</v>
      </c>
    </row>
    <row r="997" spans="1:8" s="2" customFormat="1">
      <c r="A997" s="7" t="s">
        <v>942</v>
      </c>
      <c r="B997" s="7" t="str">
        <f t="shared" si="49"/>
        <v>34</v>
      </c>
      <c r="C997" s="7" t="str">
        <f>"05"</f>
        <v>05</v>
      </c>
      <c r="D997" s="7" t="str">
        <f>"20210153405"</f>
        <v>20210153405</v>
      </c>
      <c r="E997" s="7" t="s">
        <v>987</v>
      </c>
      <c r="F997" s="7">
        <v>62</v>
      </c>
      <c r="G997" s="7">
        <v>49</v>
      </c>
      <c r="H997" s="8">
        <f t="shared" si="50"/>
        <v>58.099999999999994</v>
      </c>
    </row>
    <row r="998" spans="1:8" s="2" customFormat="1">
      <c r="A998" s="7" t="s">
        <v>942</v>
      </c>
      <c r="B998" s="7" t="str">
        <f t="shared" si="49"/>
        <v>34</v>
      </c>
      <c r="C998" s="7" t="str">
        <f>"06"</f>
        <v>06</v>
      </c>
      <c r="D998" s="7" t="str">
        <f>"20210153406"</f>
        <v>20210153406</v>
      </c>
      <c r="E998" s="7" t="s">
        <v>988</v>
      </c>
      <c r="F998" s="7">
        <v>0</v>
      </c>
      <c r="G998" s="7">
        <v>0</v>
      </c>
      <c r="H998" s="8">
        <f t="shared" si="50"/>
        <v>0</v>
      </c>
    </row>
    <row r="999" spans="1:8" s="2" customFormat="1">
      <c r="A999" s="7" t="s">
        <v>942</v>
      </c>
      <c r="B999" s="7" t="str">
        <f t="shared" si="49"/>
        <v>34</v>
      </c>
      <c r="C999" s="7" t="str">
        <f>"07"</f>
        <v>07</v>
      </c>
      <c r="D999" s="7" t="str">
        <f>"20210153407"</f>
        <v>20210153407</v>
      </c>
      <c r="E999" s="7" t="s">
        <v>989</v>
      </c>
      <c r="F999" s="7">
        <v>73</v>
      </c>
      <c r="G999" s="7">
        <v>79</v>
      </c>
      <c r="H999" s="8">
        <f t="shared" si="50"/>
        <v>74.8</v>
      </c>
    </row>
    <row r="1000" spans="1:8" s="2" customFormat="1">
      <c r="A1000" s="7" t="s">
        <v>942</v>
      </c>
      <c r="B1000" s="7" t="str">
        <f t="shared" si="49"/>
        <v>34</v>
      </c>
      <c r="C1000" s="7" t="str">
        <f>"08"</f>
        <v>08</v>
      </c>
      <c r="D1000" s="7" t="str">
        <f>"20210153408"</f>
        <v>20210153408</v>
      </c>
      <c r="E1000" s="7" t="s">
        <v>990</v>
      </c>
      <c r="F1000" s="7">
        <v>72</v>
      </c>
      <c r="G1000" s="7">
        <v>76</v>
      </c>
      <c r="H1000" s="8">
        <f t="shared" si="50"/>
        <v>73.2</v>
      </c>
    </row>
    <row r="1001" spans="1:8" s="2" customFormat="1">
      <c r="A1001" s="7" t="s">
        <v>942</v>
      </c>
      <c r="B1001" s="7" t="str">
        <f t="shared" si="49"/>
        <v>34</v>
      </c>
      <c r="C1001" s="7" t="str">
        <f>"09"</f>
        <v>09</v>
      </c>
      <c r="D1001" s="7" t="str">
        <f>"20210153409"</f>
        <v>20210153409</v>
      </c>
      <c r="E1001" s="7" t="s">
        <v>991</v>
      </c>
      <c r="F1001" s="7">
        <v>34</v>
      </c>
      <c r="G1001" s="7">
        <v>35</v>
      </c>
      <c r="H1001" s="8">
        <f t="shared" si="50"/>
        <v>34.299999999999997</v>
      </c>
    </row>
    <row r="1002" spans="1:8" s="2" customFormat="1">
      <c r="A1002" s="7" t="s">
        <v>942</v>
      </c>
      <c r="B1002" s="7" t="str">
        <f t="shared" si="49"/>
        <v>34</v>
      </c>
      <c r="C1002" s="7" t="str">
        <f>"10"</f>
        <v>10</v>
      </c>
      <c r="D1002" s="7" t="str">
        <f>"20210153410"</f>
        <v>20210153410</v>
      </c>
      <c r="E1002" s="7" t="s">
        <v>60</v>
      </c>
      <c r="F1002" s="7">
        <v>61</v>
      </c>
      <c r="G1002" s="7">
        <v>63</v>
      </c>
      <c r="H1002" s="8">
        <f t="shared" si="50"/>
        <v>61.599999999999994</v>
      </c>
    </row>
    <row r="1003" spans="1:8" s="2" customFormat="1">
      <c r="A1003" s="7" t="s">
        <v>942</v>
      </c>
      <c r="B1003" s="7" t="str">
        <f t="shared" si="49"/>
        <v>34</v>
      </c>
      <c r="C1003" s="7" t="str">
        <f>"11"</f>
        <v>11</v>
      </c>
      <c r="D1003" s="7" t="str">
        <f>"20210153411"</f>
        <v>20210153411</v>
      </c>
      <c r="E1003" s="7" t="s">
        <v>992</v>
      </c>
      <c r="F1003" s="7">
        <v>30</v>
      </c>
      <c r="G1003" s="7">
        <v>25</v>
      </c>
      <c r="H1003" s="8">
        <f t="shared" si="50"/>
        <v>28.5</v>
      </c>
    </row>
    <row r="1004" spans="1:8" s="2" customFormat="1">
      <c r="A1004" s="7" t="s">
        <v>942</v>
      </c>
      <c r="B1004" s="7" t="str">
        <f t="shared" si="49"/>
        <v>34</v>
      </c>
      <c r="C1004" s="7" t="str">
        <f>"12"</f>
        <v>12</v>
      </c>
      <c r="D1004" s="7" t="str">
        <f>"20210153412"</f>
        <v>20210153412</v>
      </c>
      <c r="E1004" s="7" t="s">
        <v>993</v>
      </c>
      <c r="F1004" s="7">
        <v>66</v>
      </c>
      <c r="G1004" s="7">
        <v>76</v>
      </c>
      <c r="H1004" s="8">
        <f t="shared" si="50"/>
        <v>69</v>
      </c>
    </row>
    <row r="1005" spans="1:8" s="2" customFormat="1">
      <c r="A1005" s="7" t="s">
        <v>942</v>
      </c>
      <c r="B1005" s="7" t="str">
        <f t="shared" si="49"/>
        <v>34</v>
      </c>
      <c r="C1005" s="7" t="str">
        <f>"13"</f>
        <v>13</v>
      </c>
      <c r="D1005" s="7" t="str">
        <f>"20210153413"</f>
        <v>20210153413</v>
      </c>
      <c r="E1005" s="7" t="s">
        <v>994</v>
      </c>
      <c r="F1005" s="7">
        <v>79</v>
      </c>
      <c r="G1005" s="7">
        <v>80</v>
      </c>
      <c r="H1005" s="8">
        <f t="shared" si="50"/>
        <v>79.3</v>
      </c>
    </row>
    <row r="1006" spans="1:8" s="2" customFormat="1">
      <c r="A1006" s="7" t="s">
        <v>942</v>
      </c>
      <c r="B1006" s="7" t="str">
        <f t="shared" si="49"/>
        <v>34</v>
      </c>
      <c r="C1006" s="7" t="str">
        <f>"14"</f>
        <v>14</v>
      </c>
      <c r="D1006" s="7" t="str">
        <f>"20210153414"</f>
        <v>20210153414</v>
      </c>
      <c r="E1006" s="7" t="s">
        <v>564</v>
      </c>
      <c r="F1006" s="7">
        <v>64</v>
      </c>
      <c r="G1006" s="7">
        <v>72</v>
      </c>
      <c r="H1006" s="8">
        <f t="shared" si="50"/>
        <v>66.399999999999991</v>
      </c>
    </row>
    <row r="1007" spans="1:8" s="2" customFormat="1">
      <c r="A1007" s="7" t="s">
        <v>942</v>
      </c>
      <c r="B1007" s="7" t="str">
        <f t="shared" si="49"/>
        <v>34</v>
      </c>
      <c r="C1007" s="7" t="str">
        <f>"15"</f>
        <v>15</v>
      </c>
      <c r="D1007" s="7" t="str">
        <f>"20210153415"</f>
        <v>20210153415</v>
      </c>
      <c r="E1007" s="7" t="s">
        <v>995</v>
      </c>
      <c r="F1007" s="7">
        <v>53</v>
      </c>
      <c r="G1007" s="7">
        <v>80</v>
      </c>
      <c r="H1007" s="8">
        <f t="shared" si="50"/>
        <v>61.099999999999994</v>
      </c>
    </row>
    <row r="1008" spans="1:8" s="2" customFormat="1">
      <c r="A1008" s="7" t="s">
        <v>942</v>
      </c>
      <c r="B1008" s="7" t="str">
        <f t="shared" si="49"/>
        <v>34</v>
      </c>
      <c r="C1008" s="7" t="str">
        <f>"16"</f>
        <v>16</v>
      </c>
      <c r="D1008" s="7" t="str">
        <f>"20210153416"</f>
        <v>20210153416</v>
      </c>
      <c r="E1008" s="7" t="s">
        <v>996</v>
      </c>
      <c r="F1008" s="7">
        <v>50</v>
      </c>
      <c r="G1008" s="7">
        <v>41</v>
      </c>
      <c r="H1008" s="8">
        <f t="shared" si="50"/>
        <v>47.3</v>
      </c>
    </row>
    <row r="1009" spans="1:8" s="2" customFormat="1">
      <c r="A1009" s="7" t="s">
        <v>942</v>
      </c>
      <c r="B1009" s="7" t="str">
        <f t="shared" si="49"/>
        <v>34</v>
      </c>
      <c r="C1009" s="7" t="str">
        <f>"17"</f>
        <v>17</v>
      </c>
      <c r="D1009" s="7" t="str">
        <f>"20210153417"</f>
        <v>20210153417</v>
      </c>
      <c r="E1009" s="7" t="s">
        <v>997</v>
      </c>
      <c r="F1009" s="7">
        <v>55.5</v>
      </c>
      <c r="G1009" s="7">
        <v>63</v>
      </c>
      <c r="H1009" s="8">
        <f t="shared" si="50"/>
        <v>57.749999999999993</v>
      </c>
    </row>
    <row r="1010" spans="1:8" s="2" customFormat="1">
      <c r="A1010" s="7" t="s">
        <v>942</v>
      </c>
      <c r="B1010" s="7" t="str">
        <f t="shared" si="49"/>
        <v>34</v>
      </c>
      <c r="C1010" s="7" t="str">
        <f>"18"</f>
        <v>18</v>
      </c>
      <c r="D1010" s="7" t="str">
        <f>"20210153418"</f>
        <v>20210153418</v>
      </c>
      <c r="E1010" s="7" t="s">
        <v>998</v>
      </c>
      <c r="F1010" s="7">
        <v>59</v>
      </c>
      <c r="G1010" s="7">
        <v>65</v>
      </c>
      <c r="H1010" s="8">
        <f t="shared" si="50"/>
        <v>60.8</v>
      </c>
    </row>
    <row r="1011" spans="1:8" s="2" customFormat="1">
      <c r="A1011" s="7" t="s">
        <v>942</v>
      </c>
      <c r="B1011" s="7" t="str">
        <f t="shared" si="49"/>
        <v>34</v>
      </c>
      <c r="C1011" s="7" t="str">
        <f>"19"</f>
        <v>19</v>
      </c>
      <c r="D1011" s="7" t="str">
        <f>"20210153419"</f>
        <v>20210153419</v>
      </c>
      <c r="E1011" s="7" t="s">
        <v>143</v>
      </c>
      <c r="F1011" s="7">
        <v>76</v>
      </c>
      <c r="G1011" s="7">
        <v>79</v>
      </c>
      <c r="H1011" s="8">
        <f t="shared" si="50"/>
        <v>76.899999999999991</v>
      </c>
    </row>
    <row r="1012" spans="1:8" s="2" customFormat="1">
      <c r="A1012" s="7" t="s">
        <v>942</v>
      </c>
      <c r="B1012" s="7" t="str">
        <f t="shared" si="49"/>
        <v>34</v>
      </c>
      <c r="C1012" s="7" t="str">
        <f>"20"</f>
        <v>20</v>
      </c>
      <c r="D1012" s="7" t="str">
        <f>"20210153420"</f>
        <v>20210153420</v>
      </c>
      <c r="E1012" s="7" t="s">
        <v>999</v>
      </c>
      <c r="F1012" s="7">
        <v>61</v>
      </c>
      <c r="G1012" s="7">
        <v>33</v>
      </c>
      <c r="H1012" s="8">
        <f t="shared" si="50"/>
        <v>52.599999999999994</v>
      </c>
    </row>
    <row r="1013" spans="1:8" s="2" customFormat="1">
      <c r="A1013" s="7" t="s">
        <v>942</v>
      </c>
      <c r="B1013" s="7" t="str">
        <f t="shared" si="49"/>
        <v>34</v>
      </c>
      <c r="C1013" s="7" t="str">
        <f>"21"</f>
        <v>21</v>
      </c>
      <c r="D1013" s="7" t="str">
        <f>"20210153421"</f>
        <v>20210153421</v>
      </c>
      <c r="E1013" s="7" t="s">
        <v>1000</v>
      </c>
      <c r="F1013" s="7">
        <v>81</v>
      </c>
      <c r="G1013" s="7">
        <v>77</v>
      </c>
      <c r="H1013" s="8">
        <f t="shared" si="50"/>
        <v>79.8</v>
      </c>
    </row>
    <row r="1014" spans="1:8" s="2" customFormat="1">
      <c r="A1014" s="7" t="s">
        <v>942</v>
      </c>
      <c r="B1014" s="7" t="str">
        <f t="shared" si="49"/>
        <v>34</v>
      </c>
      <c r="C1014" s="7" t="str">
        <f>"22"</f>
        <v>22</v>
      </c>
      <c r="D1014" s="7" t="str">
        <f>"20210153422"</f>
        <v>20210153422</v>
      </c>
      <c r="E1014" s="7" t="s">
        <v>1001</v>
      </c>
      <c r="F1014" s="7">
        <v>52</v>
      </c>
      <c r="G1014" s="7">
        <v>75</v>
      </c>
      <c r="H1014" s="8">
        <f t="shared" si="50"/>
        <v>58.9</v>
      </c>
    </row>
    <row r="1015" spans="1:8" s="2" customFormat="1">
      <c r="A1015" s="7" t="s">
        <v>942</v>
      </c>
      <c r="B1015" s="7" t="str">
        <f t="shared" si="49"/>
        <v>34</v>
      </c>
      <c r="C1015" s="7" t="str">
        <f>"23"</f>
        <v>23</v>
      </c>
      <c r="D1015" s="7" t="str">
        <f>"20210153423"</f>
        <v>20210153423</v>
      </c>
      <c r="E1015" s="7" t="s">
        <v>1002</v>
      </c>
      <c r="F1015" s="7">
        <v>66.5</v>
      </c>
      <c r="G1015" s="7">
        <v>52</v>
      </c>
      <c r="H1015" s="8">
        <f t="shared" si="50"/>
        <v>62.15</v>
      </c>
    </row>
    <row r="1016" spans="1:8" s="2" customFormat="1">
      <c r="A1016" s="7" t="s">
        <v>942</v>
      </c>
      <c r="B1016" s="7" t="str">
        <f t="shared" si="49"/>
        <v>34</v>
      </c>
      <c r="C1016" s="7" t="str">
        <f>"24"</f>
        <v>24</v>
      </c>
      <c r="D1016" s="7" t="str">
        <f>"20210153424"</f>
        <v>20210153424</v>
      </c>
      <c r="E1016" s="7" t="s">
        <v>1003</v>
      </c>
      <c r="F1016" s="7">
        <v>59</v>
      </c>
      <c r="G1016" s="7">
        <v>65</v>
      </c>
      <c r="H1016" s="8">
        <f t="shared" si="50"/>
        <v>60.8</v>
      </c>
    </row>
    <row r="1017" spans="1:8" s="2" customFormat="1">
      <c r="A1017" s="7" t="s">
        <v>942</v>
      </c>
      <c r="B1017" s="7" t="str">
        <f t="shared" si="49"/>
        <v>34</v>
      </c>
      <c r="C1017" s="7" t="str">
        <f>"25"</f>
        <v>25</v>
      </c>
      <c r="D1017" s="7" t="str">
        <f>"20210153425"</f>
        <v>20210153425</v>
      </c>
      <c r="E1017" s="7" t="s">
        <v>1004</v>
      </c>
      <c r="F1017" s="7">
        <v>60</v>
      </c>
      <c r="G1017" s="7">
        <v>80</v>
      </c>
      <c r="H1017" s="8">
        <f t="shared" si="50"/>
        <v>66</v>
      </c>
    </row>
    <row r="1018" spans="1:8" s="2" customFormat="1">
      <c r="A1018" s="7" t="s">
        <v>942</v>
      </c>
      <c r="B1018" s="7" t="str">
        <f t="shared" si="49"/>
        <v>34</v>
      </c>
      <c r="C1018" s="7" t="str">
        <f>"26"</f>
        <v>26</v>
      </c>
      <c r="D1018" s="7" t="str">
        <f>"20210153426"</f>
        <v>20210153426</v>
      </c>
      <c r="E1018" s="7" t="s">
        <v>1005</v>
      </c>
      <c r="F1018" s="7">
        <v>56.5</v>
      </c>
      <c r="G1018" s="7">
        <v>37</v>
      </c>
      <c r="H1018" s="8">
        <f t="shared" si="50"/>
        <v>50.65</v>
      </c>
    </row>
    <row r="1019" spans="1:8" s="2" customFormat="1">
      <c r="A1019" s="7" t="s">
        <v>942</v>
      </c>
      <c r="B1019" s="7" t="str">
        <f t="shared" si="49"/>
        <v>34</v>
      </c>
      <c r="C1019" s="7" t="str">
        <f>"27"</f>
        <v>27</v>
      </c>
      <c r="D1019" s="7" t="str">
        <f>"20210153427"</f>
        <v>20210153427</v>
      </c>
      <c r="E1019" s="7" t="s">
        <v>1006</v>
      </c>
      <c r="F1019" s="7">
        <v>64.5</v>
      </c>
      <c r="G1019" s="7">
        <v>74</v>
      </c>
      <c r="H1019" s="8">
        <f t="shared" si="50"/>
        <v>67.349999999999994</v>
      </c>
    </row>
    <row r="1020" spans="1:8" s="2" customFormat="1">
      <c r="A1020" s="7" t="s">
        <v>942</v>
      </c>
      <c r="B1020" s="7" t="str">
        <f t="shared" si="49"/>
        <v>34</v>
      </c>
      <c r="C1020" s="7" t="str">
        <f>"28"</f>
        <v>28</v>
      </c>
      <c r="D1020" s="7" t="str">
        <f>"20210153428"</f>
        <v>20210153428</v>
      </c>
      <c r="E1020" s="7" t="s">
        <v>1007</v>
      </c>
      <c r="F1020" s="7">
        <v>62</v>
      </c>
      <c r="G1020" s="7">
        <v>62</v>
      </c>
      <c r="H1020" s="8">
        <f t="shared" si="50"/>
        <v>62</v>
      </c>
    </row>
    <row r="1021" spans="1:8" s="2" customFormat="1">
      <c r="A1021" s="7" t="s">
        <v>942</v>
      </c>
      <c r="B1021" s="7" t="str">
        <f t="shared" si="49"/>
        <v>34</v>
      </c>
      <c r="C1021" s="7" t="str">
        <f>"29"</f>
        <v>29</v>
      </c>
      <c r="D1021" s="7" t="str">
        <f>"20210153429"</f>
        <v>20210153429</v>
      </c>
      <c r="E1021" s="7" t="s">
        <v>1008</v>
      </c>
      <c r="F1021" s="7">
        <v>73</v>
      </c>
      <c r="G1021" s="7">
        <v>59</v>
      </c>
      <c r="H1021" s="8">
        <f t="shared" si="50"/>
        <v>68.8</v>
      </c>
    </row>
    <row r="1022" spans="1:8" s="2" customFormat="1">
      <c r="A1022" s="7" t="s">
        <v>942</v>
      </c>
      <c r="B1022" s="7" t="str">
        <f t="shared" si="49"/>
        <v>34</v>
      </c>
      <c r="C1022" s="7" t="str">
        <f>"30"</f>
        <v>30</v>
      </c>
      <c r="D1022" s="7" t="str">
        <f>"20210153430"</f>
        <v>20210153430</v>
      </c>
      <c r="E1022" s="7" t="s">
        <v>1009</v>
      </c>
      <c r="F1022" s="7">
        <v>69</v>
      </c>
      <c r="G1022" s="7">
        <v>63</v>
      </c>
      <c r="H1022" s="8">
        <f t="shared" si="50"/>
        <v>67.199999999999989</v>
      </c>
    </row>
    <row r="1023" spans="1:8" s="2" customFormat="1">
      <c r="A1023" s="7" t="s">
        <v>942</v>
      </c>
      <c r="B1023" s="7" t="str">
        <f t="shared" ref="B1023:B1052" si="51">"35"</f>
        <v>35</v>
      </c>
      <c r="C1023" s="7" t="str">
        <f>"01"</f>
        <v>01</v>
      </c>
      <c r="D1023" s="7" t="str">
        <f>"20210153501"</f>
        <v>20210153501</v>
      </c>
      <c r="E1023" s="7" t="s">
        <v>247</v>
      </c>
      <c r="F1023" s="7">
        <v>77</v>
      </c>
      <c r="G1023" s="7">
        <v>86</v>
      </c>
      <c r="H1023" s="8">
        <f t="shared" si="50"/>
        <v>79.7</v>
      </c>
    </row>
    <row r="1024" spans="1:8" s="2" customFormat="1">
      <c r="A1024" s="7" t="s">
        <v>942</v>
      </c>
      <c r="B1024" s="7" t="str">
        <f t="shared" si="51"/>
        <v>35</v>
      </c>
      <c r="C1024" s="7" t="str">
        <f>"02"</f>
        <v>02</v>
      </c>
      <c r="D1024" s="7" t="str">
        <f>"20210153502"</f>
        <v>20210153502</v>
      </c>
      <c r="E1024" s="7" t="s">
        <v>1010</v>
      </c>
      <c r="F1024" s="7">
        <v>67</v>
      </c>
      <c r="G1024" s="7">
        <v>63</v>
      </c>
      <c r="H1024" s="8">
        <f t="shared" si="50"/>
        <v>65.8</v>
      </c>
    </row>
    <row r="1025" spans="1:8" s="2" customFormat="1">
      <c r="A1025" s="7" t="s">
        <v>942</v>
      </c>
      <c r="B1025" s="7" t="str">
        <f t="shared" si="51"/>
        <v>35</v>
      </c>
      <c r="C1025" s="7" t="str">
        <f>"03"</f>
        <v>03</v>
      </c>
      <c r="D1025" s="7" t="str">
        <f>"20210153503"</f>
        <v>20210153503</v>
      </c>
      <c r="E1025" s="7" t="s">
        <v>1011</v>
      </c>
      <c r="F1025" s="7">
        <v>70</v>
      </c>
      <c r="G1025" s="7">
        <v>76</v>
      </c>
      <c r="H1025" s="8">
        <f t="shared" si="50"/>
        <v>71.8</v>
      </c>
    </row>
    <row r="1026" spans="1:8" s="2" customFormat="1">
      <c r="A1026" s="7" t="s">
        <v>1012</v>
      </c>
      <c r="B1026" s="7" t="str">
        <f t="shared" si="51"/>
        <v>35</v>
      </c>
      <c r="C1026" s="7" t="str">
        <f>"04"</f>
        <v>04</v>
      </c>
      <c r="D1026" s="7" t="str">
        <f>"20210163504"</f>
        <v>20210163504</v>
      </c>
      <c r="E1026" s="7" t="s">
        <v>1013</v>
      </c>
      <c r="F1026" s="7">
        <v>51</v>
      </c>
      <c r="G1026" s="7">
        <v>64</v>
      </c>
      <c r="H1026" s="8">
        <f t="shared" si="50"/>
        <v>54.899999999999991</v>
      </c>
    </row>
    <row r="1027" spans="1:8" s="2" customFormat="1">
      <c r="A1027" s="7" t="s">
        <v>1012</v>
      </c>
      <c r="B1027" s="7" t="str">
        <f t="shared" si="51"/>
        <v>35</v>
      </c>
      <c r="C1027" s="7" t="str">
        <f>"05"</f>
        <v>05</v>
      </c>
      <c r="D1027" s="7" t="str">
        <f>"20210163505"</f>
        <v>20210163505</v>
      </c>
      <c r="E1027" s="7" t="s">
        <v>1014</v>
      </c>
      <c r="F1027" s="7">
        <v>55.5</v>
      </c>
      <c r="G1027" s="7">
        <v>77</v>
      </c>
      <c r="H1027" s="8">
        <f t="shared" si="50"/>
        <v>61.949999999999989</v>
      </c>
    </row>
    <row r="1028" spans="1:8" s="2" customFormat="1">
      <c r="A1028" s="7" t="s">
        <v>1012</v>
      </c>
      <c r="B1028" s="7" t="str">
        <f t="shared" si="51"/>
        <v>35</v>
      </c>
      <c r="C1028" s="7" t="str">
        <f>"06"</f>
        <v>06</v>
      </c>
      <c r="D1028" s="7" t="str">
        <f>"20210163506"</f>
        <v>20210163506</v>
      </c>
      <c r="E1028" s="7" t="s">
        <v>1015</v>
      </c>
      <c r="F1028" s="7">
        <v>70</v>
      </c>
      <c r="G1028" s="7">
        <v>71</v>
      </c>
      <c r="H1028" s="8">
        <f t="shared" si="50"/>
        <v>70.3</v>
      </c>
    </row>
    <row r="1029" spans="1:8" s="2" customFormat="1">
      <c r="A1029" s="7" t="s">
        <v>1012</v>
      </c>
      <c r="B1029" s="7" t="str">
        <f t="shared" si="51"/>
        <v>35</v>
      </c>
      <c r="C1029" s="7" t="str">
        <f>"07"</f>
        <v>07</v>
      </c>
      <c r="D1029" s="7" t="str">
        <f>"20210163507"</f>
        <v>20210163507</v>
      </c>
      <c r="E1029" s="7" t="s">
        <v>1016</v>
      </c>
      <c r="F1029" s="7">
        <v>56</v>
      </c>
      <c r="G1029" s="7">
        <v>56</v>
      </c>
      <c r="H1029" s="8">
        <f t="shared" si="50"/>
        <v>56</v>
      </c>
    </row>
    <row r="1030" spans="1:8" s="2" customFormat="1">
      <c r="A1030" s="7" t="s">
        <v>1012</v>
      </c>
      <c r="B1030" s="7" t="str">
        <f t="shared" si="51"/>
        <v>35</v>
      </c>
      <c r="C1030" s="7" t="str">
        <f>"08"</f>
        <v>08</v>
      </c>
      <c r="D1030" s="7" t="str">
        <f>"20210163508"</f>
        <v>20210163508</v>
      </c>
      <c r="E1030" s="7" t="s">
        <v>1017</v>
      </c>
      <c r="F1030" s="7">
        <v>63</v>
      </c>
      <c r="G1030" s="7">
        <v>61</v>
      </c>
      <c r="H1030" s="8">
        <f t="shared" si="50"/>
        <v>62.399999999999991</v>
      </c>
    </row>
    <row r="1031" spans="1:8" s="2" customFormat="1">
      <c r="A1031" s="7" t="s">
        <v>1012</v>
      </c>
      <c r="B1031" s="7" t="str">
        <f t="shared" si="51"/>
        <v>35</v>
      </c>
      <c r="C1031" s="7" t="str">
        <f>"09"</f>
        <v>09</v>
      </c>
      <c r="D1031" s="7" t="str">
        <f>"20210163509"</f>
        <v>20210163509</v>
      </c>
      <c r="E1031" s="7" t="s">
        <v>1018</v>
      </c>
      <c r="F1031" s="7">
        <v>52</v>
      </c>
      <c r="G1031" s="7">
        <v>40</v>
      </c>
      <c r="H1031" s="8">
        <f t="shared" si="50"/>
        <v>48.4</v>
      </c>
    </row>
    <row r="1032" spans="1:8" s="2" customFormat="1">
      <c r="A1032" s="7" t="s">
        <v>1012</v>
      </c>
      <c r="B1032" s="7" t="str">
        <f t="shared" si="51"/>
        <v>35</v>
      </c>
      <c r="C1032" s="7" t="str">
        <f>"10"</f>
        <v>10</v>
      </c>
      <c r="D1032" s="7" t="str">
        <f>"20210163510"</f>
        <v>20210163510</v>
      </c>
      <c r="E1032" s="7" t="s">
        <v>1019</v>
      </c>
      <c r="F1032" s="7">
        <v>59</v>
      </c>
      <c r="G1032" s="7">
        <v>59</v>
      </c>
      <c r="H1032" s="8">
        <f t="shared" si="50"/>
        <v>59</v>
      </c>
    </row>
    <row r="1033" spans="1:8" s="2" customFormat="1">
      <c r="A1033" s="7" t="s">
        <v>1012</v>
      </c>
      <c r="B1033" s="7" t="str">
        <f t="shared" si="51"/>
        <v>35</v>
      </c>
      <c r="C1033" s="7" t="str">
        <f>"11"</f>
        <v>11</v>
      </c>
      <c r="D1033" s="7" t="str">
        <f>"20210163511"</f>
        <v>20210163511</v>
      </c>
      <c r="E1033" s="7" t="s">
        <v>1020</v>
      </c>
      <c r="F1033" s="7">
        <v>62.5</v>
      </c>
      <c r="G1033" s="7">
        <v>61</v>
      </c>
      <c r="H1033" s="8">
        <f t="shared" si="50"/>
        <v>62.05</v>
      </c>
    </row>
    <row r="1034" spans="1:8" s="2" customFormat="1">
      <c r="A1034" s="7" t="s">
        <v>1012</v>
      </c>
      <c r="B1034" s="7" t="str">
        <f t="shared" si="51"/>
        <v>35</v>
      </c>
      <c r="C1034" s="7" t="str">
        <f>"12"</f>
        <v>12</v>
      </c>
      <c r="D1034" s="7" t="str">
        <f>"20210163512"</f>
        <v>20210163512</v>
      </c>
      <c r="E1034" s="7" t="s">
        <v>1021</v>
      </c>
      <c r="F1034" s="7">
        <v>64</v>
      </c>
      <c r="G1034" s="7">
        <v>77</v>
      </c>
      <c r="H1034" s="8">
        <f t="shared" si="50"/>
        <v>67.899999999999991</v>
      </c>
    </row>
    <row r="1035" spans="1:8" s="2" customFormat="1">
      <c r="A1035" s="7" t="s">
        <v>1012</v>
      </c>
      <c r="B1035" s="7" t="str">
        <f t="shared" si="51"/>
        <v>35</v>
      </c>
      <c r="C1035" s="7" t="str">
        <f>"13"</f>
        <v>13</v>
      </c>
      <c r="D1035" s="7" t="str">
        <f>"20210163513"</f>
        <v>20210163513</v>
      </c>
      <c r="E1035" s="7" t="s">
        <v>81</v>
      </c>
      <c r="F1035" s="7">
        <v>72</v>
      </c>
      <c r="G1035" s="7">
        <v>62</v>
      </c>
      <c r="H1035" s="8">
        <f t="shared" si="50"/>
        <v>69</v>
      </c>
    </row>
    <row r="1036" spans="1:8" s="2" customFormat="1">
      <c r="A1036" s="7" t="s">
        <v>1012</v>
      </c>
      <c r="B1036" s="7" t="str">
        <f t="shared" si="51"/>
        <v>35</v>
      </c>
      <c r="C1036" s="7" t="str">
        <f>"14"</f>
        <v>14</v>
      </c>
      <c r="D1036" s="7" t="str">
        <f>"20210163514"</f>
        <v>20210163514</v>
      </c>
      <c r="E1036" s="7" t="s">
        <v>1022</v>
      </c>
      <c r="F1036" s="7">
        <v>75</v>
      </c>
      <c r="G1036" s="7">
        <v>88</v>
      </c>
      <c r="H1036" s="8">
        <f t="shared" si="50"/>
        <v>78.900000000000006</v>
      </c>
    </row>
    <row r="1037" spans="1:8" s="2" customFormat="1">
      <c r="A1037" s="7" t="s">
        <v>1012</v>
      </c>
      <c r="B1037" s="7" t="str">
        <f t="shared" si="51"/>
        <v>35</v>
      </c>
      <c r="C1037" s="7" t="str">
        <f>"15"</f>
        <v>15</v>
      </c>
      <c r="D1037" s="7" t="str">
        <f>"20210163515"</f>
        <v>20210163515</v>
      </c>
      <c r="E1037" s="7" t="s">
        <v>1023</v>
      </c>
      <c r="F1037" s="7">
        <v>63</v>
      </c>
      <c r="G1037" s="7">
        <v>85</v>
      </c>
      <c r="H1037" s="8">
        <f t="shared" si="50"/>
        <v>69.599999999999994</v>
      </c>
    </row>
    <row r="1038" spans="1:8" s="2" customFormat="1">
      <c r="A1038" s="7" t="s">
        <v>1012</v>
      </c>
      <c r="B1038" s="7" t="str">
        <f t="shared" si="51"/>
        <v>35</v>
      </c>
      <c r="C1038" s="7" t="str">
        <f>"16"</f>
        <v>16</v>
      </c>
      <c r="D1038" s="7" t="str">
        <f>"20210163516"</f>
        <v>20210163516</v>
      </c>
      <c r="E1038" s="7" t="s">
        <v>1024</v>
      </c>
      <c r="F1038" s="7">
        <v>67</v>
      </c>
      <c r="G1038" s="7">
        <v>87</v>
      </c>
      <c r="H1038" s="8">
        <f t="shared" si="50"/>
        <v>73</v>
      </c>
    </row>
    <row r="1039" spans="1:8" s="2" customFormat="1">
      <c r="A1039" s="7" t="s">
        <v>1012</v>
      </c>
      <c r="B1039" s="7" t="str">
        <f t="shared" si="51"/>
        <v>35</v>
      </c>
      <c r="C1039" s="7" t="str">
        <f>"17"</f>
        <v>17</v>
      </c>
      <c r="D1039" s="7" t="str">
        <f>"20210163517"</f>
        <v>20210163517</v>
      </c>
      <c r="E1039" s="7" t="s">
        <v>1025</v>
      </c>
      <c r="F1039" s="7">
        <v>38</v>
      </c>
      <c r="G1039" s="7">
        <v>40</v>
      </c>
      <c r="H1039" s="8">
        <f t="shared" si="50"/>
        <v>38.599999999999994</v>
      </c>
    </row>
    <row r="1040" spans="1:8" s="2" customFormat="1">
      <c r="A1040" s="7" t="s">
        <v>1012</v>
      </c>
      <c r="B1040" s="7" t="str">
        <f t="shared" si="51"/>
        <v>35</v>
      </c>
      <c r="C1040" s="7" t="str">
        <f>"18"</f>
        <v>18</v>
      </c>
      <c r="D1040" s="7" t="str">
        <f>"20210163518"</f>
        <v>20210163518</v>
      </c>
      <c r="E1040" s="7" t="s">
        <v>1026</v>
      </c>
      <c r="F1040" s="7">
        <v>33</v>
      </c>
      <c r="G1040" s="7">
        <v>32</v>
      </c>
      <c r="H1040" s="8">
        <f t="shared" si="50"/>
        <v>32.699999999999996</v>
      </c>
    </row>
    <row r="1041" spans="1:8" s="2" customFormat="1">
      <c r="A1041" s="7" t="s">
        <v>1012</v>
      </c>
      <c r="B1041" s="7" t="str">
        <f t="shared" si="51"/>
        <v>35</v>
      </c>
      <c r="C1041" s="7" t="str">
        <f>"19"</f>
        <v>19</v>
      </c>
      <c r="D1041" s="7" t="str">
        <f>"20210163519"</f>
        <v>20210163519</v>
      </c>
      <c r="E1041" s="7" t="s">
        <v>1027</v>
      </c>
      <c r="F1041" s="7">
        <v>42.5</v>
      </c>
      <c r="G1041" s="7">
        <v>44</v>
      </c>
      <c r="H1041" s="8">
        <f t="shared" si="50"/>
        <v>42.949999999999996</v>
      </c>
    </row>
    <row r="1042" spans="1:8" s="2" customFormat="1">
      <c r="A1042" s="7" t="s">
        <v>1012</v>
      </c>
      <c r="B1042" s="7" t="str">
        <f t="shared" si="51"/>
        <v>35</v>
      </c>
      <c r="C1042" s="7" t="str">
        <f>"20"</f>
        <v>20</v>
      </c>
      <c r="D1042" s="7" t="str">
        <f>"20210163520"</f>
        <v>20210163520</v>
      </c>
      <c r="E1042" s="7" t="s">
        <v>1028</v>
      </c>
      <c r="F1042" s="7">
        <v>55.5</v>
      </c>
      <c r="G1042" s="7">
        <v>59</v>
      </c>
      <c r="H1042" s="8">
        <f t="shared" si="50"/>
        <v>56.55</v>
      </c>
    </row>
    <row r="1043" spans="1:8" s="2" customFormat="1">
      <c r="A1043" s="7" t="s">
        <v>1012</v>
      </c>
      <c r="B1043" s="7" t="str">
        <f t="shared" si="51"/>
        <v>35</v>
      </c>
      <c r="C1043" s="7" t="str">
        <f>"21"</f>
        <v>21</v>
      </c>
      <c r="D1043" s="7" t="str">
        <f>"20210163521"</f>
        <v>20210163521</v>
      </c>
      <c r="E1043" s="7" t="s">
        <v>1029</v>
      </c>
      <c r="F1043" s="7">
        <v>61.5</v>
      </c>
      <c r="G1043" s="7">
        <v>65</v>
      </c>
      <c r="H1043" s="8">
        <f t="shared" si="50"/>
        <v>62.55</v>
      </c>
    </row>
    <row r="1044" spans="1:8" s="2" customFormat="1">
      <c r="A1044" s="7" t="s">
        <v>1012</v>
      </c>
      <c r="B1044" s="7" t="str">
        <f t="shared" si="51"/>
        <v>35</v>
      </c>
      <c r="C1044" s="7" t="str">
        <f>"22"</f>
        <v>22</v>
      </c>
      <c r="D1044" s="7" t="str">
        <f>"20210163522"</f>
        <v>20210163522</v>
      </c>
      <c r="E1044" s="7" t="s">
        <v>534</v>
      </c>
      <c r="F1044" s="7">
        <v>46.5</v>
      </c>
      <c r="G1044" s="7">
        <v>45</v>
      </c>
      <c r="H1044" s="8">
        <f t="shared" si="50"/>
        <v>46.05</v>
      </c>
    </row>
    <row r="1045" spans="1:8" s="2" customFormat="1">
      <c r="A1045" s="7" t="s">
        <v>1012</v>
      </c>
      <c r="B1045" s="7" t="str">
        <f t="shared" si="51"/>
        <v>35</v>
      </c>
      <c r="C1045" s="7" t="str">
        <f>"23"</f>
        <v>23</v>
      </c>
      <c r="D1045" s="7" t="str">
        <f>"20210163523"</f>
        <v>20210163523</v>
      </c>
      <c r="E1045" s="7" t="s">
        <v>1030</v>
      </c>
      <c r="F1045" s="7">
        <v>62</v>
      </c>
      <c r="G1045" s="7">
        <v>75</v>
      </c>
      <c r="H1045" s="8">
        <f t="shared" si="50"/>
        <v>65.900000000000006</v>
      </c>
    </row>
    <row r="1046" spans="1:8" s="2" customFormat="1">
      <c r="A1046" s="7" t="s">
        <v>1012</v>
      </c>
      <c r="B1046" s="7" t="str">
        <f t="shared" si="51"/>
        <v>35</v>
      </c>
      <c r="C1046" s="7" t="str">
        <f>"24"</f>
        <v>24</v>
      </c>
      <c r="D1046" s="7" t="str">
        <f>"20210163524"</f>
        <v>20210163524</v>
      </c>
      <c r="E1046" s="7" t="s">
        <v>1031</v>
      </c>
      <c r="F1046" s="7">
        <v>71.5</v>
      </c>
      <c r="G1046" s="7">
        <v>68</v>
      </c>
      <c r="H1046" s="8">
        <f t="shared" si="50"/>
        <v>70.449999999999989</v>
      </c>
    </row>
    <row r="1047" spans="1:8" s="2" customFormat="1">
      <c r="A1047" s="7" t="s">
        <v>1012</v>
      </c>
      <c r="B1047" s="7" t="str">
        <f t="shared" si="51"/>
        <v>35</v>
      </c>
      <c r="C1047" s="7" t="str">
        <f>"25"</f>
        <v>25</v>
      </c>
      <c r="D1047" s="7" t="str">
        <f>"20210163525"</f>
        <v>20210163525</v>
      </c>
      <c r="E1047" s="7" t="s">
        <v>1032</v>
      </c>
      <c r="F1047" s="7">
        <v>57.5</v>
      </c>
      <c r="G1047" s="7">
        <v>64</v>
      </c>
      <c r="H1047" s="8">
        <f t="shared" si="50"/>
        <v>59.45</v>
      </c>
    </row>
    <row r="1048" spans="1:8" s="2" customFormat="1">
      <c r="A1048" s="7" t="s">
        <v>1012</v>
      </c>
      <c r="B1048" s="7" t="str">
        <f t="shared" si="51"/>
        <v>35</v>
      </c>
      <c r="C1048" s="7" t="str">
        <f>"26"</f>
        <v>26</v>
      </c>
      <c r="D1048" s="7" t="str">
        <f>"20210163526"</f>
        <v>20210163526</v>
      </c>
      <c r="E1048" s="7" t="s">
        <v>1033</v>
      </c>
      <c r="F1048" s="7">
        <v>69</v>
      </c>
      <c r="G1048" s="7">
        <v>52</v>
      </c>
      <c r="H1048" s="8">
        <f t="shared" si="50"/>
        <v>63.9</v>
      </c>
    </row>
    <row r="1049" spans="1:8" s="2" customFormat="1">
      <c r="A1049" s="7" t="s">
        <v>1012</v>
      </c>
      <c r="B1049" s="7" t="str">
        <f t="shared" si="51"/>
        <v>35</v>
      </c>
      <c r="C1049" s="7" t="str">
        <f>"27"</f>
        <v>27</v>
      </c>
      <c r="D1049" s="7" t="str">
        <f>"20210163527"</f>
        <v>20210163527</v>
      </c>
      <c r="E1049" s="7" t="s">
        <v>96</v>
      </c>
      <c r="F1049" s="7">
        <v>54</v>
      </c>
      <c r="G1049" s="7">
        <v>74</v>
      </c>
      <c r="H1049" s="8">
        <f t="shared" si="50"/>
        <v>60</v>
      </c>
    </row>
    <row r="1050" spans="1:8" s="2" customFormat="1">
      <c r="A1050" s="7" t="s">
        <v>1012</v>
      </c>
      <c r="B1050" s="7" t="str">
        <f t="shared" si="51"/>
        <v>35</v>
      </c>
      <c r="C1050" s="7" t="str">
        <f>"28"</f>
        <v>28</v>
      </c>
      <c r="D1050" s="7" t="str">
        <f>"20210163528"</f>
        <v>20210163528</v>
      </c>
      <c r="E1050" s="7" t="s">
        <v>1034</v>
      </c>
      <c r="F1050" s="7">
        <v>56</v>
      </c>
      <c r="G1050" s="7">
        <v>54</v>
      </c>
      <c r="H1050" s="8">
        <f t="shared" si="50"/>
        <v>55.399999999999991</v>
      </c>
    </row>
    <row r="1051" spans="1:8" s="2" customFormat="1">
      <c r="A1051" s="7" t="s">
        <v>1012</v>
      </c>
      <c r="B1051" s="7" t="str">
        <f t="shared" si="51"/>
        <v>35</v>
      </c>
      <c r="C1051" s="7" t="str">
        <f>"29"</f>
        <v>29</v>
      </c>
      <c r="D1051" s="7" t="str">
        <f>"20210163529"</f>
        <v>20210163529</v>
      </c>
      <c r="E1051" s="7" t="s">
        <v>1035</v>
      </c>
      <c r="F1051" s="7">
        <v>60</v>
      </c>
      <c r="G1051" s="7">
        <v>84</v>
      </c>
      <c r="H1051" s="8">
        <f t="shared" si="50"/>
        <v>67.2</v>
      </c>
    </row>
    <row r="1052" spans="1:8" s="2" customFormat="1">
      <c r="A1052" s="7" t="s">
        <v>1012</v>
      </c>
      <c r="B1052" s="7" t="str">
        <f t="shared" si="51"/>
        <v>35</v>
      </c>
      <c r="C1052" s="7" t="str">
        <f>"30"</f>
        <v>30</v>
      </c>
      <c r="D1052" s="7" t="str">
        <f>"20210163530"</f>
        <v>20210163530</v>
      </c>
      <c r="E1052" s="7" t="s">
        <v>1036</v>
      </c>
      <c r="F1052" s="7">
        <v>56</v>
      </c>
      <c r="G1052" s="7">
        <v>85</v>
      </c>
      <c r="H1052" s="8">
        <f t="shared" si="50"/>
        <v>64.699999999999989</v>
      </c>
    </row>
    <row r="1053" spans="1:8" s="2" customFormat="1">
      <c r="A1053" s="7" t="s">
        <v>1012</v>
      </c>
      <c r="B1053" s="7" t="str">
        <f t="shared" ref="B1053:B1082" si="52">"36"</f>
        <v>36</v>
      </c>
      <c r="C1053" s="7" t="str">
        <f>"01"</f>
        <v>01</v>
      </c>
      <c r="D1053" s="7" t="str">
        <f>"20210163601"</f>
        <v>20210163601</v>
      </c>
      <c r="E1053" s="7" t="s">
        <v>1037</v>
      </c>
      <c r="F1053" s="7">
        <v>0</v>
      </c>
      <c r="G1053" s="7">
        <v>0</v>
      </c>
      <c r="H1053" s="8">
        <f t="shared" si="50"/>
        <v>0</v>
      </c>
    </row>
    <row r="1054" spans="1:8" s="2" customFormat="1">
      <c r="A1054" s="7" t="s">
        <v>1012</v>
      </c>
      <c r="B1054" s="7" t="str">
        <f t="shared" si="52"/>
        <v>36</v>
      </c>
      <c r="C1054" s="7" t="str">
        <f>"02"</f>
        <v>02</v>
      </c>
      <c r="D1054" s="7" t="str">
        <f>"20210163602"</f>
        <v>20210163602</v>
      </c>
      <c r="E1054" s="7" t="s">
        <v>1038</v>
      </c>
      <c r="F1054" s="7">
        <v>0</v>
      </c>
      <c r="G1054" s="7">
        <v>0</v>
      </c>
      <c r="H1054" s="8">
        <f t="shared" si="50"/>
        <v>0</v>
      </c>
    </row>
    <row r="1055" spans="1:8" s="2" customFormat="1">
      <c r="A1055" s="7" t="s">
        <v>1012</v>
      </c>
      <c r="B1055" s="7" t="str">
        <f t="shared" si="52"/>
        <v>36</v>
      </c>
      <c r="C1055" s="7" t="str">
        <f>"03"</f>
        <v>03</v>
      </c>
      <c r="D1055" s="7" t="str">
        <f>"20210163603"</f>
        <v>20210163603</v>
      </c>
      <c r="E1055" s="7" t="s">
        <v>1039</v>
      </c>
      <c r="F1055" s="7">
        <v>77</v>
      </c>
      <c r="G1055" s="7">
        <v>81</v>
      </c>
      <c r="H1055" s="8">
        <f t="shared" si="50"/>
        <v>78.2</v>
      </c>
    </row>
    <row r="1056" spans="1:8" s="2" customFormat="1">
      <c r="A1056" s="7" t="s">
        <v>1012</v>
      </c>
      <c r="B1056" s="7" t="str">
        <f t="shared" si="52"/>
        <v>36</v>
      </c>
      <c r="C1056" s="7" t="str">
        <f>"04"</f>
        <v>04</v>
      </c>
      <c r="D1056" s="7" t="str">
        <f>"20210163604"</f>
        <v>20210163604</v>
      </c>
      <c r="E1056" s="7" t="s">
        <v>1040</v>
      </c>
      <c r="F1056" s="7">
        <v>62</v>
      </c>
      <c r="G1056" s="7">
        <v>72</v>
      </c>
      <c r="H1056" s="8">
        <f t="shared" si="50"/>
        <v>65</v>
      </c>
    </row>
    <row r="1057" spans="1:8" s="2" customFormat="1">
      <c r="A1057" s="7" t="s">
        <v>1012</v>
      </c>
      <c r="B1057" s="7" t="str">
        <f t="shared" si="52"/>
        <v>36</v>
      </c>
      <c r="C1057" s="7" t="str">
        <f>"05"</f>
        <v>05</v>
      </c>
      <c r="D1057" s="7" t="str">
        <f>"20210163605"</f>
        <v>20210163605</v>
      </c>
      <c r="E1057" s="7" t="s">
        <v>1041</v>
      </c>
      <c r="F1057" s="7">
        <v>56</v>
      </c>
      <c r="G1057" s="7">
        <v>30</v>
      </c>
      <c r="H1057" s="8">
        <f t="shared" si="50"/>
        <v>48.199999999999996</v>
      </c>
    </row>
    <row r="1058" spans="1:8" s="2" customFormat="1">
      <c r="A1058" s="7" t="s">
        <v>1012</v>
      </c>
      <c r="B1058" s="7" t="str">
        <f t="shared" si="52"/>
        <v>36</v>
      </c>
      <c r="C1058" s="7" t="str">
        <f>"06"</f>
        <v>06</v>
      </c>
      <c r="D1058" s="7" t="str">
        <f>"20210163606"</f>
        <v>20210163606</v>
      </c>
      <c r="E1058" s="7" t="s">
        <v>1042</v>
      </c>
      <c r="F1058" s="7">
        <v>69</v>
      </c>
      <c r="G1058" s="7">
        <v>73</v>
      </c>
      <c r="H1058" s="8">
        <f t="shared" ref="H1058:H1121" si="53">F1058*0.7+G1058*0.3</f>
        <v>70.199999999999989</v>
      </c>
    </row>
    <row r="1059" spans="1:8" s="2" customFormat="1">
      <c r="A1059" s="7" t="s">
        <v>1012</v>
      </c>
      <c r="B1059" s="7" t="str">
        <f t="shared" si="52"/>
        <v>36</v>
      </c>
      <c r="C1059" s="7" t="str">
        <f>"07"</f>
        <v>07</v>
      </c>
      <c r="D1059" s="7" t="str">
        <f>"20210163607"</f>
        <v>20210163607</v>
      </c>
      <c r="E1059" s="7" t="s">
        <v>1043</v>
      </c>
      <c r="F1059" s="7">
        <v>71</v>
      </c>
      <c r="G1059" s="7">
        <v>82</v>
      </c>
      <c r="H1059" s="8">
        <f t="shared" si="53"/>
        <v>74.3</v>
      </c>
    </row>
    <row r="1060" spans="1:8" s="2" customFormat="1">
      <c r="A1060" s="7" t="s">
        <v>1012</v>
      </c>
      <c r="B1060" s="7" t="str">
        <f t="shared" si="52"/>
        <v>36</v>
      </c>
      <c r="C1060" s="7" t="str">
        <f>"08"</f>
        <v>08</v>
      </c>
      <c r="D1060" s="7" t="str">
        <f>"20210163608"</f>
        <v>20210163608</v>
      </c>
      <c r="E1060" s="7" t="s">
        <v>1044</v>
      </c>
      <c r="F1060" s="7">
        <v>50.5</v>
      </c>
      <c r="G1060" s="7">
        <v>36</v>
      </c>
      <c r="H1060" s="8">
        <f t="shared" si="53"/>
        <v>46.149999999999991</v>
      </c>
    </row>
    <row r="1061" spans="1:8" s="2" customFormat="1">
      <c r="A1061" s="7" t="s">
        <v>1012</v>
      </c>
      <c r="B1061" s="7" t="str">
        <f t="shared" si="52"/>
        <v>36</v>
      </c>
      <c r="C1061" s="7" t="str">
        <f>"09"</f>
        <v>09</v>
      </c>
      <c r="D1061" s="7" t="str">
        <f>"20210163609"</f>
        <v>20210163609</v>
      </c>
      <c r="E1061" s="7" t="s">
        <v>187</v>
      </c>
      <c r="F1061" s="7">
        <v>66</v>
      </c>
      <c r="G1061" s="7">
        <v>66</v>
      </c>
      <c r="H1061" s="8">
        <f t="shared" si="53"/>
        <v>66</v>
      </c>
    </row>
    <row r="1062" spans="1:8" s="2" customFormat="1">
      <c r="A1062" s="7" t="s">
        <v>1012</v>
      </c>
      <c r="B1062" s="7" t="str">
        <f t="shared" si="52"/>
        <v>36</v>
      </c>
      <c r="C1062" s="7" t="str">
        <f>"10"</f>
        <v>10</v>
      </c>
      <c r="D1062" s="7" t="str">
        <f>"20210163610"</f>
        <v>20210163610</v>
      </c>
      <c r="E1062" s="7" t="s">
        <v>1045</v>
      </c>
      <c r="F1062" s="7">
        <v>73</v>
      </c>
      <c r="G1062" s="7">
        <v>63</v>
      </c>
      <c r="H1062" s="8">
        <f t="shared" si="53"/>
        <v>70</v>
      </c>
    </row>
    <row r="1063" spans="1:8" s="2" customFormat="1">
      <c r="A1063" s="7" t="s">
        <v>1012</v>
      </c>
      <c r="B1063" s="7" t="str">
        <f t="shared" si="52"/>
        <v>36</v>
      </c>
      <c r="C1063" s="7" t="str">
        <f>"11"</f>
        <v>11</v>
      </c>
      <c r="D1063" s="7" t="str">
        <f>"20210163611"</f>
        <v>20210163611</v>
      </c>
      <c r="E1063" s="7" t="s">
        <v>1046</v>
      </c>
      <c r="F1063" s="7">
        <v>86</v>
      </c>
      <c r="G1063" s="7">
        <v>82</v>
      </c>
      <c r="H1063" s="8">
        <f t="shared" si="53"/>
        <v>84.8</v>
      </c>
    </row>
    <row r="1064" spans="1:8" s="2" customFormat="1">
      <c r="A1064" s="7" t="s">
        <v>1012</v>
      </c>
      <c r="B1064" s="7" t="str">
        <f t="shared" si="52"/>
        <v>36</v>
      </c>
      <c r="C1064" s="7" t="str">
        <f>"12"</f>
        <v>12</v>
      </c>
      <c r="D1064" s="7" t="str">
        <f>"20210163612"</f>
        <v>20210163612</v>
      </c>
      <c r="E1064" s="7" t="s">
        <v>1047</v>
      </c>
      <c r="F1064" s="7">
        <v>57</v>
      </c>
      <c r="G1064" s="7">
        <v>45</v>
      </c>
      <c r="H1064" s="8">
        <f t="shared" si="53"/>
        <v>53.4</v>
      </c>
    </row>
    <row r="1065" spans="1:8" s="2" customFormat="1">
      <c r="A1065" s="7" t="s">
        <v>1012</v>
      </c>
      <c r="B1065" s="7" t="str">
        <f t="shared" si="52"/>
        <v>36</v>
      </c>
      <c r="C1065" s="7" t="str">
        <f>"13"</f>
        <v>13</v>
      </c>
      <c r="D1065" s="7" t="str">
        <f>"20210163613"</f>
        <v>20210163613</v>
      </c>
      <c r="E1065" s="7" t="s">
        <v>1048</v>
      </c>
      <c r="F1065" s="7">
        <v>66</v>
      </c>
      <c r="G1065" s="7">
        <v>81</v>
      </c>
      <c r="H1065" s="8">
        <f t="shared" si="53"/>
        <v>70.5</v>
      </c>
    </row>
    <row r="1066" spans="1:8" s="2" customFormat="1">
      <c r="A1066" s="7" t="s">
        <v>1012</v>
      </c>
      <c r="B1066" s="7" t="str">
        <f t="shared" si="52"/>
        <v>36</v>
      </c>
      <c r="C1066" s="7" t="str">
        <f>"14"</f>
        <v>14</v>
      </c>
      <c r="D1066" s="7" t="str">
        <f>"20210163614"</f>
        <v>20210163614</v>
      </c>
      <c r="E1066" s="7" t="s">
        <v>1049</v>
      </c>
      <c r="F1066" s="7">
        <v>46</v>
      </c>
      <c r="G1066" s="7">
        <v>60</v>
      </c>
      <c r="H1066" s="8">
        <f t="shared" si="53"/>
        <v>50.199999999999996</v>
      </c>
    </row>
    <row r="1067" spans="1:8" s="2" customFormat="1">
      <c r="A1067" s="7" t="s">
        <v>1012</v>
      </c>
      <c r="B1067" s="7" t="str">
        <f t="shared" si="52"/>
        <v>36</v>
      </c>
      <c r="C1067" s="7" t="str">
        <f>"15"</f>
        <v>15</v>
      </c>
      <c r="D1067" s="7" t="str">
        <f>"20210163615"</f>
        <v>20210163615</v>
      </c>
      <c r="E1067" s="7" t="s">
        <v>1050</v>
      </c>
      <c r="F1067" s="7">
        <v>54</v>
      </c>
      <c r="G1067" s="7">
        <v>36</v>
      </c>
      <c r="H1067" s="8">
        <f t="shared" si="53"/>
        <v>48.599999999999994</v>
      </c>
    </row>
    <row r="1068" spans="1:8" s="2" customFormat="1">
      <c r="A1068" s="7" t="s">
        <v>1012</v>
      </c>
      <c r="B1068" s="7" t="str">
        <f t="shared" si="52"/>
        <v>36</v>
      </c>
      <c r="C1068" s="7" t="str">
        <f>"16"</f>
        <v>16</v>
      </c>
      <c r="D1068" s="7" t="str">
        <f>"20210163616"</f>
        <v>20210163616</v>
      </c>
      <c r="E1068" s="7" t="s">
        <v>1051</v>
      </c>
      <c r="F1068" s="7">
        <v>53</v>
      </c>
      <c r="G1068" s="7">
        <v>73</v>
      </c>
      <c r="H1068" s="8">
        <f t="shared" si="53"/>
        <v>58.999999999999993</v>
      </c>
    </row>
    <row r="1069" spans="1:8" s="2" customFormat="1">
      <c r="A1069" s="7" t="s">
        <v>1012</v>
      </c>
      <c r="B1069" s="7" t="str">
        <f t="shared" si="52"/>
        <v>36</v>
      </c>
      <c r="C1069" s="7" t="str">
        <f>"17"</f>
        <v>17</v>
      </c>
      <c r="D1069" s="7" t="str">
        <f>"20210163617"</f>
        <v>20210163617</v>
      </c>
      <c r="E1069" s="7" t="s">
        <v>1052</v>
      </c>
      <c r="F1069" s="7">
        <v>52.5</v>
      </c>
      <c r="G1069" s="7">
        <v>62</v>
      </c>
      <c r="H1069" s="8">
        <f t="shared" si="53"/>
        <v>55.349999999999994</v>
      </c>
    </row>
    <row r="1070" spans="1:8" s="2" customFormat="1">
      <c r="A1070" s="7" t="s">
        <v>1012</v>
      </c>
      <c r="B1070" s="7" t="str">
        <f t="shared" si="52"/>
        <v>36</v>
      </c>
      <c r="C1070" s="7" t="str">
        <f>"18"</f>
        <v>18</v>
      </c>
      <c r="D1070" s="7" t="str">
        <f>"20210163618"</f>
        <v>20210163618</v>
      </c>
      <c r="E1070" s="7" t="s">
        <v>1053</v>
      </c>
      <c r="F1070" s="7">
        <v>67.5</v>
      </c>
      <c r="G1070" s="7">
        <v>51</v>
      </c>
      <c r="H1070" s="8">
        <f t="shared" si="53"/>
        <v>62.55</v>
      </c>
    </row>
    <row r="1071" spans="1:8" s="2" customFormat="1">
      <c r="A1071" s="7" t="s">
        <v>1012</v>
      </c>
      <c r="B1071" s="7" t="str">
        <f t="shared" si="52"/>
        <v>36</v>
      </c>
      <c r="C1071" s="7" t="str">
        <f>"19"</f>
        <v>19</v>
      </c>
      <c r="D1071" s="7" t="str">
        <f>"20210163619"</f>
        <v>20210163619</v>
      </c>
      <c r="E1071" s="7" t="s">
        <v>1054</v>
      </c>
      <c r="F1071" s="7">
        <v>72</v>
      </c>
      <c r="G1071" s="7">
        <v>68</v>
      </c>
      <c r="H1071" s="8">
        <f t="shared" si="53"/>
        <v>70.8</v>
      </c>
    </row>
    <row r="1072" spans="1:8" s="2" customFormat="1">
      <c r="A1072" s="7" t="s">
        <v>1012</v>
      </c>
      <c r="B1072" s="7" t="str">
        <f t="shared" si="52"/>
        <v>36</v>
      </c>
      <c r="C1072" s="7" t="str">
        <f>"20"</f>
        <v>20</v>
      </c>
      <c r="D1072" s="7" t="str">
        <f>"20210163620"</f>
        <v>20210163620</v>
      </c>
      <c r="E1072" s="7" t="s">
        <v>1055</v>
      </c>
      <c r="F1072" s="7">
        <v>44</v>
      </c>
      <c r="G1072" s="7">
        <v>43</v>
      </c>
      <c r="H1072" s="8">
        <f t="shared" si="53"/>
        <v>43.699999999999996</v>
      </c>
    </row>
    <row r="1073" spans="1:8" s="2" customFormat="1">
      <c r="A1073" s="7" t="s">
        <v>1012</v>
      </c>
      <c r="B1073" s="7" t="str">
        <f t="shared" si="52"/>
        <v>36</v>
      </c>
      <c r="C1073" s="7" t="str">
        <f>"21"</f>
        <v>21</v>
      </c>
      <c r="D1073" s="7" t="str">
        <f>"20210163621"</f>
        <v>20210163621</v>
      </c>
      <c r="E1073" s="7" t="s">
        <v>1056</v>
      </c>
      <c r="F1073" s="7">
        <v>54</v>
      </c>
      <c r="G1073" s="7">
        <v>58</v>
      </c>
      <c r="H1073" s="8">
        <f t="shared" si="53"/>
        <v>55.199999999999996</v>
      </c>
    </row>
    <row r="1074" spans="1:8" s="2" customFormat="1">
      <c r="A1074" s="7" t="s">
        <v>1012</v>
      </c>
      <c r="B1074" s="7" t="str">
        <f t="shared" si="52"/>
        <v>36</v>
      </c>
      <c r="C1074" s="7" t="str">
        <f>"22"</f>
        <v>22</v>
      </c>
      <c r="D1074" s="7" t="str">
        <f>"20210163622"</f>
        <v>20210163622</v>
      </c>
      <c r="E1074" s="7" t="s">
        <v>1057</v>
      </c>
      <c r="F1074" s="7">
        <v>39</v>
      </c>
      <c r="G1074" s="7">
        <v>75</v>
      </c>
      <c r="H1074" s="8">
        <f t="shared" si="53"/>
        <v>49.8</v>
      </c>
    </row>
    <row r="1075" spans="1:8" s="2" customFormat="1">
      <c r="A1075" s="7" t="s">
        <v>1012</v>
      </c>
      <c r="B1075" s="7" t="str">
        <f t="shared" si="52"/>
        <v>36</v>
      </c>
      <c r="C1075" s="7" t="str">
        <f>"23"</f>
        <v>23</v>
      </c>
      <c r="D1075" s="7" t="str">
        <f>"20210163623"</f>
        <v>20210163623</v>
      </c>
      <c r="E1075" s="7" t="s">
        <v>1058</v>
      </c>
      <c r="F1075" s="7">
        <v>41</v>
      </c>
      <c r="G1075" s="7">
        <v>36</v>
      </c>
      <c r="H1075" s="8">
        <f t="shared" si="53"/>
        <v>39.5</v>
      </c>
    </row>
    <row r="1076" spans="1:8" s="2" customFormat="1">
      <c r="A1076" s="7" t="s">
        <v>1012</v>
      </c>
      <c r="B1076" s="7" t="str">
        <f t="shared" si="52"/>
        <v>36</v>
      </c>
      <c r="C1076" s="7" t="str">
        <f>"24"</f>
        <v>24</v>
      </c>
      <c r="D1076" s="7" t="str">
        <f>"20210163624"</f>
        <v>20210163624</v>
      </c>
      <c r="E1076" s="7" t="s">
        <v>1059</v>
      </c>
      <c r="F1076" s="7">
        <v>49.5</v>
      </c>
      <c r="G1076" s="7">
        <v>63</v>
      </c>
      <c r="H1076" s="8">
        <f t="shared" si="53"/>
        <v>53.55</v>
      </c>
    </row>
    <row r="1077" spans="1:8" s="2" customFormat="1">
      <c r="A1077" s="7" t="s">
        <v>1012</v>
      </c>
      <c r="B1077" s="7" t="str">
        <f t="shared" si="52"/>
        <v>36</v>
      </c>
      <c r="C1077" s="7" t="str">
        <f>"25"</f>
        <v>25</v>
      </c>
      <c r="D1077" s="7" t="str">
        <f>"20210163625"</f>
        <v>20210163625</v>
      </c>
      <c r="E1077" s="7" t="s">
        <v>1060</v>
      </c>
      <c r="F1077" s="7">
        <v>64</v>
      </c>
      <c r="G1077" s="7">
        <v>50</v>
      </c>
      <c r="H1077" s="8">
        <f t="shared" si="53"/>
        <v>59.8</v>
      </c>
    </row>
    <row r="1078" spans="1:8" s="2" customFormat="1">
      <c r="A1078" s="7" t="s">
        <v>1012</v>
      </c>
      <c r="B1078" s="7" t="str">
        <f t="shared" si="52"/>
        <v>36</v>
      </c>
      <c r="C1078" s="7" t="str">
        <f>"26"</f>
        <v>26</v>
      </c>
      <c r="D1078" s="7" t="str">
        <f>"20210163626"</f>
        <v>20210163626</v>
      </c>
      <c r="E1078" s="7" t="s">
        <v>1061</v>
      </c>
      <c r="F1078" s="7">
        <v>58.5</v>
      </c>
      <c r="G1078" s="7">
        <v>47</v>
      </c>
      <c r="H1078" s="8">
        <f t="shared" si="53"/>
        <v>55.05</v>
      </c>
    </row>
    <row r="1079" spans="1:8" s="2" customFormat="1">
      <c r="A1079" s="7" t="s">
        <v>1012</v>
      </c>
      <c r="B1079" s="7" t="str">
        <f t="shared" si="52"/>
        <v>36</v>
      </c>
      <c r="C1079" s="7" t="str">
        <f>"27"</f>
        <v>27</v>
      </c>
      <c r="D1079" s="7" t="str">
        <f>"20210163627"</f>
        <v>20210163627</v>
      </c>
      <c r="E1079" s="7" t="s">
        <v>1062</v>
      </c>
      <c r="F1079" s="7">
        <v>61.5</v>
      </c>
      <c r="G1079" s="7">
        <v>60</v>
      </c>
      <c r="H1079" s="8">
        <f t="shared" si="53"/>
        <v>61.05</v>
      </c>
    </row>
    <row r="1080" spans="1:8" s="2" customFormat="1">
      <c r="A1080" s="7" t="s">
        <v>1012</v>
      </c>
      <c r="B1080" s="7" t="str">
        <f t="shared" si="52"/>
        <v>36</v>
      </c>
      <c r="C1080" s="7" t="str">
        <f>"28"</f>
        <v>28</v>
      </c>
      <c r="D1080" s="7" t="str">
        <f>"20210163628"</f>
        <v>20210163628</v>
      </c>
      <c r="E1080" s="7" t="s">
        <v>1063</v>
      </c>
      <c r="F1080" s="7">
        <v>32</v>
      </c>
      <c r="G1080" s="7">
        <v>45</v>
      </c>
      <c r="H1080" s="8">
        <f t="shared" si="53"/>
        <v>35.9</v>
      </c>
    </row>
    <row r="1081" spans="1:8" s="2" customFormat="1">
      <c r="A1081" s="7" t="s">
        <v>1012</v>
      </c>
      <c r="B1081" s="7" t="str">
        <f t="shared" si="52"/>
        <v>36</v>
      </c>
      <c r="C1081" s="7" t="str">
        <f>"29"</f>
        <v>29</v>
      </c>
      <c r="D1081" s="7" t="str">
        <f>"20210163629"</f>
        <v>20210163629</v>
      </c>
      <c r="E1081" s="7" t="s">
        <v>1064</v>
      </c>
      <c r="F1081" s="7">
        <v>55</v>
      </c>
      <c r="G1081" s="7">
        <v>70</v>
      </c>
      <c r="H1081" s="8">
        <f t="shared" si="53"/>
        <v>59.5</v>
      </c>
    </row>
    <row r="1082" spans="1:8" s="2" customFormat="1">
      <c r="A1082" s="7" t="s">
        <v>1012</v>
      </c>
      <c r="B1082" s="7" t="str">
        <f t="shared" si="52"/>
        <v>36</v>
      </c>
      <c r="C1082" s="7" t="str">
        <f>"30"</f>
        <v>30</v>
      </c>
      <c r="D1082" s="7" t="str">
        <f>"20210163630"</f>
        <v>20210163630</v>
      </c>
      <c r="E1082" s="7" t="s">
        <v>79</v>
      </c>
      <c r="F1082" s="7">
        <v>62</v>
      </c>
      <c r="G1082" s="7">
        <v>75</v>
      </c>
      <c r="H1082" s="8">
        <f t="shared" si="53"/>
        <v>65.900000000000006</v>
      </c>
    </row>
    <row r="1083" spans="1:8" s="2" customFormat="1">
      <c r="A1083" s="7" t="s">
        <v>1012</v>
      </c>
      <c r="B1083" s="7" t="str">
        <f t="shared" ref="B1083:B1112" si="54">"37"</f>
        <v>37</v>
      </c>
      <c r="C1083" s="7" t="str">
        <f>"01"</f>
        <v>01</v>
      </c>
      <c r="D1083" s="7" t="str">
        <f>"20210163701"</f>
        <v>20210163701</v>
      </c>
      <c r="E1083" s="7" t="s">
        <v>1065</v>
      </c>
      <c r="F1083" s="7">
        <v>78</v>
      </c>
      <c r="G1083" s="7">
        <v>88</v>
      </c>
      <c r="H1083" s="8">
        <f t="shared" si="53"/>
        <v>81</v>
      </c>
    </row>
    <row r="1084" spans="1:8" s="2" customFormat="1">
      <c r="A1084" s="7" t="s">
        <v>1066</v>
      </c>
      <c r="B1084" s="7" t="str">
        <f t="shared" si="54"/>
        <v>37</v>
      </c>
      <c r="C1084" s="7" t="str">
        <f>"02"</f>
        <v>02</v>
      </c>
      <c r="D1084" s="7" t="str">
        <f>"20210173702"</f>
        <v>20210173702</v>
      </c>
      <c r="E1084" s="7" t="s">
        <v>1067</v>
      </c>
      <c r="F1084" s="7">
        <v>57</v>
      </c>
      <c r="G1084" s="7">
        <v>69</v>
      </c>
      <c r="H1084" s="8">
        <f t="shared" si="53"/>
        <v>60.599999999999994</v>
      </c>
    </row>
    <row r="1085" spans="1:8" s="2" customFormat="1">
      <c r="A1085" s="7" t="s">
        <v>1066</v>
      </c>
      <c r="B1085" s="7" t="str">
        <f t="shared" si="54"/>
        <v>37</v>
      </c>
      <c r="C1085" s="7" t="str">
        <f>"03"</f>
        <v>03</v>
      </c>
      <c r="D1085" s="7" t="str">
        <f>"20210173703"</f>
        <v>20210173703</v>
      </c>
      <c r="E1085" s="7" t="s">
        <v>1068</v>
      </c>
      <c r="F1085" s="7">
        <v>0</v>
      </c>
      <c r="G1085" s="7">
        <v>0</v>
      </c>
      <c r="H1085" s="8">
        <f t="shared" si="53"/>
        <v>0</v>
      </c>
    </row>
    <row r="1086" spans="1:8" s="2" customFormat="1">
      <c r="A1086" s="7" t="s">
        <v>1066</v>
      </c>
      <c r="B1086" s="7" t="str">
        <f t="shared" si="54"/>
        <v>37</v>
      </c>
      <c r="C1086" s="7" t="str">
        <f>"04"</f>
        <v>04</v>
      </c>
      <c r="D1086" s="7" t="str">
        <f>"20210173704"</f>
        <v>20210173704</v>
      </c>
      <c r="E1086" s="7" t="s">
        <v>1069</v>
      </c>
      <c r="F1086" s="7">
        <v>52</v>
      </c>
      <c r="G1086" s="7">
        <v>45</v>
      </c>
      <c r="H1086" s="8">
        <f t="shared" si="53"/>
        <v>49.9</v>
      </c>
    </row>
    <row r="1087" spans="1:8" s="2" customFormat="1">
      <c r="A1087" s="7" t="s">
        <v>1066</v>
      </c>
      <c r="B1087" s="7" t="str">
        <f t="shared" si="54"/>
        <v>37</v>
      </c>
      <c r="C1087" s="7" t="str">
        <f>"05"</f>
        <v>05</v>
      </c>
      <c r="D1087" s="7" t="str">
        <f>"20210173705"</f>
        <v>20210173705</v>
      </c>
      <c r="E1087" s="7" t="s">
        <v>1070</v>
      </c>
      <c r="F1087" s="7">
        <v>47</v>
      </c>
      <c r="G1087" s="7">
        <v>58</v>
      </c>
      <c r="H1087" s="8">
        <f t="shared" si="53"/>
        <v>50.3</v>
      </c>
    </row>
    <row r="1088" spans="1:8" s="2" customFormat="1">
      <c r="A1088" s="7" t="s">
        <v>1066</v>
      </c>
      <c r="B1088" s="7" t="str">
        <f t="shared" si="54"/>
        <v>37</v>
      </c>
      <c r="C1088" s="7" t="str">
        <f>"06"</f>
        <v>06</v>
      </c>
      <c r="D1088" s="7" t="str">
        <f>"20210173706"</f>
        <v>20210173706</v>
      </c>
      <c r="E1088" s="7" t="s">
        <v>1071</v>
      </c>
      <c r="F1088" s="7">
        <v>40</v>
      </c>
      <c r="G1088" s="7">
        <v>42</v>
      </c>
      <c r="H1088" s="8">
        <f t="shared" si="53"/>
        <v>40.6</v>
      </c>
    </row>
    <row r="1089" spans="1:8" s="2" customFormat="1">
      <c r="A1089" s="7" t="s">
        <v>1066</v>
      </c>
      <c r="B1089" s="7" t="str">
        <f t="shared" si="54"/>
        <v>37</v>
      </c>
      <c r="C1089" s="7" t="str">
        <f>"07"</f>
        <v>07</v>
      </c>
      <c r="D1089" s="7" t="str">
        <f>"20210173707"</f>
        <v>20210173707</v>
      </c>
      <c r="E1089" s="7" t="s">
        <v>1072</v>
      </c>
      <c r="F1089" s="7">
        <v>63</v>
      </c>
      <c r="G1089" s="7">
        <v>75</v>
      </c>
      <c r="H1089" s="8">
        <f t="shared" si="53"/>
        <v>66.599999999999994</v>
      </c>
    </row>
    <row r="1090" spans="1:8" s="2" customFormat="1">
      <c r="A1090" s="7" t="s">
        <v>1066</v>
      </c>
      <c r="B1090" s="7" t="str">
        <f t="shared" si="54"/>
        <v>37</v>
      </c>
      <c r="C1090" s="7" t="str">
        <f>"08"</f>
        <v>08</v>
      </c>
      <c r="D1090" s="7" t="str">
        <f>"20210173708"</f>
        <v>20210173708</v>
      </c>
      <c r="E1090" s="7" t="s">
        <v>1073</v>
      </c>
      <c r="F1090" s="7">
        <v>43.5</v>
      </c>
      <c r="G1090" s="7">
        <v>51</v>
      </c>
      <c r="H1090" s="8">
        <f t="shared" si="53"/>
        <v>45.75</v>
      </c>
    </row>
    <row r="1091" spans="1:8" s="2" customFormat="1">
      <c r="A1091" s="7" t="s">
        <v>1066</v>
      </c>
      <c r="B1091" s="7" t="str">
        <f t="shared" si="54"/>
        <v>37</v>
      </c>
      <c r="C1091" s="7" t="str">
        <f>"09"</f>
        <v>09</v>
      </c>
      <c r="D1091" s="7" t="str">
        <f>"20210173709"</f>
        <v>20210173709</v>
      </c>
      <c r="E1091" s="7" t="s">
        <v>1074</v>
      </c>
      <c r="F1091" s="7">
        <v>55</v>
      </c>
      <c r="G1091" s="7">
        <v>84</v>
      </c>
      <c r="H1091" s="8">
        <f t="shared" si="53"/>
        <v>63.7</v>
      </c>
    </row>
    <row r="1092" spans="1:8" s="2" customFormat="1">
      <c r="A1092" s="7" t="s">
        <v>1066</v>
      </c>
      <c r="B1092" s="7" t="str">
        <f t="shared" si="54"/>
        <v>37</v>
      </c>
      <c r="C1092" s="7" t="str">
        <f>"10"</f>
        <v>10</v>
      </c>
      <c r="D1092" s="7" t="str">
        <f>"20210173710"</f>
        <v>20210173710</v>
      </c>
      <c r="E1092" s="7" t="s">
        <v>1075</v>
      </c>
      <c r="F1092" s="7">
        <v>40</v>
      </c>
      <c r="G1092" s="7">
        <v>43</v>
      </c>
      <c r="H1092" s="8">
        <f t="shared" si="53"/>
        <v>40.9</v>
      </c>
    </row>
    <row r="1093" spans="1:8" s="2" customFormat="1">
      <c r="A1093" s="7" t="s">
        <v>1066</v>
      </c>
      <c r="B1093" s="7" t="str">
        <f t="shared" si="54"/>
        <v>37</v>
      </c>
      <c r="C1093" s="7" t="str">
        <f>"11"</f>
        <v>11</v>
      </c>
      <c r="D1093" s="7" t="str">
        <f>"20210173711"</f>
        <v>20210173711</v>
      </c>
      <c r="E1093" s="7" t="s">
        <v>1076</v>
      </c>
      <c r="F1093" s="7">
        <v>61.5</v>
      </c>
      <c r="G1093" s="7">
        <v>54</v>
      </c>
      <c r="H1093" s="8">
        <f t="shared" si="53"/>
        <v>59.25</v>
      </c>
    </row>
    <row r="1094" spans="1:8" s="2" customFormat="1">
      <c r="A1094" s="7" t="s">
        <v>1066</v>
      </c>
      <c r="B1094" s="7" t="str">
        <f t="shared" si="54"/>
        <v>37</v>
      </c>
      <c r="C1094" s="7" t="str">
        <f>"12"</f>
        <v>12</v>
      </c>
      <c r="D1094" s="7" t="str">
        <f>"20210173712"</f>
        <v>20210173712</v>
      </c>
      <c r="E1094" s="7" t="s">
        <v>1077</v>
      </c>
      <c r="F1094" s="7">
        <v>64</v>
      </c>
      <c r="G1094" s="7">
        <v>67</v>
      </c>
      <c r="H1094" s="8">
        <f t="shared" si="53"/>
        <v>64.899999999999991</v>
      </c>
    </row>
    <row r="1095" spans="1:8" s="2" customFormat="1">
      <c r="A1095" s="7" t="s">
        <v>1066</v>
      </c>
      <c r="B1095" s="7" t="str">
        <f t="shared" si="54"/>
        <v>37</v>
      </c>
      <c r="C1095" s="7" t="str">
        <f>"13"</f>
        <v>13</v>
      </c>
      <c r="D1095" s="7" t="str">
        <f>"20210173713"</f>
        <v>20210173713</v>
      </c>
      <c r="E1095" s="7" t="s">
        <v>1078</v>
      </c>
      <c r="F1095" s="7">
        <v>60.5</v>
      </c>
      <c r="G1095" s="7">
        <v>72</v>
      </c>
      <c r="H1095" s="8">
        <f t="shared" si="53"/>
        <v>63.949999999999989</v>
      </c>
    </row>
    <row r="1096" spans="1:8" s="2" customFormat="1">
      <c r="A1096" s="7" t="s">
        <v>1066</v>
      </c>
      <c r="B1096" s="7" t="str">
        <f t="shared" si="54"/>
        <v>37</v>
      </c>
      <c r="C1096" s="7" t="str">
        <f>"14"</f>
        <v>14</v>
      </c>
      <c r="D1096" s="7" t="str">
        <f>"20210173714"</f>
        <v>20210173714</v>
      </c>
      <c r="E1096" s="7" t="s">
        <v>1079</v>
      </c>
      <c r="F1096" s="7">
        <v>52.5</v>
      </c>
      <c r="G1096" s="7">
        <v>63</v>
      </c>
      <c r="H1096" s="8">
        <f t="shared" si="53"/>
        <v>55.65</v>
      </c>
    </row>
    <row r="1097" spans="1:8" s="2" customFormat="1">
      <c r="A1097" s="7" t="s">
        <v>1066</v>
      </c>
      <c r="B1097" s="7" t="str">
        <f t="shared" si="54"/>
        <v>37</v>
      </c>
      <c r="C1097" s="7" t="str">
        <f>"15"</f>
        <v>15</v>
      </c>
      <c r="D1097" s="7" t="str">
        <f>"20210173715"</f>
        <v>20210173715</v>
      </c>
      <c r="E1097" s="7" t="s">
        <v>1080</v>
      </c>
      <c r="F1097" s="7">
        <v>71</v>
      </c>
      <c r="G1097" s="7">
        <v>69</v>
      </c>
      <c r="H1097" s="8">
        <f t="shared" si="53"/>
        <v>70.399999999999991</v>
      </c>
    </row>
    <row r="1098" spans="1:8" s="2" customFormat="1">
      <c r="A1098" s="7" t="s">
        <v>1066</v>
      </c>
      <c r="B1098" s="7" t="str">
        <f t="shared" si="54"/>
        <v>37</v>
      </c>
      <c r="C1098" s="7" t="str">
        <f>"16"</f>
        <v>16</v>
      </c>
      <c r="D1098" s="7" t="str">
        <f>"20210173716"</f>
        <v>20210173716</v>
      </c>
      <c r="E1098" s="7" t="s">
        <v>1081</v>
      </c>
      <c r="F1098" s="7">
        <v>53</v>
      </c>
      <c r="G1098" s="7">
        <v>72</v>
      </c>
      <c r="H1098" s="8">
        <f t="shared" si="53"/>
        <v>58.699999999999989</v>
      </c>
    </row>
    <row r="1099" spans="1:8" s="2" customFormat="1">
      <c r="A1099" s="7" t="s">
        <v>1066</v>
      </c>
      <c r="B1099" s="7" t="str">
        <f t="shared" si="54"/>
        <v>37</v>
      </c>
      <c r="C1099" s="7" t="str">
        <f>"17"</f>
        <v>17</v>
      </c>
      <c r="D1099" s="7" t="str">
        <f>"20210173717"</f>
        <v>20210173717</v>
      </c>
      <c r="E1099" s="7" t="s">
        <v>1082</v>
      </c>
      <c r="F1099" s="7">
        <v>43</v>
      </c>
      <c r="G1099" s="7">
        <v>52</v>
      </c>
      <c r="H1099" s="8">
        <f t="shared" si="53"/>
        <v>45.699999999999996</v>
      </c>
    </row>
    <row r="1100" spans="1:8" s="2" customFormat="1">
      <c r="A1100" s="7" t="s">
        <v>1066</v>
      </c>
      <c r="B1100" s="7" t="str">
        <f t="shared" si="54"/>
        <v>37</v>
      </c>
      <c r="C1100" s="7" t="str">
        <f>"18"</f>
        <v>18</v>
      </c>
      <c r="D1100" s="7" t="str">
        <f>"20210173718"</f>
        <v>20210173718</v>
      </c>
      <c r="E1100" s="7" t="s">
        <v>1083</v>
      </c>
      <c r="F1100" s="7">
        <v>51</v>
      </c>
      <c r="G1100" s="7">
        <v>59</v>
      </c>
      <c r="H1100" s="8">
        <f t="shared" si="53"/>
        <v>53.399999999999991</v>
      </c>
    </row>
    <row r="1101" spans="1:8" s="2" customFormat="1">
      <c r="A1101" s="7" t="s">
        <v>1066</v>
      </c>
      <c r="B1101" s="7" t="str">
        <f t="shared" si="54"/>
        <v>37</v>
      </c>
      <c r="C1101" s="7" t="str">
        <f>"19"</f>
        <v>19</v>
      </c>
      <c r="D1101" s="7" t="str">
        <f>"20210173719"</f>
        <v>20210173719</v>
      </c>
      <c r="E1101" s="7" t="s">
        <v>1084</v>
      </c>
      <c r="F1101" s="7">
        <v>58</v>
      </c>
      <c r="G1101" s="7">
        <v>74</v>
      </c>
      <c r="H1101" s="8">
        <f t="shared" si="53"/>
        <v>62.8</v>
      </c>
    </row>
    <row r="1102" spans="1:8" s="2" customFormat="1">
      <c r="A1102" s="7" t="s">
        <v>1066</v>
      </c>
      <c r="B1102" s="7" t="str">
        <f t="shared" si="54"/>
        <v>37</v>
      </c>
      <c r="C1102" s="7" t="str">
        <f>"20"</f>
        <v>20</v>
      </c>
      <c r="D1102" s="7" t="str">
        <f>"20210173720"</f>
        <v>20210173720</v>
      </c>
      <c r="E1102" s="7" t="s">
        <v>1085</v>
      </c>
      <c r="F1102" s="7">
        <v>54</v>
      </c>
      <c r="G1102" s="7">
        <v>74</v>
      </c>
      <c r="H1102" s="8">
        <f t="shared" si="53"/>
        <v>60</v>
      </c>
    </row>
    <row r="1103" spans="1:8" s="2" customFormat="1">
      <c r="A1103" s="7" t="s">
        <v>1066</v>
      </c>
      <c r="B1103" s="7" t="str">
        <f t="shared" si="54"/>
        <v>37</v>
      </c>
      <c r="C1103" s="7" t="str">
        <f>"21"</f>
        <v>21</v>
      </c>
      <c r="D1103" s="7" t="str">
        <f>"20210173721"</f>
        <v>20210173721</v>
      </c>
      <c r="E1103" s="7" t="s">
        <v>1086</v>
      </c>
      <c r="F1103" s="7">
        <v>0</v>
      </c>
      <c r="G1103" s="7">
        <v>0</v>
      </c>
      <c r="H1103" s="8">
        <f t="shared" si="53"/>
        <v>0</v>
      </c>
    </row>
    <row r="1104" spans="1:8" s="2" customFormat="1">
      <c r="A1104" s="7" t="s">
        <v>1066</v>
      </c>
      <c r="B1104" s="7" t="str">
        <f t="shared" si="54"/>
        <v>37</v>
      </c>
      <c r="C1104" s="7" t="str">
        <f>"22"</f>
        <v>22</v>
      </c>
      <c r="D1104" s="7" t="str">
        <f>"20210173722"</f>
        <v>20210173722</v>
      </c>
      <c r="E1104" s="7" t="s">
        <v>1087</v>
      </c>
      <c r="F1104" s="7">
        <v>53</v>
      </c>
      <c r="G1104" s="7">
        <v>79</v>
      </c>
      <c r="H1104" s="8">
        <f t="shared" si="53"/>
        <v>60.8</v>
      </c>
    </row>
    <row r="1105" spans="1:8" s="2" customFormat="1">
      <c r="A1105" s="7" t="s">
        <v>1066</v>
      </c>
      <c r="B1105" s="7" t="str">
        <f t="shared" si="54"/>
        <v>37</v>
      </c>
      <c r="C1105" s="7" t="str">
        <f>"23"</f>
        <v>23</v>
      </c>
      <c r="D1105" s="7" t="str">
        <f>"20210173723"</f>
        <v>20210173723</v>
      </c>
      <c r="E1105" s="7" t="s">
        <v>1088</v>
      </c>
      <c r="F1105" s="7">
        <v>38</v>
      </c>
      <c r="G1105" s="7">
        <v>39</v>
      </c>
      <c r="H1105" s="8">
        <f t="shared" si="53"/>
        <v>38.299999999999997</v>
      </c>
    </row>
    <row r="1106" spans="1:8" s="2" customFormat="1">
      <c r="A1106" s="7" t="s">
        <v>1066</v>
      </c>
      <c r="B1106" s="7" t="str">
        <f t="shared" si="54"/>
        <v>37</v>
      </c>
      <c r="C1106" s="7" t="str">
        <f>"24"</f>
        <v>24</v>
      </c>
      <c r="D1106" s="7" t="str">
        <f>"20210173724"</f>
        <v>20210173724</v>
      </c>
      <c r="E1106" s="7" t="s">
        <v>1089</v>
      </c>
      <c r="F1106" s="7">
        <v>70.5</v>
      </c>
      <c r="G1106" s="7">
        <v>79</v>
      </c>
      <c r="H1106" s="8">
        <f t="shared" si="53"/>
        <v>73.05</v>
      </c>
    </row>
    <row r="1107" spans="1:8" s="2" customFormat="1">
      <c r="A1107" s="7" t="s">
        <v>1066</v>
      </c>
      <c r="B1107" s="7" t="str">
        <f t="shared" si="54"/>
        <v>37</v>
      </c>
      <c r="C1107" s="7" t="str">
        <f>"25"</f>
        <v>25</v>
      </c>
      <c r="D1107" s="7" t="str">
        <f>"20210173725"</f>
        <v>20210173725</v>
      </c>
      <c r="E1107" s="7" t="s">
        <v>1090</v>
      </c>
      <c r="F1107" s="7">
        <v>62</v>
      </c>
      <c r="G1107" s="7">
        <v>78</v>
      </c>
      <c r="H1107" s="8">
        <f t="shared" si="53"/>
        <v>66.8</v>
      </c>
    </row>
    <row r="1108" spans="1:8" s="2" customFormat="1">
      <c r="A1108" s="7" t="s">
        <v>1066</v>
      </c>
      <c r="B1108" s="7" t="str">
        <f t="shared" si="54"/>
        <v>37</v>
      </c>
      <c r="C1108" s="7" t="str">
        <f>"26"</f>
        <v>26</v>
      </c>
      <c r="D1108" s="7" t="str">
        <f>"20210173726"</f>
        <v>20210173726</v>
      </c>
      <c r="E1108" s="7" t="s">
        <v>1091</v>
      </c>
      <c r="F1108" s="7">
        <v>64</v>
      </c>
      <c r="G1108" s="7">
        <v>88</v>
      </c>
      <c r="H1108" s="8">
        <f t="shared" si="53"/>
        <v>71.199999999999989</v>
      </c>
    </row>
    <row r="1109" spans="1:8" s="2" customFormat="1">
      <c r="A1109" s="7" t="s">
        <v>1066</v>
      </c>
      <c r="B1109" s="7" t="str">
        <f t="shared" si="54"/>
        <v>37</v>
      </c>
      <c r="C1109" s="7" t="str">
        <f>"27"</f>
        <v>27</v>
      </c>
      <c r="D1109" s="7" t="str">
        <f>"20210173727"</f>
        <v>20210173727</v>
      </c>
      <c r="E1109" s="7" t="s">
        <v>1092</v>
      </c>
      <c r="F1109" s="7">
        <v>59</v>
      </c>
      <c r="G1109" s="7">
        <v>60</v>
      </c>
      <c r="H1109" s="8">
        <f t="shared" si="53"/>
        <v>59.3</v>
      </c>
    </row>
    <row r="1110" spans="1:8" s="2" customFormat="1">
      <c r="A1110" s="7" t="s">
        <v>1066</v>
      </c>
      <c r="B1110" s="7" t="str">
        <f t="shared" si="54"/>
        <v>37</v>
      </c>
      <c r="C1110" s="7" t="str">
        <f>"28"</f>
        <v>28</v>
      </c>
      <c r="D1110" s="7" t="str">
        <f>"20210173728"</f>
        <v>20210173728</v>
      </c>
      <c r="E1110" s="7" t="s">
        <v>1093</v>
      </c>
      <c r="F1110" s="7">
        <v>39.5</v>
      </c>
      <c r="G1110" s="7">
        <v>55</v>
      </c>
      <c r="H1110" s="8">
        <f t="shared" si="53"/>
        <v>44.15</v>
      </c>
    </row>
    <row r="1111" spans="1:8" s="2" customFormat="1">
      <c r="A1111" s="7" t="s">
        <v>1066</v>
      </c>
      <c r="B1111" s="7" t="str">
        <f t="shared" si="54"/>
        <v>37</v>
      </c>
      <c r="C1111" s="7" t="str">
        <f>"29"</f>
        <v>29</v>
      </c>
      <c r="D1111" s="7" t="str">
        <f>"20210173729"</f>
        <v>20210173729</v>
      </c>
      <c r="E1111" s="7" t="s">
        <v>1094</v>
      </c>
      <c r="F1111" s="7">
        <v>30</v>
      </c>
      <c r="G1111" s="7">
        <v>41</v>
      </c>
      <c r="H1111" s="8">
        <f t="shared" si="53"/>
        <v>33.299999999999997</v>
      </c>
    </row>
    <row r="1112" spans="1:8" s="2" customFormat="1">
      <c r="A1112" s="7" t="s">
        <v>1066</v>
      </c>
      <c r="B1112" s="7" t="str">
        <f t="shared" si="54"/>
        <v>37</v>
      </c>
      <c r="C1112" s="7" t="str">
        <f>"30"</f>
        <v>30</v>
      </c>
      <c r="D1112" s="7" t="str">
        <f>"20210173730"</f>
        <v>20210173730</v>
      </c>
      <c r="E1112" s="7" t="s">
        <v>1095</v>
      </c>
      <c r="F1112" s="7">
        <v>52</v>
      </c>
      <c r="G1112" s="7">
        <v>79</v>
      </c>
      <c r="H1112" s="8">
        <f t="shared" si="53"/>
        <v>60.099999999999994</v>
      </c>
    </row>
    <row r="1113" spans="1:8" s="2" customFormat="1">
      <c r="A1113" s="7" t="s">
        <v>1066</v>
      </c>
      <c r="B1113" s="7" t="str">
        <f t="shared" ref="B1113:B1142" si="55">"38"</f>
        <v>38</v>
      </c>
      <c r="C1113" s="7" t="str">
        <f>"01"</f>
        <v>01</v>
      </c>
      <c r="D1113" s="7" t="str">
        <f>"20210173801"</f>
        <v>20210173801</v>
      </c>
      <c r="E1113" s="7" t="s">
        <v>1096</v>
      </c>
      <c r="F1113" s="7">
        <v>0</v>
      </c>
      <c r="G1113" s="7">
        <v>0</v>
      </c>
      <c r="H1113" s="8">
        <f t="shared" si="53"/>
        <v>0</v>
      </c>
    </row>
    <row r="1114" spans="1:8" s="2" customFormat="1">
      <c r="A1114" s="7" t="s">
        <v>1066</v>
      </c>
      <c r="B1114" s="7" t="str">
        <f t="shared" si="55"/>
        <v>38</v>
      </c>
      <c r="C1114" s="7" t="str">
        <f>"02"</f>
        <v>02</v>
      </c>
      <c r="D1114" s="7" t="str">
        <f>"20210173802"</f>
        <v>20210173802</v>
      </c>
      <c r="E1114" s="7" t="s">
        <v>1097</v>
      </c>
      <c r="F1114" s="7">
        <v>66.5</v>
      </c>
      <c r="G1114" s="7">
        <v>84</v>
      </c>
      <c r="H1114" s="8">
        <f t="shared" si="53"/>
        <v>71.75</v>
      </c>
    </row>
    <row r="1115" spans="1:8" s="2" customFormat="1">
      <c r="A1115" s="7" t="s">
        <v>1066</v>
      </c>
      <c r="B1115" s="7" t="str">
        <f t="shared" si="55"/>
        <v>38</v>
      </c>
      <c r="C1115" s="7" t="str">
        <f>"03"</f>
        <v>03</v>
      </c>
      <c r="D1115" s="7" t="str">
        <f>"20210173803"</f>
        <v>20210173803</v>
      </c>
      <c r="E1115" s="7" t="s">
        <v>1098</v>
      </c>
      <c r="F1115" s="7">
        <v>44</v>
      </c>
      <c r="G1115" s="7">
        <v>45</v>
      </c>
      <c r="H1115" s="8">
        <f t="shared" si="53"/>
        <v>44.3</v>
      </c>
    </row>
    <row r="1116" spans="1:8" s="2" customFormat="1">
      <c r="A1116" s="7" t="s">
        <v>1066</v>
      </c>
      <c r="B1116" s="7" t="str">
        <f t="shared" si="55"/>
        <v>38</v>
      </c>
      <c r="C1116" s="7" t="str">
        <f>"04"</f>
        <v>04</v>
      </c>
      <c r="D1116" s="7" t="str">
        <f>"20210173804"</f>
        <v>20210173804</v>
      </c>
      <c r="E1116" s="7" t="s">
        <v>1099</v>
      </c>
      <c r="F1116" s="7">
        <v>0</v>
      </c>
      <c r="G1116" s="7">
        <v>0</v>
      </c>
      <c r="H1116" s="8">
        <f t="shared" si="53"/>
        <v>0</v>
      </c>
    </row>
    <row r="1117" spans="1:8" s="2" customFormat="1">
      <c r="A1117" s="7" t="s">
        <v>1066</v>
      </c>
      <c r="B1117" s="7" t="str">
        <f t="shared" si="55"/>
        <v>38</v>
      </c>
      <c r="C1117" s="7" t="str">
        <f>"05"</f>
        <v>05</v>
      </c>
      <c r="D1117" s="7" t="str">
        <f>"20210173805"</f>
        <v>20210173805</v>
      </c>
      <c r="E1117" s="7" t="s">
        <v>555</v>
      </c>
      <c r="F1117" s="7">
        <v>56</v>
      </c>
      <c r="G1117" s="7">
        <v>76</v>
      </c>
      <c r="H1117" s="8">
        <f t="shared" si="53"/>
        <v>62</v>
      </c>
    </row>
    <row r="1118" spans="1:8" s="2" customFormat="1">
      <c r="A1118" s="7" t="s">
        <v>1066</v>
      </c>
      <c r="B1118" s="7" t="str">
        <f t="shared" si="55"/>
        <v>38</v>
      </c>
      <c r="C1118" s="7" t="str">
        <f>"06"</f>
        <v>06</v>
      </c>
      <c r="D1118" s="7" t="str">
        <f>"20210173806"</f>
        <v>20210173806</v>
      </c>
      <c r="E1118" s="7" t="s">
        <v>1100</v>
      </c>
      <c r="F1118" s="7">
        <v>58</v>
      </c>
      <c r="G1118" s="7">
        <v>87</v>
      </c>
      <c r="H1118" s="8">
        <f t="shared" si="53"/>
        <v>66.699999999999989</v>
      </c>
    </row>
    <row r="1119" spans="1:8" s="2" customFormat="1">
      <c r="A1119" s="7" t="s">
        <v>1066</v>
      </c>
      <c r="B1119" s="7" t="str">
        <f t="shared" si="55"/>
        <v>38</v>
      </c>
      <c r="C1119" s="7" t="str">
        <f>"07"</f>
        <v>07</v>
      </c>
      <c r="D1119" s="7" t="str">
        <f>"20210173807"</f>
        <v>20210173807</v>
      </c>
      <c r="E1119" s="7" t="s">
        <v>521</v>
      </c>
      <c r="F1119" s="7">
        <v>51</v>
      </c>
      <c r="G1119" s="7">
        <v>54</v>
      </c>
      <c r="H1119" s="8">
        <f t="shared" si="53"/>
        <v>51.899999999999991</v>
      </c>
    </row>
    <row r="1120" spans="1:8" s="2" customFormat="1">
      <c r="A1120" s="7" t="s">
        <v>1066</v>
      </c>
      <c r="B1120" s="7" t="str">
        <f t="shared" si="55"/>
        <v>38</v>
      </c>
      <c r="C1120" s="7" t="str">
        <f>"08"</f>
        <v>08</v>
      </c>
      <c r="D1120" s="7" t="str">
        <f>"20210173808"</f>
        <v>20210173808</v>
      </c>
      <c r="E1120" s="7" t="s">
        <v>1101</v>
      </c>
      <c r="F1120" s="7">
        <v>61</v>
      </c>
      <c r="G1120" s="7">
        <v>74</v>
      </c>
      <c r="H1120" s="8">
        <f t="shared" si="53"/>
        <v>64.899999999999991</v>
      </c>
    </row>
    <row r="1121" spans="1:8" s="2" customFormat="1">
      <c r="A1121" s="7" t="s">
        <v>1066</v>
      </c>
      <c r="B1121" s="7" t="str">
        <f t="shared" si="55"/>
        <v>38</v>
      </c>
      <c r="C1121" s="7" t="str">
        <f>"09"</f>
        <v>09</v>
      </c>
      <c r="D1121" s="7" t="str">
        <f>"20210173809"</f>
        <v>20210173809</v>
      </c>
      <c r="E1121" s="7" t="s">
        <v>1102</v>
      </c>
      <c r="F1121" s="7">
        <v>81</v>
      </c>
      <c r="G1121" s="7">
        <v>64</v>
      </c>
      <c r="H1121" s="8">
        <f t="shared" si="53"/>
        <v>75.899999999999991</v>
      </c>
    </row>
    <row r="1122" spans="1:8" s="2" customFormat="1">
      <c r="A1122" s="7" t="s">
        <v>1066</v>
      </c>
      <c r="B1122" s="7" t="str">
        <f t="shared" si="55"/>
        <v>38</v>
      </c>
      <c r="C1122" s="7" t="str">
        <f>"10"</f>
        <v>10</v>
      </c>
      <c r="D1122" s="7" t="str">
        <f>"20210173810"</f>
        <v>20210173810</v>
      </c>
      <c r="E1122" s="7" t="s">
        <v>1103</v>
      </c>
      <c r="F1122" s="7">
        <v>58</v>
      </c>
      <c r="G1122" s="7">
        <v>58</v>
      </c>
      <c r="H1122" s="8">
        <f t="shared" ref="H1122:H1185" si="56">F1122*0.7+G1122*0.3</f>
        <v>57.999999999999993</v>
      </c>
    </row>
    <row r="1123" spans="1:8" s="2" customFormat="1">
      <c r="A1123" s="7" t="s">
        <v>1066</v>
      </c>
      <c r="B1123" s="7" t="str">
        <f t="shared" si="55"/>
        <v>38</v>
      </c>
      <c r="C1123" s="7" t="str">
        <f>"11"</f>
        <v>11</v>
      </c>
      <c r="D1123" s="7" t="str">
        <f>"20210173811"</f>
        <v>20210173811</v>
      </c>
      <c r="E1123" s="7" t="s">
        <v>1104</v>
      </c>
      <c r="F1123" s="7">
        <v>63</v>
      </c>
      <c r="G1123" s="7">
        <v>77</v>
      </c>
      <c r="H1123" s="8">
        <f t="shared" si="56"/>
        <v>67.199999999999989</v>
      </c>
    </row>
    <row r="1124" spans="1:8" s="2" customFormat="1">
      <c r="A1124" s="7" t="s">
        <v>1066</v>
      </c>
      <c r="B1124" s="7" t="str">
        <f t="shared" si="55"/>
        <v>38</v>
      </c>
      <c r="C1124" s="7" t="str">
        <f>"12"</f>
        <v>12</v>
      </c>
      <c r="D1124" s="7" t="str">
        <f>"20210173812"</f>
        <v>20210173812</v>
      </c>
      <c r="E1124" s="7" t="s">
        <v>1105</v>
      </c>
      <c r="F1124" s="7">
        <v>64</v>
      </c>
      <c r="G1124" s="7">
        <v>94</v>
      </c>
      <c r="H1124" s="8">
        <f t="shared" si="56"/>
        <v>73</v>
      </c>
    </row>
    <row r="1125" spans="1:8" s="2" customFormat="1">
      <c r="A1125" s="7" t="s">
        <v>1066</v>
      </c>
      <c r="B1125" s="7" t="str">
        <f t="shared" si="55"/>
        <v>38</v>
      </c>
      <c r="C1125" s="7" t="str">
        <f>"13"</f>
        <v>13</v>
      </c>
      <c r="D1125" s="7" t="str">
        <f>"20210173813"</f>
        <v>20210173813</v>
      </c>
      <c r="E1125" s="7" t="s">
        <v>1106</v>
      </c>
      <c r="F1125" s="7">
        <v>62.5</v>
      </c>
      <c r="G1125" s="7">
        <v>56</v>
      </c>
      <c r="H1125" s="8">
        <f t="shared" si="56"/>
        <v>60.55</v>
      </c>
    </row>
    <row r="1126" spans="1:8" s="2" customFormat="1">
      <c r="A1126" s="7" t="s">
        <v>1066</v>
      </c>
      <c r="B1126" s="7" t="str">
        <f t="shared" si="55"/>
        <v>38</v>
      </c>
      <c r="C1126" s="7" t="str">
        <f>"14"</f>
        <v>14</v>
      </c>
      <c r="D1126" s="7" t="str">
        <f>"20210173814"</f>
        <v>20210173814</v>
      </c>
      <c r="E1126" s="7" t="s">
        <v>1107</v>
      </c>
      <c r="F1126" s="7">
        <v>52</v>
      </c>
      <c r="G1126" s="7">
        <v>61</v>
      </c>
      <c r="H1126" s="8">
        <f t="shared" si="56"/>
        <v>54.7</v>
      </c>
    </row>
    <row r="1127" spans="1:8" s="2" customFormat="1">
      <c r="A1127" s="7" t="s">
        <v>1066</v>
      </c>
      <c r="B1127" s="7" t="str">
        <f t="shared" si="55"/>
        <v>38</v>
      </c>
      <c r="C1127" s="7" t="str">
        <f>"15"</f>
        <v>15</v>
      </c>
      <c r="D1127" s="7" t="str">
        <f>"20210173815"</f>
        <v>20210173815</v>
      </c>
      <c r="E1127" s="7" t="s">
        <v>1108</v>
      </c>
      <c r="F1127" s="7">
        <v>49</v>
      </c>
      <c r="G1127" s="7">
        <v>54</v>
      </c>
      <c r="H1127" s="8">
        <f t="shared" si="56"/>
        <v>50.5</v>
      </c>
    </row>
    <row r="1128" spans="1:8" s="2" customFormat="1">
      <c r="A1128" s="7" t="s">
        <v>1066</v>
      </c>
      <c r="B1128" s="7" t="str">
        <f t="shared" si="55"/>
        <v>38</v>
      </c>
      <c r="C1128" s="7" t="str">
        <f>"16"</f>
        <v>16</v>
      </c>
      <c r="D1128" s="7" t="str">
        <f>"20210173816"</f>
        <v>20210173816</v>
      </c>
      <c r="E1128" s="7" t="s">
        <v>1109</v>
      </c>
      <c r="F1128" s="7">
        <v>71</v>
      </c>
      <c r="G1128" s="7">
        <v>55</v>
      </c>
      <c r="H1128" s="8">
        <f t="shared" si="56"/>
        <v>66.199999999999989</v>
      </c>
    </row>
    <row r="1129" spans="1:8" s="2" customFormat="1">
      <c r="A1129" s="7" t="s">
        <v>1066</v>
      </c>
      <c r="B1129" s="7" t="str">
        <f t="shared" si="55"/>
        <v>38</v>
      </c>
      <c r="C1129" s="7" t="str">
        <f>"17"</f>
        <v>17</v>
      </c>
      <c r="D1129" s="7" t="str">
        <f>"20210173817"</f>
        <v>20210173817</v>
      </c>
      <c r="E1129" s="7" t="s">
        <v>1110</v>
      </c>
      <c r="F1129" s="7">
        <v>52.5</v>
      </c>
      <c r="G1129" s="7">
        <v>39</v>
      </c>
      <c r="H1129" s="8">
        <f t="shared" si="56"/>
        <v>48.45</v>
      </c>
    </row>
    <row r="1130" spans="1:8" s="2" customFormat="1">
      <c r="A1130" s="7" t="s">
        <v>1066</v>
      </c>
      <c r="B1130" s="7" t="str">
        <f t="shared" si="55"/>
        <v>38</v>
      </c>
      <c r="C1130" s="7" t="str">
        <f>"18"</f>
        <v>18</v>
      </c>
      <c r="D1130" s="7" t="str">
        <f>"20210173818"</f>
        <v>20210173818</v>
      </c>
      <c r="E1130" s="7" t="s">
        <v>1111</v>
      </c>
      <c r="F1130" s="7">
        <v>34</v>
      </c>
      <c r="G1130" s="7">
        <v>42</v>
      </c>
      <c r="H1130" s="8">
        <f t="shared" si="56"/>
        <v>36.4</v>
      </c>
    </row>
    <row r="1131" spans="1:8" s="2" customFormat="1">
      <c r="A1131" s="7" t="s">
        <v>1066</v>
      </c>
      <c r="B1131" s="7" t="str">
        <f t="shared" si="55"/>
        <v>38</v>
      </c>
      <c r="C1131" s="7" t="str">
        <f>"19"</f>
        <v>19</v>
      </c>
      <c r="D1131" s="7" t="str">
        <f>"20210173819"</f>
        <v>20210173819</v>
      </c>
      <c r="E1131" s="7" t="s">
        <v>1112</v>
      </c>
      <c r="F1131" s="7">
        <v>24</v>
      </c>
      <c r="G1131" s="7">
        <v>41</v>
      </c>
      <c r="H1131" s="8">
        <f t="shared" si="56"/>
        <v>29.099999999999994</v>
      </c>
    </row>
    <row r="1132" spans="1:8" s="2" customFormat="1">
      <c r="A1132" s="7" t="s">
        <v>1066</v>
      </c>
      <c r="B1132" s="7" t="str">
        <f t="shared" si="55"/>
        <v>38</v>
      </c>
      <c r="C1132" s="7" t="str">
        <f>"20"</f>
        <v>20</v>
      </c>
      <c r="D1132" s="7" t="str">
        <f>"20210173820"</f>
        <v>20210173820</v>
      </c>
      <c r="E1132" s="7" t="s">
        <v>734</v>
      </c>
      <c r="F1132" s="7">
        <v>48</v>
      </c>
      <c r="G1132" s="7">
        <v>68</v>
      </c>
      <c r="H1132" s="8">
        <f t="shared" si="56"/>
        <v>53.999999999999993</v>
      </c>
    </row>
    <row r="1133" spans="1:8" s="2" customFormat="1">
      <c r="A1133" s="7" t="s">
        <v>1066</v>
      </c>
      <c r="B1133" s="7" t="str">
        <f t="shared" si="55"/>
        <v>38</v>
      </c>
      <c r="C1133" s="7" t="str">
        <f>"21"</f>
        <v>21</v>
      </c>
      <c r="D1133" s="7" t="str">
        <f>"20210173821"</f>
        <v>20210173821</v>
      </c>
      <c r="E1133" s="7" t="s">
        <v>1113</v>
      </c>
      <c r="F1133" s="7">
        <v>61</v>
      </c>
      <c r="G1133" s="7">
        <v>64</v>
      </c>
      <c r="H1133" s="8">
        <f t="shared" si="56"/>
        <v>61.899999999999991</v>
      </c>
    </row>
    <row r="1134" spans="1:8" s="2" customFormat="1">
      <c r="A1134" s="7" t="s">
        <v>1066</v>
      </c>
      <c r="B1134" s="7" t="str">
        <f t="shared" si="55"/>
        <v>38</v>
      </c>
      <c r="C1134" s="7" t="str">
        <f>"22"</f>
        <v>22</v>
      </c>
      <c r="D1134" s="7" t="str">
        <f>"20210173822"</f>
        <v>20210173822</v>
      </c>
      <c r="E1134" s="7" t="s">
        <v>1114</v>
      </c>
      <c r="F1134" s="7">
        <v>36</v>
      </c>
      <c r="G1134" s="7">
        <v>53</v>
      </c>
      <c r="H1134" s="8">
        <f t="shared" si="56"/>
        <v>41.099999999999994</v>
      </c>
    </row>
    <row r="1135" spans="1:8" s="2" customFormat="1">
      <c r="A1135" s="7" t="s">
        <v>1066</v>
      </c>
      <c r="B1135" s="7" t="str">
        <f t="shared" si="55"/>
        <v>38</v>
      </c>
      <c r="C1135" s="7" t="str">
        <f>"23"</f>
        <v>23</v>
      </c>
      <c r="D1135" s="7" t="str">
        <f>"20210173823"</f>
        <v>20210173823</v>
      </c>
      <c r="E1135" s="7" t="s">
        <v>1115</v>
      </c>
      <c r="F1135" s="7">
        <v>57</v>
      </c>
      <c r="G1135" s="7">
        <v>81</v>
      </c>
      <c r="H1135" s="8">
        <f t="shared" si="56"/>
        <v>64.2</v>
      </c>
    </row>
    <row r="1136" spans="1:8" s="2" customFormat="1">
      <c r="A1136" s="7" t="s">
        <v>1066</v>
      </c>
      <c r="B1136" s="7" t="str">
        <f t="shared" si="55"/>
        <v>38</v>
      </c>
      <c r="C1136" s="7" t="str">
        <f>"24"</f>
        <v>24</v>
      </c>
      <c r="D1136" s="7" t="str">
        <f>"20210173824"</f>
        <v>20210173824</v>
      </c>
      <c r="E1136" s="7" t="s">
        <v>1116</v>
      </c>
      <c r="F1136" s="7">
        <v>57</v>
      </c>
      <c r="G1136" s="7">
        <v>92</v>
      </c>
      <c r="H1136" s="8">
        <f t="shared" si="56"/>
        <v>67.5</v>
      </c>
    </row>
    <row r="1137" spans="1:8" s="2" customFormat="1">
      <c r="A1137" s="7" t="s">
        <v>1066</v>
      </c>
      <c r="B1137" s="7" t="str">
        <f t="shared" si="55"/>
        <v>38</v>
      </c>
      <c r="C1137" s="7" t="str">
        <f>"25"</f>
        <v>25</v>
      </c>
      <c r="D1137" s="7" t="str">
        <f>"20210173825"</f>
        <v>20210173825</v>
      </c>
      <c r="E1137" s="7" t="s">
        <v>1117</v>
      </c>
      <c r="F1137" s="7">
        <v>42.5</v>
      </c>
      <c r="G1137" s="7">
        <v>54</v>
      </c>
      <c r="H1137" s="8">
        <f t="shared" si="56"/>
        <v>45.949999999999996</v>
      </c>
    </row>
    <row r="1138" spans="1:8" s="2" customFormat="1">
      <c r="A1138" s="7" t="s">
        <v>1066</v>
      </c>
      <c r="B1138" s="7" t="str">
        <f t="shared" si="55"/>
        <v>38</v>
      </c>
      <c r="C1138" s="7" t="str">
        <f>"26"</f>
        <v>26</v>
      </c>
      <c r="D1138" s="7" t="str">
        <f>"20210173826"</f>
        <v>20210173826</v>
      </c>
      <c r="E1138" s="7" t="s">
        <v>1118</v>
      </c>
      <c r="F1138" s="7">
        <v>62</v>
      </c>
      <c r="G1138" s="7">
        <v>80</v>
      </c>
      <c r="H1138" s="8">
        <f t="shared" si="56"/>
        <v>67.400000000000006</v>
      </c>
    </row>
    <row r="1139" spans="1:8" s="2" customFormat="1">
      <c r="A1139" s="7" t="s">
        <v>1066</v>
      </c>
      <c r="B1139" s="7" t="str">
        <f t="shared" si="55"/>
        <v>38</v>
      </c>
      <c r="C1139" s="7" t="str">
        <f>"27"</f>
        <v>27</v>
      </c>
      <c r="D1139" s="7" t="str">
        <f>"20210173827"</f>
        <v>20210173827</v>
      </c>
      <c r="E1139" s="7" t="s">
        <v>1119</v>
      </c>
      <c r="F1139" s="7">
        <v>52</v>
      </c>
      <c r="G1139" s="7">
        <v>62</v>
      </c>
      <c r="H1139" s="8">
        <f t="shared" si="56"/>
        <v>55</v>
      </c>
    </row>
    <row r="1140" spans="1:8" s="2" customFormat="1">
      <c r="A1140" s="7" t="s">
        <v>1066</v>
      </c>
      <c r="B1140" s="7" t="str">
        <f t="shared" si="55"/>
        <v>38</v>
      </c>
      <c r="C1140" s="7" t="str">
        <f>"28"</f>
        <v>28</v>
      </c>
      <c r="D1140" s="7" t="str">
        <f>"20210173828"</f>
        <v>20210173828</v>
      </c>
      <c r="E1140" s="7" t="s">
        <v>831</v>
      </c>
      <c r="F1140" s="7">
        <v>0</v>
      </c>
      <c r="G1140" s="7">
        <v>0</v>
      </c>
      <c r="H1140" s="8">
        <f t="shared" si="56"/>
        <v>0</v>
      </c>
    </row>
    <row r="1141" spans="1:8" s="2" customFormat="1">
      <c r="A1141" s="7" t="s">
        <v>1066</v>
      </c>
      <c r="B1141" s="7" t="str">
        <f t="shared" si="55"/>
        <v>38</v>
      </c>
      <c r="C1141" s="7" t="str">
        <f>"29"</f>
        <v>29</v>
      </c>
      <c r="D1141" s="7" t="str">
        <f>"20210173829"</f>
        <v>20210173829</v>
      </c>
      <c r="E1141" s="7" t="s">
        <v>1120</v>
      </c>
      <c r="F1141" s="7">
        <v>54</v>
      </c>
      <c r="G1141" s="7">
        <v>46</v>
      </c>
      <c r="H1141" s="8">
        <f t="shared" si="56"/>
        <v>51.599999999999994</v>
      </c>
    </row>
    <row r="1142" spans="1:8" s="2" customFormat="1">
      <c r="A1142" s="7" t="s">
        <v>1066</v>
      </c>
      <c r="B1142" s="7" t="str">
        <f t="shared" si="55"/>
        <v>38</v>
      </c>
      <c r="C1142" s="7" t="str">
        <f>"30"</f>
        <v>30</v>
      </c>
      <c r="D1142" s="7" t="str">
        <f>"20210173830"</f>
        <v>20210173830</v>
      </c>
      <c r="E1142" s="7" t="s">
        <v>1121</v>
      </c>
      <c r="F1142" s="7">
        <v>0</v>
      </c>
      <c r="G1142" s="7">
        <v>0</v>
      </c>
      <c r="H1142" s="8">
        <f t="shared" si="56"/>
        <v>0</v>
      </c>
    </row>
    <row r="1143" spans="1:8" s="2" customFormat="1">
      <c r="A1143" s="7" t="s">
        <v>1066</v>
      </c>
      <c r="B1143" s="7" t="str">
        <f t="shared" ref="B1143:B1172" si="57">"39"</f>
        <v>39</v>
      </c>
      <c r="C1143" s="7" t="str">
        <f>"01"</f>
        <v>01</v>
      </c>
      <c r="D1143" s="7" t="str">
        <f>"20210173901"</f>
        <v>20210173901</v>
      </c>
      <c r="E1143" s="7" t="s">
        <v>1122</v>
      </c>
      <c r="F1143" s="7">
        <v>45</v>
      </c>
      <c r="G1143" s="7">
        <v>59</v>
      </c>
      <c r="H1143" s="8">
        <f t="shared" si="56"/>
        <v>49.199999999999996</v>
      </c>
    </row>
    <row r="1144" spans="1:8" s="2" customFormat="1">
      <c r="A1144" s="7" t="s">
        <v>1123</v>
      </c>
      <c r="B1144" s="7" t="str">
        <f t="shared" si="57"/>
        <v>39</v>
      </c>
      <c r="C1144" s="7" t="str">
        <f>"02"</f>
        <v>02</v>
      </c>
      <c r="D1144" s="7" t="str">
        <f>"20210183902"</f>
        <v>20210183902</v>
      </c>
      <c r="E1144" s="7" t="s">
        <v>1124</v>
      </c>
      <c r="F1144" s="7">
        <v>51</v>
      </c>
      <c r="G1144" s="7">
        <v>59</v>
      </c>
      <c r="H1144" s="8">
        <f t="shared" si="56"/>
        <v>53.399999999999991</v>
      </c>
    </row>
    <row r="1145" spans="1:8" s="2" customFormat="1">
      <c r="A1145" s="7" t="s">
        <v>1123</v>
      </c>
      <c r="B1145" s="7" t="str">
        <f t="shared" si="57"/>
        <v>39</v>
      </c>
      <c r="C1145" s="7" t="str">
        <f>"03"</f>
        <v>03</v>
      </c>
      <c r="D1145" s="7" t="str">
        <f>"20210183903"</f>
        <v>20210183903</v>
      </c>
      <c r="E1145" s="7" t="s">
        <v>1125</v>
      </c>
      <c r="F1145" s="7">
        <v>70.5</v>
      </c>
      <c r="G1145" s="7">
        <v>66</v>
      </c>
      <c r="H1145" s="8">
        <f t="shared" si="56"/>
        <v>69.149999999999991</v>
      </c>
    </row>
    <row r="1146" spans="1:8" s="2" customFormat="1">
      <c r="A1146" s="7" t="s">
        <v>1123</v>
      </c>
      <c r="B1146" s="7" t="str">
        <f t="shared" si="57"/>
        <v>39</v>
      </c>
      <c r="C1146" s="7" t="str">
        <f>"04"</f>
        <v>04</v>
      </c>
      <c r="D1146" s="7" t="str">
        <f>"20210183904"</f>
        <v>20210183904</v>
      </c>
      <c r="E1146" s="7" t="s">
        <v>1126</v>
      </c>
      <c r="F1146" s="7">
        <v>46</v>
      </c>
      <c r="G1146" s="7">
        <v>57</v>
      </c>
      <c r="H1146" s="8">
        <f t="shared" si="56"/>
        <v>49.3</v>
      </c>
    </row>
    <row r="1147" spans="1:8" s="2" customFormat="1">
      <c r="A1147" s="7" t="s">
        <v>1123</v>
      </c>
      <c r="B1147" s="7" t="str">
        <f t="shared" si="57"/>
        <v>39</v>
      </c>
      <c r="C1147" s="7" t="str">
        <f>"05"</f>
        <v>05</v>
      </c>
      <c r="D1147" s="7" t="str">
        <f>"20210183905"</f>
        <v>20210183905</v>
      </c>
      <c r="E1147" s="7" t="s">
        <v>1127</v>
      </c>
      <c r="F1147" s="7">
        <v>43</v>
      </c>
      <c r="G1147" s="7">
        <v>46</v>
      </c>
      <c r="H1147" s="8">
        <f t="shared" si="56"/>
        <v>43.9</v>
      </c>
    </row>
    <row r="1148" spans="1:8" s="2" customFormat="1">
      <c r="A1148" s="7" t="s">
        <v>1123</v>
      </c>
      <c r="B1148" s="7" t="str">
        <f t="shared" si="57"/>
        <v>39</v>
      </c>
      <c r="C1148" s="7" t="str">
        <f>"06"</f>
        <v>06</v>
      </c>
      <c r="D1148" s="7" t="str">
        <f>"20210183906"</f>
        <v>20210183906</v>
      </c>
      <c r="E1148" s="7" t="s">
        <v>1128</v>
      </c>
      <c r="F1148" s="7">
        <v>47</v>
      </c>
      <c r="G1148" s="7">
        <v>46</v>
      </c>
      <c r="H1148" s="8">
        <f t="shared" si="56"/>
        <v>46.699999999999996</v>
      </c>
    </row>
    <row r="1149" spans="1:8" s="2" customFormat="1">
      <c r="A1149" s="7" t="s">
        <v>1123</v>
      </c>
      <c r="B1149" s="7" t="str">
        <f t="shared" si="57"/>
        <v>39</v>
      </c>
      <c r="C1149" s="7" t="str">
        <f>"07"</f>
        <v>07</v>
      </c>
      <c r="D1149" s="7" t="str">
        <f>"20210183907"</f>
        <v>20210183907</v>
      </c>
      <c r="E1149" s="7" t="s">
        <v>1129</v>
      </c>
      <c r="F1149" s="7">
        <v>43</v>
      </c>
      <c r="G1149" s="7">
        <v>40</v>
      </c>
      <c r="H1149" s="8">
        <f t="shared" si="56"/>
        <v>42.099999999999994</v>
      </c>
    </row>
    <row r="1150" spans="1:8" s="2" customFormat="1">
      <c r="A1150" s="7" t="s">
        <v>1123</v>
      </c>
      <c r="B1150" s="7" t="str">
        <f t="shared" si="57"/>
        <v>39</v>
      </c>
      <c r="C1150" s="7" t="str">
        <f>"08"</f>
        <v>08</v>
      </c>
      <c r="D1150" s="7" t="str">
        <f>"20210183908"</f>
        <v>20210183908</v>
      </c>
      <c r="E1150" s="7" t="s">
        <v>1130</v>
      </c>
      <c r="F1150" s="7">
        <v>39</v>
      </c>
      <c r="G1150" s="7">
        <v>57</v>
      </c>
      <c r="H1150" s="8">
        <f t="shared" si="56"/>
        <v>44.399999999999991</v>
      </c>
    </row>
    <row r="1151" spans="1:8" s="2" customFormat="1">
      <c r="A1151" s="7" t="s">
        <v>1123</v>
      </c>
      <c r="B1151" s="7" t="str">
        <f t="shared" si="57"/>
        <v>39</v>
      </c>
      <c r="C1151" s="7" t="str">
        <f>"09"</f>
        <v>09</v>
      </c>
      <c r="D1151" s="7" t="str">
        <f>"20210183909"</f>
        <v>20210183909</v>
      </c>
      <c r="E1151" s="7" t="s">
        <v>1131</v>
      </c>
      <c r="F1151" s="7">
        <v>59</v>
      </c>
      <c r="G1151" s="7">
        <v>48</v>
      </c>
      <c r="H1151" s="8">
        <f t="shared" si="56"/>
        <v>55.699999999999996</v>
      </c>
    </row>
    <row r="1152" spans="1:8" s="2" customFormat="1">
      <c r="A1152" s="7" t="s">
        <v>1123</v>
      </c>
      <c r="B1152" s="7" t="str">
        <f t="shared" si="57"/>
        <v>39</v>
      </c>
      <c r="C1152" s="7" t="str">
        <f>"10"</f>
        <v>10</v>
      </c>
      <c r="D1152" s="7" t="str">
        <f>"20210183910"</f>
        <v>20210183910</v>
      </c>
      <c r="E1152" s="7" t="s">
        <v>1132</v>
      </c>
      <c r="F1152" s="7">
        <v>41.5</v>
      </c>
      <c r="G1152" s="7">
        <v>50</v>
      </c>
      <c r="H1152" s="8">
        <f t="shared" si="56"/>
        <v>44.05</v>
      </c>
    </row>
    <row r="1153" spans="1:8" s="2" customFormat="1">
      <c r="A1153" s="7" t="s">
        <v>1123</v>
      </c>
      <c r="B1153" s="7" t="str">
        <f t="shared" si="57"/>
        <v>39</v>
      </c>
      <c r="C1153" s="7" t="str">
        <f>"11"</f>
        <v>11</v>
      </c>
      <c r="D1153" s="7" t="str">
        <f>"20210183911"</f>
        <v>20210183911</v>
      </c>
      <c r="E1153" s="7" t="s">
        <v>1133</v>
      </c>
      <c r="F1153" s="7">
        <v>46</v>
      </c>
      <c r="G1153" s="7">
        <v>48</v>
      </c>
      <c r="H1153" s="8">
        <f t="shared" si="56"/>
        <v>46.599999999999994</v>
      </c>
    </row>
    <row r="1154" spans="1:8" s="2" customFormat="1">
      <c r="A1154" s="7" t="s">
        <v>1123</v>
      </c>
      <c r="B1154" s="7" t="str">
        <f t="shared" si="57"/>
        <v>39</v>
      </c>
      <c r="C1154" s="7" t="str">
        <f>"12"</f>
        <v>12</v>
      </c>
      <c r="D1154" s="7" t="str">
        <f>"20210183912"</f>
        <v>20210183912</v>
      </c>
      <c r="E1154" s="7" t="s">
        <v>1134</v>
      </c>
      <c r="F1154" s="7">
        <v>74</v>
      </c>
      <c r="G1154" s="7">
        <v>76</v>
      </c>
      <c r="H1154" s="8">
        <f t="shared" si="56"/>
        <v>74.599999999999994</v>
      </c>
    </row>
    <row r="1155" spans="1:8" s="2" customFormat="1">
      <c r="A1155" s="7" t="s">
        <v>1123</v>
      </c>
      <c r="B1155" s="7" t="str">
        <f t="shared" si="57"/>
        <v>39</v>
      </c>
      <c r="C1155" s="7" t="str">
        <f>"13"</f>
        <v>13</v>
      </c>
      <c r="D1155" s="7" t="str">
        <f>"20210183913"</f>
        <v>20210183913</v>
      </c>
      <c r="E1155" s="7" t="s">
        <v>1135</v>
      </c>
      <c r="F1155" s="7">
        <v>65</v>
      </c>
      <c r="G1155" s="7">
        <v>61</v>
      </c>
      <c r="H1155" s="8">
        <f t="shared" si="56"/>
        <v>63.8</v>
      </c>
    </row>
    <row r="1156" spans="1:8" s="2" customFormat="1">
      <c r="A1156" s="7" t="s">
        <v>1123</v>
      </c>
      <c r="B1156" s="7" t="str">
        <f t="shared" si="57"/>
        <v>39</v>
      </c>
      <c r="C1156" s="7" t="str">
        <f>"14"</f>
        <v>14</v>
      </c>
      <c r="D1156" s="7" t="str">
        <f>"20210183914"</f>
        <v>20210183914</v>
      </c>
      <c r="E1156" s="7" t="s">
        <v>1136</v>
      </c>
      <c r="F1156" s="7">
        <v>50.5</v>
      </c>
      <c r="G1156" s="7">
        <v>27</v>
      </c>
      <c r="H1156" s="8">
        <f t="shared" si="56"/>
        <v>43.449999999999996</v>
      </c>
    </row>
    <row r="1157" spans="1:8" s="2" customFormat="1">
      <c r="A1157" s="7" t="s">
        <v>1123</v>
      </c>
      <c r="B1157" s="7" t="str">
        <f t="shared" si="57"/>
        <v>39</v>
      </c>
      <c r="C1157" s="7" t="str">
        <f>"15"</f>
        <v>15</v>
      </c>
      <c r="D1157" s="7" t="str">
        <f>"20210183915"</f>
        <v>20210183915</v>
      </c>
      <c r="E1157" s="7" t="s">
        <v>1137</v>
      </c>
      <c r="F1157" s="7">
        <v>45</v>
      </c>
      <c r="G1157" s="7">
        <v>53</v>
      </c>
      <c r="H1157" s="8">
        <f t="shared" si="56"/>
        <v>47.399999999999991</v>
      </c>
    </row>
    <row r="1158" spans="1:8" s="2" customFormat="1">
      <c r="A1158" s="7" t="s">
        <v>1123</v>
      </c>
      <c r="B1158" s="7" t="str">
        <f t="shared" si="57"/>
        <v>39</v>
      </c>
      <c r="C1158" s="7" t="str">
        <f>"16"</f>
        <v>16</v>
      </c>
      <c r="D1158" s="7" t="str">
        <f>"20210183916"</f>
        <v>20210183916</v>
      </c>
      <c r="E1158" s="7" t="s">
        <v>1138</v>
      </c>
      <c r="F1158" s="7">
        <v>70.5</v>
      </c>
      <c r="G1158" s="7">
        <v>61</v>
      </c>
      <c r="H1158" s="8">
        <f t="shared" si="56"/>
        <v>67.649999999999991</v>
      </c>
    </row>
    <row r="1159" spans="1:8" s="2" customFormat="1">
      <c r="A1159" s="7" t="s">
        <v>1123</v>
      </c>
      <c r="B1159" s="7" t="str">
        <f t="shared" si="57"/>
        <v>39</v>
      </c>
      <c r="C1159" s="7" t="str">
        <f>"17"</f>
        <v>17</v>
      </c>
      <c r="D1159" s="7" t="str">
        <f>"20210183917"</f>
        <v>20210183917</v>
      </c>
      <c r="E1159" s="7" t="s">
        <v>1139</v>
      </c>
      <c r="F1159" s="7">
        <v>67</v>
      </c>
      <c r="G1159" s="7">
        <v>63</v>
      </c>
      <c r="H1159" s="8">
        <f t="shared" si="56"/>
        <v>65.8</v>
      </c>
    </row>
    <row r="1160" spans="1:8" s="2" customFormat="1">
      <c r="A1160" s="7" t="s">
        <v>1123</v>
      </c>
      <c r="B1160" s="7" t="str">
        <f t="shared" si="57"/>
        <v>39</v>
      </c>
      <c r="C1160" s="7" t="str">
        <f>"18"</f>
        <v>18</v>
      </c>
      <c r="D1160" s="7" t="str">
        <f>"20210183918"</f>
        <v>20210183918</v>
      </c>
      <c r="E1160" s="7" t="s">
        <v>1140</v>
      </c>
      <c r="F1160" s="7">
        <v>48</v>
      </c>
      <c r="G1160" s="7">
        <v>60</v>
      </c>
      <c r="H1160" s="8">
        <f t="shared" si="56"/>
        <v>51.599999999999994</v>
      </c>
    </row>
    <row r="1161" spans="1:8" s="2" customFormat="1">
      <c r="A1161" s="7" t="s">
        <v>1123</v>
      </c>
      <c r="B1161" s="7" t="str">
        <f t="shared" si="57"/>
        <v>39</v>
      </c>
      <c r="C1161" s="7" t="str">
        <f>"19"</f>
        <v>19</v>
      </c>
      <c r="D1161" s="7" t="str">
        <f>"20210183919"</f>
        <v>20210183919</v>
      </c>
      <c r="E1161" s="7" t="s">
        <v>1141</v>
      </c>
      <c r="F1161" s="7">
        <v>61</v>
      </c>
      <c r="G1161" s="7">
        <v>81</v>
      </c>
      <c r="H1161" s="8">
        <f t="shared" si="56"/>
        <v>67</v>
      </c>
    </row>
    <row r="1162" spans="1:8" s="2" customFormat="1">
      <c r="A1162" s="7" t="s">
        <v>1123</v>
      </c>
      <c r="B1162" s="7" t="str">
        <f t="shared" si="57"/>
        <v>39</v>
      </c>
      <c r="C1162" s="7" t="str">
        <f>"20"</f>
        <v>20</v>
      </c>
      <c r="D1162" s="7" t="str">
        <f>"20210183920"</f>
        <v>20210183920</v>
      </c>
      <c r="E1162" s="7" t="s">
        <v>1142</v>
      </c>
      <c r="F1162" s="7">
        <v>71</v>
      </c>
      <c r="G1162" s="2">
        <v>71</v>
      </c>
      <c r="H1162" s="8">
        <f t="shared" si="56"/>
        <v>71</v>
      </c>
    </row>
    <row r="1163" spans="1:8" s="2" customFormat="1">
      <c r="A1163" s="7" t="s">
        <v>1123</v>
      </c>
      <c r="B1163" s="7" t="str">
        <f t="shared" si="57"/>
        <v>39</v>
      </c>
      <c r="C1163" s="7" t="str">
        <f>"21"</f>
        <v>21</v>
      </c>
      <c r="D1163" s="7" t="str">
        <f>"20210183921"</f>
        <v>20210183921</v>
      </c>
      <c r="E1163" s="7" t="s">
        <v>1143</v>
      </c>
      <c r="F1163" s="7">
        <v>71</v>
      </c>
      <c r="G1163" s="7">
        <v>93</v>
      </c>
      <c r="H1163" s="8">
        <f t="shared" si="56"/>
        <v>77.599999999999994</v>
      </c>
    </row>
    <row r="1164" spans="1:8" s="2" customFormat="1">
      <c r="A1164" s="7" t="s">
        <v>1123</v>
      </c>
      <c r="B1164" s="7" t="str">
        <f t="shared" si="57"/>
        <v>39</v>
      </c>
      <c r="C1164" s="7" t="str">
        <f>"22"</f>
        <v>22</v>
      </c>
      <c r="D1164" s="7" t="str">
        <f>"20210183922"</f>
        <v>20210183922</v>
      </c>
      <c r="E1164" s="7" t="s">
        <v>1144</v>
      </c>
      <c r="F1164" s="7">
        <v>51</v>
      </c>
      <c r="G1164" s="7">
        <v>45</v>
      </c>
      <c r="H1164" s="8">
        <f t="shared" si="56"/>
        <v>49.199999999999996</v>
      </c>
    </row>
    <row r="1165" spans="1:8" s="2" customFormat="1">
      <c r="A1165" s="7" t="s">
        <v>1123</v>
      </c>
      <c r="B1165" s="7" t="str">
        <f t="shared" si="57"/>
        <v>39</v>
      </c>
      <c r="C1165" s="7" t="str">
        <f>"23"</f>
        <v>23</v>
      </c>
      <c r="D1165" s="7" t="str">
        <f>"20210183923"</f>
        <v>20210183923</v>
      </c>
      <c r="E1165" s="7" t="s">
        <v>1145</v>
      </c>
      <c r="F1165" s="7">
        <v>48</v>
      </c>
      <c r="G1165" s="7">
        <v>43</v>
      </c>
      <c r="H1165" s="8">
        <f t="shared" si="56"/>
        <v>46.499999999999993</v>
      </c>
    </row>
    <row r="1166" spans="1:8" s="2" customFormat="1">
      <c r="A1166" s="7" t="s">
        <v>1123</v>
      </c>
      <c r="B1166" s="7" t="str">
        <f t="shared" si="57"/>
        <v>39</v>
      </c>
      <c r="C1166" s="7" t="str">
        <f>"24"</f>
        <v>24</v>
      </c>
      <c r="D1166" s="7" t="str">
        <f>"20210183924"</f>
        <v>20210183924</v>
      </c>
      <c r="E1166" s="7" t="s">
        <v>475</v>
      </c>
      <c r="F1166" s="7">
        <v>44</v>
      </c>
      <c r="G1166" s="7">
        <v>25</v>
      </c>
      <c r="H1166" s="8">
        <f t="shared" si="56"/>
        <v>38.299999999999997</v>
      </c>
    </row>
    <row r="1167" spans="1:8" s="2" customFormat="1">
      <c r="A1167" s="7" t="s">
        <v>1123</v>
      </c>
      <c r="B1167" s="7" t="str">
        <f t="shared" si="57"/>
        <v>39</v>
      </c>
      <c r="C1167" s="7" t="str">
        <f>"25"</f>
        <v>25</v>
      </c>
      <c r="D1167" s="7" t="str">
        <f>"20210183925"</f>
        <v>20210183925</v>
      </c>
      <c r="E1167" s="7" t="s">
        <v>1146</v>
      </c>
      <c r="F1167" s="7">
        <v>57</v>
      </c>
      <c r="G1167" s="7">
        <v>72</v>
      </c>
      <c r="H1167" s="8">
        <f t="shared" si="56"/>
        <v>61.5</v>
      </c>
    </row>
    <row r="1168" spans="1:8" s="2" customFormat="1">
      <c r="A1168" s="7" t="s">
        <v>1123</v>
      </c>
      <c r="B1168" s="7" t="str">
        <f t="shared" si="57"/>
        <v>39</v>
      </c>
      <c r="C1168" s="7" t="str">
        <f>"26"</f>
        <v>26</v>
      </c>
      <c r="D1168" s="7" t="str">
        <f>"20210183926"</f>
        <v>20210183926</v>
      </c>
      <c r="E1168" s="7" t="s">
        <v>1147</v>
      </c>
      <c r="F1168" s="7">
        <v>52</v>
      </c>
      <c r="G1168" s="7">
        <v>58</v>
      </c>
      <c r="H1168" s="8">
        <f t="shared" si="56"/>
        <v>53.8</v>
      </c>
    </row>
    <row r="1169" spans="1:8" s="2" customFormat="1">
      <c r="A1169" s="7" t="s">
        <v>1123</v>
      </c>
      <c r="B1169" s="7" t="str">
        <f t="shared" si="57"/>
        <v>39</v>
      </c>
      <c r="C1169" s="7" t="str">
        <f>"27"</f>
        <v>27</v>
      </c>
      <c r="D1169" s="7" t="str">
        <f>"20210183927"</f>
        <v>20210183927</v>
      </c>
      <c r="E1169" s="7" t="s">
        <v>1148</v>
      </c>
      <c r="F1169" s="7">
        <v>69</v>
      </c>
      <c r="G1169" s="7">
        <v>63</v>
      </c>
      <c r="H1169" s="8">
        <f t="shared" si="56"/>
        <v>67.199999999999989</v>
      </c>
    </row>
    <row r="1170" spans="1:8" s="2" customFormat="1">
      <c r="A1170" s="7" t="s">
        <v>1123</v>
      </c>
      <c r="B1170" s="7" t="str">
        <f t="shared" si="57"/>
        <v>39</v>
      </c>
      <c r="C1170" s="7" t="str">
        <f>"28"</f>
        <v>28</v>
      </c>
      <c r="D1170" s="7" t="str">
        <f>"20210183928"</f>
        <v>20210183928</v>
      </c>
      <c r="E1170" s="7" t="s">
        <v>1149</v>
      </c>
      <c r="F1170" s="7">
        <v>69</v>
      </c>
      <c r="G1170" s="7">
        <v>72</v>
      </c>
      <c r="H1170" s="8">
        <f t="shared" si="56"/>
        <v>69.899999999999991</v>
      </c>
    </row>
    <row r="1171" spans="1:8" s="2" customFormat="1">
      <c r="A1171" s="7" t="s">
        <v>1123</v>
      </c>
      <c r="B1171" s="7" t="str">
        <f t="shared" si="57"/>
        <v>39</v>
      </c>
      <c r="C1171" s="7" t="str">
        <f>"29"</f>
        <v>29</v>
      </c>
      <c r="D1171" s="7" t="str">
        <f>"20210183929"</f>
        <v>20210183929</v>
      </c>
      <c r="E1171" s="7" t="s">
        <v>1150</v>
      </c>
      <c r="F1171" s="7">
        <v>57.5</v>
      </c>
      <c r="G1171" s="7">
        <v>42</v>
      </c>
      <c r="H1171" s="8">
        <f t="shared" si="56"/>
        <v>52.85</v>
      </c>
    </row>
    <row r="1172" spans="1:8" s="2" customFormat="1">
      <c r="A1172" s="7" t="s">
        <v>1123</v>
      </c>
      <c r="B1172" s="7" t="str">
        <f t="shared" si="57"/>
        <v>39</v>
      </c>
      <c r="C1172" s="7" t="str">
        <f>"30"</f>
        <v>30</v>
      </c>
      <c r="D1172" s="7" t="str">
        <f>"20210183930"</f>
        <v>20210183930</v>
      </c>
      <c r="E1172" s="7" t="s">
        <v>1151</v>
      </c>
      <c r="F1172" s="7">
        <v>51</v>
      </c>
      <c r="G1172" s="7">
        <v>46</v>
      </c>
      <c r="H1172" s="8">
        <f t="shared" si="56"/>
        <v>49.499999999999993</v>
      </c>
    </row>
    <row r="1173" spans="1:8" s="2" customFormat="1">
      <c r="A1173" s="7" t="s">
        <v>1123</v>
      </c>
      <c r="B1173" s="7" t="str">
        <f t="shared" ref="B1173:B1202" si="58">"40"</f>
        <v>40</v>
      </c>
      <c r="C1173" s="7" t="str">
        <f>"01"</f>
        <v>01</v>
      </c>
      <c r="D1173" s="7" t="str">
        <f>"20210184001"</f>
        <v>20210184001</v>
      </c>
      <c r="E1173" s="7" t="s">
        <v>1152</v>
      </c>
      <c r="F1173" s="7">
        <v>55</v>
      </c>
      <c r="G1173" s="7">
        <v>65</v>
      </c>
      <c r="H1173" s="8">
        <f t="shared" si="56"/>
        <v>58</v>
      </c>
    </row>
    <row r="1174" spans="1:8" s="2" customFormat="1">
      <c r="A1174" s="7" t="s">
        <v>1123</v>
      </c>
      <c r="B1174" s="7" t="str">
        <f t="shared" si="58"/>
        <v>40</v>
      </c>
      <c r="C1174" s="7" t="str">
        <f>"02"</f>
        <v>02</v>
      </c>
      <c r="D1174" s="7" t="str">
        <f>"20210184002"</f>
        <v>20210184002</v>
      </c>
      <c r="E1174" s="7" t="s">
        <v>1153</v>
      </c>
      <c r="F1174" s="7">
        <v>71.5</v>
      </c>
      <c r="G1174" s="7">
        <v>77</v>
      </c>
      <c r="H1174" s="8">
        <f t="shared" si="56"/>
        <v>73.149999999999991</v>
      </c>
    </row>
    <row r="1175" spans="1:8" s="2" customFormat="1">
      <c r="A1175" s="7" t="s">
        <v>1123</v>
      </c>
      <c r="B1175" s="7" t="str">
        <f t="shared" si="58"/>
        <v>40</v>
      </c>
      <c r="C1175" s="7" t="str">
        <f>"03"</f>
        <v>03</v>
      </c>
      <c r="D1175" s="7" t="str">
        <f>"20210184003"</f>
        <v>20210184003</v>
      </c>
      <c r="E1175" s="7" t="s">
        <v>1154</v>
      </c>
      <c r="F1175" s="7">
        <v>56</v>
      </c>
      <c r="G1175" s="7">
        <v>80</v>
      </c>
      <c r="H1175" s="8">
        <f t="shared" si="56"/>
        <v>63.199999999999996</v>
      </c>
    </row>
    <row r="1176" spans="1:8" s="2" customFormat="1">
      <c r="A1176" s="7" t="s">
        <v>1123</v>
      </c>
      <c r="B1176" s="7" t="str">
        <f t="shared" si="58"/>
        <v>40</v>
      </c>
      <c r="C1176" s="7" t="str">
        <f>"04"</f>
        <v>04</v>
      </c>
      <c r="D1176" s="7" t="str">
        <f>"20210184004"</f>
        <v>20210184004</v>
      </c>
      <c r="E1176" s="7" t="s">
        <v>1155</v>
      </c>
      <c r="F1176" s="7">
        <v>63</v>
      </c>
      <c r="G1176" s="7">
        <v>67</v>
      </c>
      <c r="H1176" s="8">
        <f t="shared" si="56"/>
        <v>64.199999999999989</v>
      </c>
    </row>
    <row r="1177" spans="1:8" s="2" customFormat="1">
      <c r="A1177" s="7" t="s">
        <v>1123</v>
      </c>
      <c r="B1177" s="7" t="str">
        <f t="shared" si="58"/>
        <v>40</v>
      </c>
      <c r="C1177" s="7" t="str">
        <f>"05"</f>
        <v>05</v>
      </c>
      <c r="D1177" s="7" t="str">
        <f>"20210184005"</f>
        <v>20210184005</v>
      </c>
      <c r="E1177" s="7" t="s">
        <v>1156</v>
      </c>
      <c r="F1177" s="7">
        <v>63</v>
      </c>
      <c r="G1177" s="7">
        <v>89</v>
      </c>
      <c r="H1177" s="8">
        <f t="shared" si="56"/>
        <v>70.8</v>
      </c>
    </row>
    <row r="1178" spans="1:8" s="2" customFormat="1">
      <c r="A1178" s="7" t="s">
        <v>1123</v>
      </c>
      <c r="B1178" s="7" t="str">
        <f t="shared" si="58"/>
        <v>40</v>
      </c>
      <c r="C1178" s="7" t="str">
        <f>"06"</f>
        <v>06</v>
      </c>
      <c r="D1178" s="7" t="str">
        <f>"20210184006"</f>
        <v>20210184006</v>
      </c>
      <c r="E1178" s="7" t="s">
        <v>1157</v>
      </c>
      <c r="F1178" s="7">
        <v>54</v>
      </c>
      <c r="G1178" s="7">
        <v>46</v>
      </c>
      <c r="H1178" s="8">
        <f t="shared" si="56"/>
        <v>51.599999999999994</v>
      </c>
    </row>
    <row r="1179" spans="1:8" s="2" customFormat="1">
      <c r="A1179" s="7" t="s">
        <v>1123</v>
      </c>
      <c r="B1179" s="7" t="str">
        <f t="shared" si="58"/>
        <v>40</v>
      </c>
      <c r="C1179" s="7" t="str">
        <f>"07"</f>
        <v>07</v>
      </c>
      <c r="D1179" s="7" t="str">
        <f>"20210184007"</f>
        <v>20210184007</v>
      </c>
      <c r="E1179" s="7" t="s">
        <v>1158</v>
      </c>
      <c r="F1179" s="7">
        <v>56</v>
      </c>
      <c r="G1179" s="7">
        <v>62</v>
      </c>
      <c r="H1179" s="8">
        <f t="shared" si="56"/>
        <v>57.8</v>
      </c>
    </row>
    <row r="1180" spans="1:8" s="2" customFormat="1">
      <c r="A1180" s="7" t="s">
        <v>1123</v>
      </c>
      <c r="B1180" s="7" t="str">
        <f t="shared" si="58"/>
        <v>40</v>
      </c>
      <c r="C1180" s="7" t="str">
        <f>"08"</f>
        <v>08</v>
      </c>
      <c r="D1180" s="7" t="str">
        <f>"20210184008"</f>
        <v>20210184008</v>
      </c>
      <c r="E1180" s="7" t="s">
        <v>1159</v>
      </c>
      <c r="F1180" s="7">
        <v>26</v>
      </c>
      <c r="G1180" s="7">
        <v>37</v>
      </c>
      <c r="H1180" s="8">
        <f t="shared" si="56"/>
        <v>29.299999999999997</v>
      </c>
    </row>
    <row r="1181" spans="1:8" s="2" customFormat="1">
      <c r="A1181" s="7" t="s">
        <v>1123</v>
      </c>
      <c r="B1181" s="7" t="str">
        <f t="shared" si="58"/>
        <v>40</v>
      </c>
      <c r="C1181" s="7" t="str">
        <f>"09"</f>
        <v>09</v>
      </c>
      <c r="D1181" s="7" t="str">
        <f>"20210184009"</f>
        <v>20210184009</v>
      </c>
      <c r="E1181" s="7" t="s">
        <v>1160</v>
      </c>
      <c r="F1181" s="7">
        <v>45.5</v>
      </c>
      <c r="G1181" s="7">
        <v>29</v>
      </c>
      <c r="H1181" s="8">
        <f t="shared" si="56"/>
        <v>40.549999999999997</v>
      </c>
    </row>
    <row r="1182" spans="1:8" s="2" customFormat="1">
      <c r="A1182" s="7" t="s">
        <v>1123</v>
      </c>
      <c r="B1182" s="7" t="str">
        <f t="shared" si="58"/>
        <v>40</v>
      </c>
      <c r="C1182" s="7" t="str">
        <f>"10"</f>
        <v>10</v>
      </c>
      <c r="D1182" s="7" t="str">
        <f>"20210184010"</f>
        <v>20210184010</v>
      </c>
      <c r="E1182" s="7" t="s">
        <v>1161</v>
      </c>
      <c r="F1182" s="7">
        <v>26</v>
      </c>
      <c r="G1182" s="7">
        <v>30</v>
      </c>
      <c r="H1182" s="8">
        <f t="shared" si="56"/>
        <v>27.2</v>
      </c>
    </row>
    <row r="1183" spans="1:8" s="2" customFormat="1">
      <c r="A1183" s="7" t="s">
        <v>1123</v>
      </c>
      <c r="B1183" s="7" t="str">
        <f t="shared" si="58"/>
        <v>40</v>
      </c>
      <c r="C1183" s="7" t="str">
        <f>"11"</f>
        <v>11</v>
      </c>
      <c r="D1183" s="7" t="str">
        <f>"20210184011"</f>
        <v>20210184011</v>
      </c>
      <c r="E1183" s="7" t="s">
        <v>1162</v>
      </c>
      <c r="F1183" s="7">
        <v>49</v>
      </c>
      <c r="G1183" s="7">
        <v>61</v>
      </c>
      <c r="H1183" s="8">
        <f t="shared" si="56"/>
        <v>52.599999999999994</v>
      </c>
    </row>
    <row r="1184" spans="1:8" s="2" customFormat="1">
      <c r="A1184" s="7" t="s">
        <v>1123</v>
      </c>
      <c r="B1184" s="7" t="str">
        <f t="shared" si="58"/>
        <v>40</v>
      </c>
      <c r="C1184" s="7" t="str">
        <f>"12"</f>
        <v>12</v>
      </c>
      <c r="D1184" s="7" t="str">
        <f>"20210184012"</f>
        <v>20210184012</v>
      </c>
      <c r="E1184" s="7" t="s">
        <v>1163</v>
      </c>
      <c r="F1184" s="7">
        <v>45</v>
      </c>
      <c r="G1184" s="7">
        <v>50</v>
      </c>
      <c r="H1184" s="8">
        <f t="shared" si="56"/>
        <v>46.5</v>
      </c>
    </row>
    <row r="1185" spans="1:8" s="2" customFormat="1">
      <c r="A1185" s="7" t="s">
        <v>1123</v>
      </c>
      <c r="B1185" s="7" t="str">
        <f t="shared" si="58"/>
        <v>40</v>
      </c>
      <c r="C1185" s="7" t="str">
        <f>"13"</f>
        <v>13</v>
      </c>
      <c r="D1185" s="7" t="str">
        <f>"20210184013"</f>
        <v>20210184013</v>
      </c>
      <c r="E1185" s="7" t="s">
        <v>1164</v>
      </c>
      <c r="F1185" s="7">
        <v>41</v>
      </c>
      <c r="G1185" s="7">
        <v>67</v>
      </c>
      <c r="H1185" s="8">
        <f t="shared" si="56"/>
        <v>48.8</v>
      </c>
    </row>
    <row r="1186" spans="1:8" s="2" customFormat="1">
      <c r="A1186" s="7" t="s">
        <v>1123</v>
      </c>
      <c r="B1186" s="7" t="str">
        <f t="shared" si="58"/>
        <v>40</v>
      </c>
      <c r="C1186" s="7" t="str">
        <f>"14"</f>
        <v>14</v>
      </c>
      <c r="D1186" s="7" t="str">
        <f>"20210184014"</f>
        <v>20210184014</v>
      </c>
      <c r="E1186" s="7" t="s">
        <v>1165</v>
      </c>
      <c r="F1186" s="7">
        <v>42</v>
      </c>
      <c r="G1186" s="7">
        <v>62</v>
      </c>
      <c r="H1186" s="8">
        <f t="shared" ref="H1186:H1249" si="59">F1186*0.7+G1186*0.3</f>
        <v>48</v>
      </c>
    </row>
    <row r="1187" spans="1:8" s="2" customFormat="1">
      <c r="A1187" s="7" t="s">
        <v>1123</v>
      </c>
      <c r="B1187" s="7" t="str">
        <f t="shared" si="58"/>
        <v>40</v>
      </c>
      <c r="C1187" s="7" t="str">
        <f>"15"</f>
        <v>15</v>
      </c>
      <c r="D1187" s="7" t="str">
        <f>"20210184015"</f>
        <v>20210184015</v>
      </c>
      <c r="E1187" s="7" t="s">
        <v>1166</v>
      </c>
      <c r="F1187" s="7">
        <v>49</v>
      </c>
      <c r="G1187" s="7">
        <v>73</v>
      </c>
      <c r="H1187" s="8">
        <f t="shared" si="59"/>
        <v>56.199999999999996</v>
      </c>
    </row>
    <row r="1188" spans="1:8" s="2" customFormat="1">
      <c r="A1188" s="7" t="s">
        <v>1123</v>
      </c>
      <c r="B1188" s="7" t="str">
        <f t="shared" si="58"/>
        <v>40</v>
      </c>
      <c r="C1188" s="7" t="str">
        <f>"16"</f>
        <v>16</v>
      </c>
      <c r="D1188" s="7" t="str">
        <f>"20210184016"</f>
        <v>20210184016</v>
      </c>
      <c r="E1188" s="7" t="s">
        <v>753</v>
      </c>
      <c r="F1188" s="7">
        <v>73</v>
      </c>
      <c r="G1188" s="7">
        <v>85</v>
      </c>
      <c r="H1188" s="8">
        <f t="shared" si="59"/>
        <v>76.599999999999994</v>
      </c>
    </row>
    <row r="1189" spans="1:8" s="2" customFormat="1">
      <c r="A1189" s="7" t="s">
        <v>1123</v>
      </c>
      <c r="B1189" s="7" t="str">
        <f t="shared" si="58"/>
        <v>40</v>
      </c>
      <c r="C1189" s="7" t="str">
        <f>"17"</f>
        <v>17</v>
      </c>
      <c r="D1189" s="7" t="str">
        <f>"20210184017"</f>
        <v>20210184017</v>
      </c>
      <c r="E1189" s="7" t="s">
        <v>1167</v>
      </c>
      <c r="F1189" s="7">
        <v>42</v>
      </c>
      <c r="G1189" s="7">
        <v>40</v>
      </c>
      <c r="H1189" s="8">
        <f t="shared" si="59"/>
        <v>41.4</v>
      </c>
    </row>
    <row r="1190" spans="1:8" s="2" customFormat="1">
      <c r="A1190" s="7" t="s">
        <v>1123</v>
      </c>
      <c r="B1190" s="7" t="str">
        <f t="shared" si="58"/>
        <v>40</v>
      </c>
      <c r="C1190" s="7" t="str">
        <f>"18"</f>
        <v>18</v>
      </c>
      <c r="D1190" s="7" t="str">
        <f>"20210184018"</f>
        <v>20210184018</v>
      </c>
      <c r="E1190" s="7" t="s">
        <v>1168</v>
      </c>
      <c r="F1190" s="7">
        <v>0</v>
      </c>
      <c r="G1190" s="7">
        <v>0</v>
      </c>
      <c r="H1190" s="8">
        <f t="shared" si="59"/>
        <v>0</v>
      </c>
    </row>
    <row r="1191" spans="1:8" s="2" customFormat="1">
      <c r="A1191" s="7" t="s">
        <v>1123</v>
      </c>
      <c r="B1191" s="7" t="str">
        <f t="shared" si="58"/>
        <v>40</v>
      </c>
      <c r="C1191" s="7" t="str">
        <f>"19"</f>
        <v>19</v>
      </c>
      <c r="D1191" s="7" t="str">
        <f>"20210184019"</f>
        <v>20210184019</v>
      </c>
      <c r="E1191" s="7" t="s">
        <v>1169</v>
      </c>
      <c r="F1191" s="7">
        <v>68</v>
      </c>
      <c r="G1191" s="7">
        <v>62</v>
      </c>
      <c r="H1191" s="8">
        <f t="shared" si="59"/>
        <v>66.199999999999989</v>
      </c>
    </row>
    <row r="1192" spans="1:8" s="2" customFormat="1">
      <c r="A1192" s="7" t="s">
        <v>1123</v>
      </c>
      <c r="B1192" s="7" t="str">
        <f t="shared" si="58"/>
        <v>40</v>
      </c>
      <c r="C1192" s="7" t="str">
        <f>"20"</f>
        <v>20</v>
      </c>
      <c r="D1192" s="7" t="str">
        <f>"20210184020"</f>
        <v>20210184020</v>
      </c>
      <c r="E1192" s="7" t="s">
        <v>1170</v>
      </c>
      <c r="F1192" s="7">
        <v>54</v>
      </c>
      <c r="G1192" s="7">
        <v>65</v>
      </c>
      <c r="H1192" s="8">
        <f t="shared" si="59"/>
        <v>57.3</v>
      </c>
    </row>
    <row r="1193" spans="1:8" s="2" customFormat="1">
      <c r="A1193" s="7" t="s">
        <v>1123</v>
      </c>
      <c r="B1193" s="7" t="str">
        <f t="shared" si="58"/>
        <v>40</v>
      </c>
      <c r="C1193" s="7" t="str">
        <f>"21"</f>
        <v>21</v>
      </c>
      <c r="D1193" s="7" t="str">
        <f>"20210184021"</f>
        <v>20210184021</v>
      </c>
      <c r="E1193" s="7" t="s">
        <v>1171</v>
      </c>
      <c r="F1193" s="7">
        <v>55</v>
      </c>
      <c r="G1193" s="7">
        <v>74</v>
      </c>
      <c r="H1193" s="8">
        <f t="shared" si="59"/>
        <v>60.7</v>
      </c>
    </row>
    <row r="1194" spans="1:8" s="2" customFormat="1">
      <c r="A1194" s="7" t="s">
        <v>1123</v>
      </c>
      <c r="B1194" s="7" t="str">
        <f t="shared" si="58"/>
        <v>40</v>
      </c>
      <c r="C1194" s="7" t="str">
        <f>"22"</f>
        <v>22</v>
      </c>
      <c r="D1194" s="7" t="str">
        <f>"20210184022"</f>
        <v>20210184022</v>
      </c>
      <c r="E1194" s="7" t="s">
        <v>1172</v>
      </c>
      <c r="F1194" s="7">
        <v>50.5</v>
      </c>
      <c r="G1194" s="7">
        <v>67</v>
      </c>
      <c r="H1194" s="8">
        <f t="shared" si="59"/>
        <v>55.449999999999989</v>
      </c>
    </row>
    <row r="1195" spans="1:8" s="2" customFormat="1">
      <c r="A1195" s="7" t="s">
        <v>1123</v>
      </c>
      <c r="B1195" s="7" t="str">
        <f t="shared" si="58"/>
        <v>40</v>
      </c>
      <c r="C1195" s="7" t="str">
        <f>"23"</f>
        <v>23</v>
      </c>
      <c r="D1195" s="7" t="str">
        <f>"20210184023"</f>
        <v>20210184023</v>
      </c>
      <c r="E1195" s="7" t="s">
        <v>1173</v>
      </c>
      <c r="F1195" s="7">
        <v>54</v>
      </c>
      <c r="G1195" s="7">
        <v>80</v>
      </c>
      <c r="H1195" s="8">
        <f t="shared" si="59"/>
        <v>61.8</v>
      </c>
    </row>
    <row r="1196" spans="1:8" s="2" customFormat="1">
      <c r="A1196" s="7" t="s">
        <v>1123</v>
      </c>
      <c r="B1196" s="7" t="str">
        <f t="shared" si="58"/>
        <v>40</v>
      </c>
      <c r="C1196" s="7" t="str">
        <f>"24"</f>
        <v>24</v>
      </c>
      <c r="D1196" s="7" t="str">
        <f>"20210184024"</f>
        <v>20210184024</v>
      </c>
      <c r="E1196" s="7" t="s">
        <v>1174</v>
      </c>
      <c r="F1196" s="7">
        <v>67</v>
      </c>
      <c r="G1196" s="7">
        <v>76</v>
      </c>
      <c r="H1196" s="8">
        <f t="shared" si="59"/>
        <v>69.7</v>
      </c>
    </row>
    <row r="1197" spans="1:8" s="2" customFormat="1">
      <c r="A1197" s="7" t="s">
        <v>1123</v>
      </c>
      <c r="B1197" s="7" t="str">
        <f t="shared" si="58"/>
        <v>40</v>
      </c>
      <c r="C1197" s="7" t="str">
        <f>"25"</f>
        <v>25</v>
      </c>
      <c r="D1197" s="7" t="str">
        <f>"20210184025"</f>
        <v>20210184025</v>
      </c>
      <c r="E1197" s="7" t="s">
        <v>1175</v>
      </c>
      <c r="F1197" s="7">
        <v>61</v>
      </c>
      <c r="G1197" s="7">
        <v>82</v>
      </c>
      <c r="H1197" s="8">
        <f t="shared" si="59"/>
        <v>67.3</v>
      </c>
    </row>
    <row r="1198" spans="1:8" s="2" customFormat="1">
      <c r="A1198" s="7" t="s">
        <v>1123</v>
      </c>
      <c r="B1198" s="7" t="str">
        <f t="shared" si="58"/>
        <v>40</v>
      </c>
      <c r="C1198" s="7" t="str">
        <f>"26"</f>
        <v>26</v>
      </c>
      <c r="D1198" s="7" t="str">
        <f>"20210184026"</f>
        <v>20210184026</v>
      </c>
      <c r="E1198" s="7" t="s">
        <v>1176</v>
      </c>
      <c r="F1198" s="7">
        <v>34</v>
      </c>
      <c r="G1198" s="7">
        <v>33</v>
      </c>
      <c r="H1198" s="8">
        <f t="shared" si="59"/>
        <v>33.699999999999996</v>
      </c>
    </row>
    <row r="1199" spans="1:8" s="2" customFormat="1">
      <c r="A1199" s="7" t="s">
        <v>1123</v>
      </c>
      <c r="B1199" s="7" t="str">
        <f t="shared" si="58"/>
        <v>40</v>
      </c>
      <c r="C1199" s="7" t="str">
        <f>"27"</f>
        <v>27</v>
      </c>
      <c r="D1199" s="7" t="str">
        <f>"20210184027"</f>
        <v>20210184027</v>
      </c>
      <c r="E1199" s="7" t="s">
        <v>1177</v>
      </c>
      <c r="F1199" s="7">
        <v>77</v>
      </c>
      <c r="G1199" s="7">
        <v>86</v>
      </c>
      <c r="H1199" s="8">
        <f t="shared" si="59"/>
        <v>79.7</v>
      </c>
    </row>
    <row r="1200" spans="1:8" s="2" customFormat="1">
      <c r="A1200" s="7" t="s">
        <v>1123</v>
      </c>
      <c r="B1200" s="7" t="str">
        <f t="shared" si="58"/>
        <v>40</v>
      </c>
      <c r="C1200" s="7" t="str">
        <f>"28"</f>
        <v>28</v>
      </c>
      <c r="D1200" s="7" t="str">
        <f>"20210184028"</f>
        <v>20210184028</v>
      </c>
      <c r="E1200" s="7" t="s">
        <v>1178</v>
      </c>
      <c r="F1200" s="7">
        <v>46</v>
      </c>
      <c r="G1200" s="7">
        <v>90</v>
      </c>
      <c r="H1200" s="8">
        <f t="shared" si="59"/>
        <v>59.199999999999996</v>
      </c>
    </row>
    <row r="1201" spans="1:8" s="2" customFormat="1">
      <c r="A1201" s="7" t="s">
        <v>1123</v>
      </c>
      <c r="B1201" s="7" t="str">
        <f t="shared" si="58"/>
        <v>40</v>
      </c>
      <c r="C1201" s="7" t="str">
        <f>"29"</f>
        <v>29</v>
      </c>
      <c r="D1201" s="7" t="str">
        <f>"20210184029"</f>
        <v>20210184029</v>
      </c>
      <c r="E1201" s="7" t="s">
        <v>1179</v>
      </c>
      <c r="F1201" s="7">
        <v>67</v>
      </c>
      <c r="G1201" s="7">
        <v>67</v>
      </c>
      <c r="H1201" s="8">
        <f t="shared" si="59"/>
        <v>67</v>
      </c>
    </row>
    <row r="1202" spans="1:8" s="2" customFormat="1">
      <c r="A1202" s="7" t="s">
        <v>1123</v>
      </c>
      <c r="B1202" s="7" t="str">
        <f t="shared" si="58"/>
        <v>40</v>
      </c>
      <c r="C1202" s="7" t="str">
        <f>"30"</f>
        <v>30</v>
      </c>
      <c r="D1202" s="7" t="str">
        <f>"20210184030"</f>
        <v>20210184030</v>
      </c>
      <c r="E1202" s="7" t="s">
        <v>1180</v>
      </c>
      <c r="F1202" s="7">
        <v>48</v>
      </c>
      <c r="G1202" s="7">
        <v>40</v>
      </c>
      <c r="H1202" s="8">
        <f t="shared" si="59"/>
        <v>45.599999999999994</v>
      </c>
    </row>
    <row r="1203" spans="1:8" s="2" customFormat="1">
      <c r="A1203" s="7" t="s">
        <v>1123</v>
      </c>
      <c r="B1203" s="7" t="str">
        <f t="shared" ref="B1203:B1232" si="60">"41"</f>
        <v>41</v>
      </c>
      <c r="C1203" s="7" t="str">
        <f>"01"</f>
        <v>01</v>
      </c>
      <c r="D1203" s="7" t="str">
        <f>"20210184101"</f>
        <v>20210184101</v>
      </c>
      <c r="E1203" s="7" t="s">
        <v>1181</v>
      </c>
      <c r="F1203" s="7">
        <v>45</v>
      </c>
      <c r="G1203" s="7">
        <v>61</v>
      </c>
      <c r="H1203" s="8">
        <f t="shared" si="59"/>
        <v>49.8</v>
      </c>
    </row>
    <row r="1204" spans="1:8" s="2" customFormat="1">
      <c r="A1204" s="7" t="s">
        <v>1123</v>
      </c>
      <c r="B1204" s="7" t="str">
        <f t="shared" si="60"/>
        <v>41</v>
      </c>
      <c r="C1204" s="7" t="str">
        <f>"02"</f>
        <v>02</v>
      </c>
      <c r="D1204" s="7" t="str">
        <f>"20210184102"</f>
        <v>20210184102</v>
      </c>
      <c r="E1204" s="7" t="s">
        <v>1182</v>
      </c>
      <c r="F1204" s="7">
        <v>80.5</v>
      </c>
      <c r="G1204" s="7">
        <v>87</v>
      </c>
      <c r="H1204" s="8">
        <f t="shared" si="59"/>
        <v>82.449999999999989</v>
      </c>
    </row>
    <row r="1205" spans="1:8" s="2" customFormat="1">
      <c r="A1205" s="7" t="s">
        <v>1123</v>
      </c>
      <c r="B1205" s="7" t="str">
        <f t="shared" si="60"/>
        <v>41</v>
      </c>
      <c r="C1205" s="7" t="str">
        <f>"03"</f>
        <v>03</v>
      </c>
      <c r="D1205" s="7" t="str">
        <f>"20210184103"</f>
        <v>20210184103</v>
      </c>
      <c r="E1205" s="7" t="s">
        <v>1183</v>
      </c>
      <c r="F1205" s="7">
        <v>62</v>
      </c>
      <c r="G1205" s="7">
        <v>68</v>
      </c>
      <c r="H1205" s="8">
        <f t="shared" si="59"/>
        <v>63.8</v>
      </c>
    </row>
    <row r="1206" spans="1:8" s="2" customFormat="1">
      <c r="A1206" s="7" t="s">
        <v>1123</v>
      </c>
      <c r="B1206" s="7" t="str">
        <f t="shared" si="60"/>
        <v>41</v>
      </c>
      <c r="C1206" s="7" t="str">
        <f>"04"</f>
        <v>04</v>
      </c>
      <c r="D1206" s="7" t="str">
        <f>"20210184104"</f>
        <v>20210184104</v>
      </c>
      <c r="E1206" s="7" t="s">
        <v>1184</v>
      </c>
      <c r="F1206" s="7">
        <v>81</v>
      </c>
      <c r="G1206" s="7">
        <v>84</v>
      </c>
      <c r="H1206" s="8">
        <f t="shared" si="59"/>
        <v>81.899999999999991</v>
      </c>
    </row>
    <row r="1207" spans="1:8" s="2" customFormat="1">
      <c r="A1207" s="7" t="s">
        <v>1123</v>
      </c>
      <c r="B1207" s="7" t="str">
        <f t="shared" si="60"/>
        <v>41</v>
      </c>
      <c r="C1207" s="7" t="str">
        <f>"05"</f>
        <v>05</v>
      </c>
      <c r="D1207" s="7" t="str">
        <f>"20210184105"</f>
        <v>20210184105</v>
      </c>
      <c r="E1207" s="7" t="s">
        <v>1185</v>
      </c>
      <c r="F1207" s="7">
        <v>43</v>
      </c>
      <c r="G1207" s="7">
        <v>37</v>
      </c>
      <c r="H1207" s="8">
        <f t="shared" si="59"/>
        <v>41.199999999999996</v>
      </c>
    </row>
    <row r="1208" spans="1:8" s="2" customFormat="1">
      <c r="A1208" s="7" t="s">
        <v>1123</v>
      </c>
      <c r="B1208" s="7" t="str">
        <f t="shared" si="60"/>
        <v>41</v>
      </c>
      <c r="C1208" s="7" t="str">
        <f>"06"</f>
        <v>06</v>
      </c>
      <c r="D1208" s="7" t="str">
        <f>"20210184106"</f>
        <v>20210184106</v>
      </c>
      <c r="E1208" s="7" t="s">
        <v>1186</v>
      </c>
      <c r="F1208" s="7">
        <v>51</v>
      </c>
      <c r="G1208" s="7">
        <v>38</v>
      </c>
      <c r="H1208" s="8">
        <f t="shared" si="59"/>
        <v>47.099999999999994</v>
      </c>
    </row>
    <row r="1209" spans="1:8" s="2" customFormat="1">
      <c r="A1209" s="7" t="s">
        <v>1187</v>
      </c>
      <c r="B1209" s="7" t="str">
        <f t="shared" si="60"/>
        <v>41</v>
      </c>
      <c r="C1209" s="7" t="str">
        <f>"07"</f>
        <v>07</v>
      </c>
      <c r="D1209" s="7" t="str">
        <f>"20210194107"</f>
        <v>20210194107</v>
      </c>
      <c r="E1209" s="7" t="s">
        <v>1188</v>
      </c>
      <c r="F1209" s="7">
        <v>50.5</v>
      </c>
      <c r="G1209" s="7">
        <v>66</v>
      </c>
      <c r="H1209" s="8">
        <f t="shared" si="59"/>
        <v>55.149999999999991</v>
      </c>
    </row>
    <row r="1210" spans="1:8" s="2" customFormat="1">
      <c r="A1210" s="7" t="s">
        <v>1187</v>
      </c>
      <c r="B1210" s="7" t="str">
        <f t="shared" si="60"/>
        <v>41</v>
      </c>
      <c r="C1210" s="7" t="str">
        <f>"08"</f>
        <v>08</v>
      </c>
      <c r="D1210" s="7" t="str">
        <f>"20210194108"</f>
        <v>20210194108</v>
      </c>
      <c r="E1210" s="7" t="s">
        <v>1189</v>
      </c>
      <c r="F1210" s="7">
        <v>66</v>
      </c>
      <c r="G1210" s="7">
        <v>75</v>
      </c>
      <c r="H1210" s="8">
        <f t="shared" si="59"/>
        <v>68.699999999999989</v>
      </c>
    </row>
    <row r="1211" spans="1:8" s="2" customFormat="1">
      <c r="A1211" s="7" t="s">
        <v>1187</v>
      </c>
      <c r="B1211" s="7" t="str">
        <f t="shared" si="60"/>
        <v>41</v>
      </c>
      <c r="C1211" s="7" t="str">
        <f>"09"</f>
        <v>09</v>
      </c>
      <c r="D1211" s="7" t="str">
        <f>"20210194109"</f>
        <v>20210194109</v>
      </c>
      <c r="E1211" s="7" t="s">
        <v>1190</v>
      </c>
      <c r="F1211" s="7">
        <v>36</v>
      </c>
      <c r="G1211" s="7">
        <v>31</v>
      </c>
      <c r="H1211" s="8">
        <f t="shared" si="59"/>
        <v>34.5</v>
      </c>
    </row>
    <row r="1212" spans="1:8" s="2" customFormat="1">
      <c r="A1212" s="7" t="s">
        <v>1187</v>
      </c>
      <c r="B1212" s="7" t="str">
        <f t="shared" si="60"/>
        <v>41</v>
      </c>
      <c r="C1212" s="7" t="str">
        <f>"10"</f>
        <v>10</v>
      </c>
      <c r="D1212" s="7" t="str">
        <f>"20210194110"</f>
        <v>20210194110</v>
      </c>
      <c r="E1212" s="7" t="s">
        <v>1191</v>
      </c>
      <c r="F1212" s="7">
        <v>51</v>
      </c>
      <c r="G1212" s="7">
        <v>75</v>
      </c>
      <c r="H1212" s="8">
        <f t="shared" si="59"/>
        <v>58.199999999999996</v>
      </c>
    </row>
    <row r="1213" spans="1:8" s="2" customFormat="1">
      <c r="A1213" s="7" t="s">
        <v>1187</v>
      </c>
      <c r="B1213" s="7" t="str">
        <f t="shared" si="60"/>
        <v>41</v>
      </c>
      <c r="C1213" s="7" t="str">
        <f>"11"</f>
        <v>11</v>
      </c>
      <c r="D1213" s="7" t="str">
        <f>"20210194111"</f>
        <v>20210194111</v>
      </c>
      <c r="E1213" s="7" t="s">
        <v>1192</v>
      </c>
      <c r="F1213" s="7">
        <v>46</v>
      </c>
      <c r="G1213" s="7">
        <v>38</v>
      </c>
      <c r="H1213" s="8">
        <f t="shared" si="59"/>
        <v>43.599999999999994</v>
      </c>
    </row>
    <row r="1214" spans="1:8" s="2" customFormat="1">
      <c r="A1214" s="7" t="s">
        <v>1187</v>
      </c>
      <c r="B1214" s="7" t="str">
        <f t="shared" si="60"/>
        <v>41</v>
      </c>
      <c r="C1214" s="7" t="str">
        <f>"12"</f>
        <v>12</v>
      </c>
      <c r="D1214" s="7" t="str">
        <f>"20210194112"</f>
        <v>20210194112</v>
      </c>
      <c r="E1214" s="7" t="s">
        <v>1193</v>
      </c>
      <c r="F1214" s="7">
        <v>33</v>
      </c>
      <c r="G1214" s="7">
        <v>36</v>
      </c>
      <c r="H1214" s="8">
        <f t="shared" si="59"/>
        <v>33.9</v>
      </c>
    </row>
    <row r="1215" spans="1:8" s="2" customFormat="1">
      <c r="A1215" s="7" t="s">
        <v>1187</v>
      </c>
      <c r="B1215" s="7" t="str">
        <f t="shared" si="60"/>
        <v>41</v>
      </c>
      <c r="C1215" s="7" t="str">
        <f>"13"</f>
        <v>13</v>
      </c>
      <c r="D1215" s="7" t="str">
        <f>"20210194113"</f>
        <v>20210194113</v>
      </c>
      <c r="E1215" s="7" t="s">
        <v>311</v>
      </c>
      <c r="F1215" s="7">
        <v>70</v>
      </c>
      <c r="G1215" s="7">
        <v>90</v>
      </c>
      <c r="H1215" s="8">
        <f t="shared" si="59"/>
        <v>76</v>
      </c>
    </row>
    <row r="1216" spans="1:8" s="2" customFormat="1">
      <c r="A1216" s="7" t="s">
        <v>1187</v>
      </c>
      <c r="B1216" s="7" t="str">
        <f t="shared" si="60"/>
        <v>41</v>
      </c>
      <c r="C1216" s="7" t="str">
        <f>"14"</f>
        <v>14</v>
      </c>
      <c r="D1216" s="7" t="str">
        <f>"20210194114"</f>
        <v>20210194114</v>
      </c>
      <c r="E1216" s="7" t="s">
        <v>522</v>
      </c>
      <c r="F1216" s="7">
        <v>58</v>
      </c>
      <c r="G1216" s="7">
        <v>66</v>
      </c>
      <c r="H1216" s="8">
        <f t="shared" si="59"/>
        <v>60.399999999999991</v>
      </c>
    </row>
    <row r="1217" spans="1:8" s="2" customFormat="1">
      <c r="A1217" s="7" t="s">
        <v>1187</v>
      </c>
      <c r="B1217" s="7" t="str">
        <f t="shared" si="60"/>
        <v>41</v>
      </c>
      <c r="C1217" s="7" t="str">
        <f>"15"</f>
        <v>15</v>
      </c>
      <c r="D1217" s="7" t="str">
        <f>"20210194115"</f>
        <v>20210194115</v>
      </c>
      <c r="E1217" s="7" t="s">
        <v>1194</v>
      </c>
      <c r="F1217" s="7">
        <v>45</v>
      </c>
      <c r="G1217" s="7">
        <v>40</v>
      </c>
      <c r="H1217" s="8">
        <f t="shared" si="59"/>
        <v>43.5</v>
      </c>
    </row>
    <row r="1218" spans="1:8" s="2" customFormat="1">
      <c r="A1218" s="7" t="s">
        <v>1187</v>
      </c>
      <c r="B1218" s="7" t="str">
        <f t="shared" si="60"/>
        <v>41</v>
      </c>
      <c r="C1218" s="7" t="str">
        <f>"16"</f>
        <v>16</v>
      </c>
      <c r="D1218" s="7" t="str">
        <f>"20210194116"</f>
        <v>20210194116</v>
      </c>
      <c r="E1218" s="7" t="s">
        <v>90</v>
      </c>
      <c r="F1218" s="7">
        <v>49</v>
      </c>
      <c r="G1218" s="7">
        <v>61</v>
      </c>
      <c r="H1218" s="8">
        <f t="shared" si="59"/>
        <v>52.599999999999994</v>
      </c>
    </row>
    <row r="1219" spans="1:8" s="2" customFormat="1">
      <c r="A1219" s="7" t="s">
        <v>1187</v>
      </c>
      <c r="B1219" s="7" t="str">
        <f t="shared" si="60"/>
        <v>41</v>
      </c>
      <c r="C1219" s="7" t="str">
        <f>"17"</f>
        <v>17</v>
      </c>
      <c r="D1219" s="7" t="str">
        <f>"20210194117"</f>
        <v>20210194117</v>
      </c>
      <c r="E1219" s="7" t="s">
        <v>1195</v>
      </c>
      <c r="F1219" s="7">
        <v>47</v>
      </c>
      <c r="G1219" s="7">
        <v>68</v>
      </c>
      <c r="H1219" s="8">
        <f t="shared" si="59"/>
        <v>53.3</v>
      </c>
    </row>
    <row r="1220" spans="1:8" s="2" customFormat="1">
      <c r="A1220" s="7" t="s">
        <v>1187</v>
      </c>
      <c r="B1220" s="7" t="str">
        <f t="shared" si="60"/>
        <v>41</v>
      </c>
      <c r="C1220" s="7" t="str">
        <f>"18"</f>
        <v>18</v>
      </c>
      <c r="D1220" s="7" t="str">
        <f>"20210194118"</f>
        <v>20210194118</v>
      </c>
      <c r="E1220" s="7" t="s">
        <v>829</v>
      </c>
      <c r="F1220" s="7">
        <v>0</v>
      </c>
      <c r="G1220" s="7">
        <v>0</v>
      </c>
      <c r="H1220" s="8">
        <f t="shared" si="59"/>
        <v>0</v>
      </c>
    </row>
    <row r="1221" spans="1:8" s="2" customFormat="1">
      <c r="A1221" s="7" t="s">
        <v>1187</v>
      </c>
      <c r="B1221" s="7" t="str">
        <f t="shared" si="60"/>
        <v>41</v>
      </c>
      <c r="C1221" s="7" t="str">
        <f>"19"</f>
        <v>19</v>
      </c>
      <c r="D1221" s="7" t="str">
        <f>"20210194119"</f>
        <v>20210194119</v>
      </c>
      <c r="E1221" s="7" t="s">
        <v>1196</v>
      </c>
      <c r="F1221" s="7">
        <v>45.5</v>
      </c>
      <c r="G1221" s="7">
        <v>63</v>
      </c>
      <c r="H1221" s="8">
        <f t="shared" si="59"/>
        <v>50.75</v>
      </c>
    </row>
    <row r="1222" spans="1:8" s="2" customFormat="1">
      <c r="A1222" s="7" t="s">
        <v>1187</v>
      </c>
      <c r="B1222" s="7" t="str">
        <f t="shared" si="60"/>
        <v>41</v>
      </c>
      <c r="C1222" s="7" t="str">
        <f>"20"</f>
        <v>20</v>
      </c>
      <c r="D1222" s="7" t="str">
        <f>"20210194120"</f>
        <v>20210194120</v>
      </c>
      <c r="E1222" s="7" t="s">
        <v>1197</v>
      </c>
      <c r="F1222" s="7">
        <v>54</v>
      </c>
      <c r="G1222" s="7">
        <v>54</v>
      </c>
      <c r="H1222" s="8">
        <f t="shared" si="59"/>
        <v>54</v>
      </c>
    </row>
    <row r="1223" spans="1:8" s="2" customFormat="1">
      <c r="A1223" s="7" t="s">
        <v>1187</v>
      </c>
      <c r="B1223" s="7" t="str">
        <f t="shared" si="60"/>
        <v>41</v>
      </c>
      <c r="C1223" s="7" t="str">
        <f>"21"</f>
        <v>21</v>
      </c>
      <c r="D1223" s="7" t="str">
        <f>"20210194121"</f>
        <v>20210194121</v>
      </c>
      <c r="E1223" s="7" t="s">
        <v>1198</v>
      </c>
      <c r="F1223" s="7">
        <v>47</v>
      </c>
      <c r="G1223" s="7">
        <v>32</v>
      </c>
      <c r="H1223" s="8">
        <f t="shared" si="59"/>
        <v>42.5</v>
      </c>
    </row>
    <row r="1224" spans="1:8" s="2" customFormat="1">
      <c r="A1224" s="7" t="s">
        <v>1187</v>
      </c>
      <c r="B1224" s="7" t="str">
        <f t="shared" si="60"/>
        <v>41</v>
      </c>
      <c r="C1224" s="7" t="str">
        <f>"22"</f>
        <v>22</v>
      </c>
      <c r="D1224" s="7" t="str">
        <f>"20210194122"</f>
        <v>20210194122</v>
      </c>
      <c r="E1224" s="7" t="s">
        <v>1199</v>
      </c>
      <c r="F1224" s="7">
        <v>43.5</v>
      </c>
      <c r="G1224" s="7">
        <v>66</v>
      </c>
      <c r="H1224" s="8">
        <f t="shared" si="59"/>
        <v>50.25</v>
      </c>
    </row>
    <row r="1225" spans="1:8" s="2" customFormat="1">
      <c r="A1225" s="7" t="s">
        <v>1187</v>
      </c>
      <c r="B1225" s="7" t="str">
        <f t="shared" si="60"/>
        <v>41</v>
      </c>
      <c r="C1225" s="7" t="str">
        <f>"23"</f>
        <v>23</v>
      </c>
      <c r="D1225" s="7" t="str">
        <f>"20210194123"</f>
        <v>20210194123</v>
      </c>
      <c r="E1225" s="7" t="s">
        <v>1200</v>
      </c>
      <c r="F1225" s="7">
        <v>66.5</v>
      </c>
      <c r="G1225" s="7">
        <v>55</v>
      </c>
      <c r="H1225" s="8">
        <f t="shared" si="59"/>
        <v>63.05</v>
      </c>
    </row>
    <row r="1226" spans="1:8" s="2" customFormat="1">
      <c r="A1226" s="7" t="s">
        <v>1187</v>
      </c>
      <c r="B1226" s="7" t="str">
        <f t="shared" si="60"/>
        <v>41</v>
      </c>
      <c r="C1226" s="7" t="str">
        <f>"24"</f>
        <v>24</v>
      </c>
      <c r="D1226" s="7" t="str">
        <f>"20210194124"</f>
        <v>20210194124</v>
      </c>
      <c r="E1226" s="7" t="s">
        <v>1201</v>
      </c>
      <c r="F1226" s="7">
        <v>69</v>
      </c>
      <c r="G1226" s="7">
        <v>87</v>
      </c>
      <c r="H1226" s="8">
        <f t="shared" si="59"/>
        <v>74.399999999999991</v>
      </c>
    </row>
    <row r="1227" spans="1:8" s="2" customFormat="1">
      <c r="A1227" s="7" t="s">
        <v>1187</v>
      </c>
      <c r="B1227" s="7" t="str">
        <f t="shared" si="60"/>
        <v>41</v>
      </c>
      <c r="C1227" s="7" t="str">
        <f>"25"</f>
        <v>25</v>
      </c>
      <c r="D1227" s="7" t="str">
        <f>"20210194125"</f>
        <v>20210194125</v>
      </c>
      <c r="E1227" s="7" t="s">
        <v>1202</v>
      </c>
      <c r="F1227" s="7">
        <v>33</v>
      </c>
      <c r="G1227" s="7">
        <v>34</v>
      </c>
      <c r="H1227" s="8">
        <f t="shared" si="59"/>
        <v>33.299999999999997</v>
      </c>
    </row>
    <row r="1228" spans="1:8" s="2" customFormat="1">
      <c r="A1228" s="7" t="s">
        <v>1187</v>
      </c>
      <c r="B1228" s="7" t="str">
        <f t="shared" si="60"/>
        <v>41</v>
      </c>
      <c r="C1228" s="7" t="str">
        <f>"26"</f>
        <v>26</v>
      </c>
      <c r="D1228" s="7" t="str">
        <f>"20210194126"</f>
        <v>20210194126</v>
      </c>
      <c r="E1228" s="7" t="s">
        <v>1203</v>
      </c>
      <c r="F1228" s="7">
        <v>0</v>
      </c>
      <c r="G1228" s="7">
        <v>0</v>
      </c>
      <c r="H1228" s="8">
        <f t="shared" si="59"/>
        <v>0</v>
      </c>
    </row>
    <row r="1229" spans="1:8" s="2" customFormat="1">
      <c r="A1229" s="7" t="s">
        <v>1187</v>
      </c>
      <c r="B1229" s="7" t="str">
        <f t="shared" si="60"/>
        <v>41</v>
      </c>
      <c r="C1229" s="7" t="str">
        <f>"27"</f>
        <v>27</v>
      </c>
      <c r="D1229" s="7" t="str">
        <f>"20210194127"</f>
        <v>20210194127</v>
      </c>
      <c r="E1229" s="7" t="s">
        <v>1204</v>
      </c>
      <c r="F1229" s="7">
        <v>66</v>
      </c>
      <c r="G1229" s="7">
        <v>76</v>
      </c>
      <c r="H1229" s="8">
        <f t="shared" si="59"/>
        <v>69</v>
      </c>
    </row>
    <row r="1230" spans="1:8" s="2" customFormat="1">
      <c r="A1230" s="7" t="s">
        <v>1187</v>
      </c>
      <c r="B1230" s="7" t="str">
        <f t="shared" si="60"/>
        <v>41</v>
      </c>
      <c r="C1230" s="7" t="str">
        <f>"28"</f>
        <v>28</v>
      </c>
      <c r="D1230" s="7" t="str">
        <f>"20210194128"</f>
        <v>20210194128</v>
      </c>
      <c r="E1230" s="7" t="s">
        <v>1205</v>
      </c>
      <c r="F1230" s="7">
        <v>46</v>
      </c>
      <c r="G1230" s="7">
        <v>53</v>
      </c>
      <c r="H1230" s="8">
        <f t="shared" si="59"/>
        <v>48.099999999999994</v>
      </c>
    </row>
    <row r="1231" spans="1:8" s="2" customFormat="1">
      <c r="A1231" s="7" t="s">
        <v>1187</v>
      </c>
      <c r="B1231" s="7" t="str">
        <f t="shared" si="60"/>
        <v>41</v>
      </c>
      <c r="C1231" s="7" t="str">
        <f>"29"</f>
        <v>29</v>
      </c>
      <c r="D1231" s="7" t="str">
        <f>"20210194129"</f>
        <v>20210194129</v>
      </c>
      <c r="E1231" s="7" t="s">
        <v>1206</v>
      </c>
      <c r="F1231" s="7">
        <v>69</v>
      </c>
      <c r="G1231" s="7">
        <v>80</v>
      </c>
      <c r="H1231" s="8">
        <f t="shared" si="59"/>
        <v>72.3</v>
      </c>
    </row>
    <row r="1232" spans="1:8" s="2" customFormat="1">
      <c r="A1232" s="7" t="s">
        <v>1187</v>
      </c>
      <c r="B1232" s="7" t="str">
        <f t="shared" si="60"/>
        <v>41</v>
      </c>
      <c r="C1232" s="7" t="str">
        <f>"30"</f>
        <v>30</v>
      </c>
      <c r="D1232" s="7" t="str">
        <f>"20210194130"</f>
        <v>20210194130</v>
      </c>
      <c r="E1232" s="7" t="s">
        <v>1207</v>
      </c>
      <c r="F1232" s="7">
        <v>56</v>
      </c>
      <c r="G1232" s="7">
        <v>51</v>
      </c>
      <c r="H1232" s="8">
        <f t="shared" si="59"/>
        <v>54.499999999999993</v>
      </c>
    </row>
    <row r="1233" spans="1:8" s="2" customFormat="1">
      <c r="A1233" s="7" t="s">
        <v>1187</v>
      </c>
      <c r="B1233" s="7" t="str">
        <f t="shared" ref="B1233:B1262" si="61">"42"</f>
        <v>42</v>
      </c>
      <c r="C1233" s="7" t="str">
        <f>"01"</f>
        <v>01</v>
      </c>
      <c r="D1233" s="7" t="str">
        <f>"20210194201"</f>
        <v>20210194201</v>
      </c>
      <c r="E1233" s="7" t="s">
        <v>1208</v>
      </c>
      <c r="F1233" s="7">
        <v>66</v>
      </c>
      <c r="G1233" s="7">
        <v>82</v>
      </c>
      <c r="H1233" s="8">
        <f t="shared" si="59"/>
        <v>70.8</v>
      </c>
    </row>
    <row r="1234" spans="1:8" s="2" customFormat="1">
      <c r="A1234" s="7" t="s">
        <v>1187</v>
      </c>
      <c r="B1234" s="7" t="str">
        <f t="shared" si="61"/>
        <v>42</v>
      </c>
      <c r="C1234" s="7" t="str">
        <f>"02"</f>
        <v>02</v>
      </c>
      <c r="D1234" s="7" t="str">
        <f>"20210194202"</f>
        <v>20210194202</v>
      </c>
      <c r="E1234" s="7" t="s">
        <v>1209</v>
      </c>
      <c r="F1234" s="7">
        <v>81</v>
      </c>
      <c r="G1234" s="7">
        <v>96</v>
      </c>
      <c r="H1234" s="8">
        <f t="shared" si="59"/>
        <v>85.5</v>
      </c>
    </row>
    <row r="1235" spans="1:8" s="2" customFormat="1">
      <c r="A1235" s="7" t="s">
        <v>1187</v>
      </c>
      <c r="B1235" s="7" t="str">
        <f t="shared" si="61"/>
        <v>42</v>
      </c>
      <c r="C1235" s="7" t="str">
        <f>"03"</f>
        <v>03</v>
      </c>
      <c r="D1235" s="7" t="str">
        <f>"20210194203"</f>
        <v>20210194203</v>
      </c>
      <c r="E1235" s="7" t="s">
        <v>1210</v>
      </c>
      <c r="F1235" s="7">
        <v>68.5</v>
      </c>
      <c r="G1235" s="7">
        <v>73</v>
      </c>
      <c r="H1235" s="8">
        <f t="shared" si="59"/>
        <v>69.849999999999994</v>
      </c>
    </row>
    <row r="1236" spans="1:8" s="2" customFormat="1">
      <c r="A1236" s="7" t="s">
        <v>1187</v>
      </c>
      <c r="B1236" s="7" t="str">
        <f t="shared" si="61"/>
        <v>42</v>
      </c>
      <c r="C1236" s="7" t="str">
        <f>"04"</f>
        <v>04</v>
      </c>
      <c r="D1236" s="7" t="str">
        <f>"20210194204"</f>
        <v>20210194204</v>
      </c>
      <c r="E1236" s="7" t="s">
        <v>1211</v>
      </c>
      <c r="F1236" s="7">
        <v>63.5</v>
      </c>
      <c r="G1236" s="7">
        <v>78</v>
      </c>
      <c r="H1236" s="8">
        <f t="shared" si="59"/>
        <v>67.849999999999994</v>
      </c>
    </row>
    <row r="1237" spans="1:8" s="2" customFormat="1">
      <c r="A1237" s="7" t="s">
        <v>1187</v>
      </c>
      <c r="B1237" s="7" t="str">
        <f t="shared" si="61"/>
        <v>42</v>
      </c>
      <c r="C1237" s="7" t="str">
        <f>"05"</f>
        <v>05</v>
      </c>
      <c r="D1237" s="7" t="str">
        <f>"20210194205"</f>
        <v>20210194205</v>
      </c>
      <c r="E1237" s="7" t="s">
        <v>1212</v>
      </c>
      <c r="F1237" s="7">
        <v>81</v>
      </c>
      <c r="G1237" s="7">
        <v>78</v>
      </c>
      <c r="H1237" s="8">
        <f t="shared" si="59"/>
        <v>80.099999999999994</v>
      </c>
    </row>
    <row r="1238" spans="1:8" s="2" customFormat="1">
      <c r="A1238" s="7" t="s">
        <v>1187</v>
      </c>
      <c r="B1238" s="7" t="str">
        <f t="shared" si="61"/>
        <v>42</v>
      </c>
      <c r="C1238" s="7" t="str">
        <f>"06"</f>
        <v>06</v>
      </c>
      <c r="D1238" s="7" t="str">
        <f>"20210194206"</f>
        <v>20210194206</v>
      </c>
      <c r="E1238" s="7" t="s">
        <v>1213</v>
      </c>
      <c r="F1238" s="7">
        <v>63</v>
      </c>
      <c r="G1238" s="7">
        <v>82</v>
      </c>
      <c r="H1238" s="8">
        <f t="shared" si="59"/>
        <v>68.699999999999989</v>
      </c>
    </row>
    <row r="1239" spans="1:8" s="2" customFormat="1">
      <c r="A1239" s="7" t="s">
        <v>1187</v>
      </c>
      <c r="B1239" s="7" t="str">
        <f t="shared" si="61"/>
        <v>42</v>
      </c>
      <c r="C1239" s="7" t="str">
        <f>"07"</f>
        <v>07</v>
      </c>
      <c r="D1239" s="7" t="str">
        <f>"20210194207"</f>
        <v>20210194207</v>
      </c>
      <c r="E1239" s="7" t="s">
        <v>1024</v>
      </c>
      <c r="F1239" s="7">
        <v>64</v>
      </c>
      <c r="G1239" s="7">
        <v>53</v>
      </c>
      <c r="H1239" s="8">
        <f t="shared" si="59"/>
        <v>60.699999999999996</v>
      </c>
    </row>
    <row r="1240" spans="1:8" s="2" customFormat="1">
      <c r="A1240" s="7" t="s">
        <v>1187</v>
      </c>
      <c r="B1240" s="7" t="str">
        <f t="shared" si="61"/>
        <v>42</v>
      </c>
      <c r="C1240" s="7" t="str">
        <f>"08"</f>
        <v>08</v>
      </c>
      <c r="D1240" s="7" t="str">
        <f>"20210194208"</f>
        <v>20210194208</v>
      </c>
      <c r="E1240" s="7" t="s">
        <v>1214</v>
      </c>
      <c r="F1240" s="7">
        <v>40</v>
      </c>
      <c r="G1240" s="7">
        <v>58</v>
      </c>
      <c r="H1240" s="8">
        <f t="shared" si="59"/>
        <v>45.4</v>
      </c>
    </row>
    <row r="1241" spans="1:8" s="2" customFormat="1">
      <c r="A1241" s="7" t="s">
        <v>1187</v>
      </c>
      <c r="B1241" s="7" t="str">
        <f t="shared" si="61"/>
        <v>42</v>
      </c>
      <c r="C1241" s="7" t="str">
        <f>"09"</f>
        <v>09</v>
      </c>
      <c r="D1241" s="7" t="str">
        <f>"20210194209"</f>
        <v>20210194209</v>
      </c>
      <c r="E1241" s="7" t="s">
        <v>1215</v>
      </c>
      <c r="F1241" s="7">
        <v>42</v>
      </c>
      <c r="G1241" s="7">
        <v>35</v>
      </c>
      <c r="H1241" s="8">
        <f t="shared" si="59"/>
        <v>39.9</v>
      </c>
    </row>
    <row r="1242" spans="1:8" s="2" customFormat="1">
      <c r="A1242" s="7" t="s">
        <v>1187</v>
      </c>
      <c r="B1242" s="7" t="str">
        <f t="shared" si="61"/>
        <v>42</v>
      </c>
      <c r="C1242" s="7" t="str">
        <f>"10"</f>
        <v>10</v>
      </c>
      <c r="D1242" s="7" t="str">
        <f>"20210194210"</f>
        <v>20210194210</v>
      </c>
      <c r="E1242" s="7" t="s">
        <v>1216</v>
      </c>
      <c r="F1242" s="7">
        <v>47</v>
      </c>
      <c r="G1242" s="7">
        <v>69</v>
      </c>
      <c r="H1242" s="8">
        <f t="shared" si="59"/>
        <v>53.599999999999994</v>
      </c>
    </row>
    <row r="1243" spans="1:8" s="2" customFormat="1">
      <c r="A1243" s="7" t="s">
        <v>1187</v>
      </c>
      <c r="B1243" s="7" t="str">
        <f t="shared" si="61"/>
        <v>42</v>
      </c>
      <c r="C1243" s="7" t="str">
        <f>"11"</f>
        <v>11</v>
      </c>
      <c r="D1243" s="7" t="str">
        <f>"20210194211"</f>
        <v>20210194211</v>
      </c>
      <c r="E1243" s="7" t="s">
        <v>105</v>
      </c>
      <c r="F1243" s="7">
        <v>57.5</v>
      </c>
      <c r="G1243" s="7">
        <v>48</v>
      </c>
      <c r="H1243" s="8">
        <f t="shared" si="59"/>
        <v>54.65</v>
      </c>
    </row>
    <row r="1244" spans="1:8" s="2" customFormat="1">
      <c r="A1244" s="7" t="s">
        <v>1187</v>
      </c>
      <c r="B1244" s="7" t="str">
        <f t="shared" si="61"/>
        <v>42</v>
      </c>
      <c r="C1244" s="7" t="str">
        <f>"12"</f>
        <v>12</v>
      </c>
      <c r="D1244" s="7" t="str">
        <f>"20210194212"</f>
        <v>20210194212</v>
      </c>
      <c r="E1244" s="7" t="s">
        <v>1217</v>
      </c>
      <c r="F1244" s="7">
        <v>42</v>
      </c>
      <c r="G1244" s="7">
        <v>37</v>
      </c>
      <c r="H1244" s="8">
        <f t="shared" si="59"/>
        <v>40.5</v>
      </c>
    </row>
    <row r="1245" spans="1:8" s="2" customFormat="1">
      <c r="A1245" s="7" t="s">
        <v>1187</v>
      </c>
      <c r="B1245" s="7" t="str">
        <f t="shared" si="61"/>
        <v>42</v>
      </c>
      <c r="C1245" s="7" t="str">
        <f>"13"</f>
        <v>13</v>
      </c>
      <c r="D1245" s="7" t="str">
        <f>"20210194213"</f>
        <v>20210194213</v>
      </c>
      <c r="E1245" s="7" t="s">
        <v>1218</v>
      </c>
      <c r="F1245" s="7">
        <v>65</v>
      </c>
      <c r="G1245" s="7">
        <v>52</v>
      </c>
      <c r="H1245" s="8">
        <f t="shared" si="59"/>
        <v>61.1</v>
      </c>
    </row>
    <row r="1246" spans="1:8" s="2" customFormat="1">
      <c r="A1246" s="7" t="s">
        <v>1187</v>
      </c>
      <c r="B1246" s="7" t="str">
        <f t="shared" si="61"/>
        <v>42</v>
      </c>
      <c r="C1246" s="7" t="str">
        <f>"14"</f>
        <v>14</v>
      </c>
      <c r="D1246" s="7" t="str">
        <f>"20210194214"</f>
        <v>20210194214</v>
      </c>
      <c r="E1246" s="7" t="s">
        <v>1219</v>
      </c>
      <c r="F1246" s="7">
        <v>39</v>
      </c>
      <c r="G1246" s="7">
        <v>47</v>
      </c>
      <c r="H1246" s="8">
        <f t="shared" si="59"/>
        <v>41.4</v>
      </c>
    </row>
    <row r="1247" spans="1:8" s="2" customFormat="1">
      <c r="A1247" s="7" t="s">
        <v>1187</v>
      </c>
      <c r="B1247" s="7" t="str">
        <f t="shared" si="61"/>
        <v>42</v>
      </c>
      <c r="C1247" s="7" t="str">
        <f>"15"</f>
        <v>15</v>
      </c>
      <c r="D1247" s="7" t="str">
        <f>"20210194215"</f>
        <v>20210194215</v>
      </c>
      <c r="E1247" s="7" t="s">
        <v>1220</v>
      </c>
      <c r="F1247" s="7">
        <v>25</v>
      </c>
      <c r="G1247" s="7">
        <v>44</v>
      </c>
      <c r="H1247" s="8">
        <f t="shared" si="59"/>
        <v>30.7</v>
      </c>
    </row>
    <row r="1248" spans="1:8" s="2" customFormat="1">
      <c r="A1248" s="7" t="s">
        <v>1187</v>
      </c>
      <c r="B1248" s="7" t="str">
        <f t="shared" si="61"/>
        <v>42</v>
      </c>
      <c r="C1248" s="7" t="str">
        <f>"16"</f>
        <v>16</v>
      </c>
      <c r="D1248" s="7" t="str">
        <f>"20210194216"</f>
        <v>20210194216</v>
      </c>
      <c r="E1248" s="7" t="s">
        <v>1221</v>
      </c>
      <c r="F1248" s="7">
        <v>42</v>
      </c>
      <c r="G1248" s="7">
        <v>60</v>
      </c>
      <c r="H1248" s="8">
        <f t="shared" si="59"/>
        <v>47.4</v>
      </c>
    </row>
    <row r="1249" spans="1:8" s="2" customFormat="1">
      <c r="A1249" s="7" t="s">
        <v>1187</v>
      </c>
      <c r="B1249" s="7" t="str">
        <f t="shared" si="61"/>
        <v>42</v>
      </c>
      <c r="C1249" s="7" t="str">
        <f>"17"</f>
        <v>17</v>
      </c>
      <c r="D1249" s="7" t="str">
        <f>"20210194217"</f>
        <v>20210194217</v>
      </c>
      <c r="E1249" s="7" t="s">
        <v>1222</v>
      </c>
      <c r="F1249" s="7">
        <v>51</v>
      </c>
      <c r="G1249" s="7">
        <v>63</v>
      </c>
      <c r="H1249" s="8">
        <f t="shared" si="59"/>
        <v>54.599999999999994</v>
      </c>
    </row>
    <row r="1250" spans="1:8" s="2" customFormat="1">
      <c r="A1250" s="7" t="s">
        <v>1187</v>
      </c>
      <c r="B1250" s="7" t="str">
        <f t="shared" si="61"/>
        <v>42</v>
      </c>
      <c r="C1250" s="7" t="str">
        <f>"18"</f>
        <v>18</v>
      </c>
      <c r="D1250" s="7" t="str">
        <f>"20210194218"</f>
        <v>20210194218</v>
      </c>
      <c r="E1250" s="7" t="s">
        <v>1223</v>
      </c>
      <c r="F1250" s="7">
        <v>23</v>
      </c>
      <c r="G1250" s="7">
        <v>0</v>
      </c>
      <c r="H1250" s="8">
        <f t="shared" ref="H1250:H1313" si="62">F1250*0.7+G1250*0.3</f>
        <v>16.099999999999998</v>
      </c>
    </row>
    <row r="1251" spans="1:8" s="2" customFormat="1">
      <c r="A1251" s="7" t="s">
        <v>1187</v>
      </c>
      <c r="B1251" s="7" t="str">
        <f t="shared" si="61"/>
        <v>42</v>
      </c>
      <c r="C1251" s="7" t="str">
        <f>"19"</f>
        <v>19</v>
      </c>
      <c r="D1251" s="7" t="str">
        <f>"20210194219"</f>
        <v>20210194219</v>
      </c>
      <c r="E1251" s="7" t="s">
        <v>1224</v>
      </c>
      <c r="F1251" s="7">
        <v>48.5</v>
      </c>
      <c r="G1251" s="7">
        <v>42</v>
      </c>
      <c r="H1251" s="8">
        <f t="shared" si="62"/>
        <v>46.55</v>
      </c>
    </row>
    <row r="1252" spans="1:8" s="2" customFormat="1">
      <c r="A1252" s="7" t="s">
        <v>1187</v>
      </c>
      <c r="B1252" s="7" t="str">
        <f t="shared" si="61"/>
        <v>42</v>
      </c>
      <c r="C1252" s="7" t="str">
        <f>"20"</f>
        <v>20</v>
      </c>
      <c r="D1252" s="7" t="str">
        <f>"20210194220"</f>
        <v>20210194220</v>
      </c>
      <c r="E1252" s="7" t="s">
        <v>1225</v>
      </c>
      <c r="F1252" s="7">
        <v>0</v>
      </c>
      <c r="G1252" s="7">
        <v>0</v>
      </c>
      <c r="H1252" s="8">
        <f t="shared" si="62"/>
        <v>0</v>
      </c>
    </row>
    <row r="1253" spans="1:8" s="2" customFormat="1">
      <c r="A1253" s="7" t="s">
        <v>1187</v>
      </c>
      <c r="B1253" s="7" t="str">
        <f t="shared" si="61"/>
        <v>42</v>
      </c>
      <c r="C1253" s="7" t="str">
        <f>"21"</f>
        <v>21</v>
      </c>
      <c r="D1253" s="7" t="str">
        <f>"20210194221"</f>
        <v>20210194221</v>
      </c>
      <c r="E1253" s="7" t="s">
        <v>1226</v>
      </c>
      <c r="F1253" s="7">
        <v>50</v>
      </c>
      <c r="G1253" s="7">
        <v>65</v>
      </c>
      <c r="H1253" s="8">
        <f t="shared" si="62"/>
        <v>54.5</v>
      </c>
    </row>
    <row r="1254" spans="1:8" s="2" customFormat="1">
      <c r="A1254" s="7" t="s">
        <v>1187</v>
      </c>
      <c r="B1254" s="7" t="str">
        <f t="shared" si="61"/>
        <v>42</v>
      </c>
      <c r="C1254" s="7" t="str">
        <f>"22"</f>
        <v>22</v>
      </c>
      <c r="D1254" s="7" t="str">
        <f>"20210194222"</f>
        <v>20210194222</v>
      </c>
      <c r="E1254" s="7" t="s">
        <v>1227</v>
      </c>
      <c r="F1254" s="7">
        <v>57</v>
      </c>
      <c r="G1254" s="7">
        <v>88</v>
      </c>
      <c r="H1254" s="8">
        <f t="shared" si="62"/>
        <v>66.3</v>
      </c>
    </row>
    <row r="1255" spans="1:8" s="2" customFormat="1">
      <c r="A1255" s="7" t="s">
        <v>1187</v>
      </c>
      <c r="B1255" s="7" t="str">
        <f t="shared" si="61"/>
        <v>42</v>
      </c>
      <c r="C1255" s="7" t="str">
        <f>"23"</f>
        <v>23</v>
      </c>
      <c r="D1255" s="7" t="str">
        <f>"20210194223"</f>
        <v>20210194223</v>
      </c>
      <c r="E1255" s="7" t="s">
        <v>1228</v>
      </c>
      <c r="F1255" s="7">
        <v>54</v>
      </c>
      <c r="G1255" s="7">
        <v>48</v>
      </c>
      <c r="H1255" s="8">
        <f t="shared" si="62"/>
        <v>52.199999999999996</v>
      </c>
    </row>
    <row r="1256" spans="1:8" s="2" customFormat="1">
      <c r="A1256" s="7" t="s">
        <v>1187</v>
      </c>
      <c r="B1256" s="7" t="str">
        <f t="shared" si="61"/>
        <v>42</v>
      </c>
      <c r="C1256" s="7" t="str">
        <f>"24"</f>
        <v>24</v>
      </c>
      <c r="D1256" s="7" t="str">
        <f>"20210194224"</f>
        <v>20210194224</v>
      </c>
      <c r="E1256" s="7" t="s">
        <v>1229</v>
      </c>
      <c r="F1256" s="7">
        <v>59</v>
      </c>
      <c r="G1256" s="7">
        <v>73</v>
      </c>
      <c r="H1256" s="8">
        <f t="shared" si="62"/>
        <v>63.199999999999996</v>
      </c>
    </row>
    <row r="1257" spans="1:8" s="2" customFormat="1">
      <c r="A1257" s="7" t="s">
        <v>1187</v>
      </c>
      <c r="B1257" s="7" t="str">
        <f t="shared" si="61"/>
        <v>42</v>
      </c>
      <c r="C1257" s="7" t="str">
        <f>"25"</f>
        <v>25</v>
      </c>
      <c r="D1257" s="7" t="str">
        <f>"20210194225"</f>
        <v>20210194225</v>
      </c>
      <c r="E1257" s="7" t="s">
        <v>1230</v>
      </c>
      <c r="F1257" s="7">
        <v>51</v>
      </c>
      <c r="G1257" s="7">
        <v>61</v>
      </c>
      <c r="H1257" s="8">
        <f t="shared" si="62"/>
        <v>54</v>
      </c>
    </row>
    <row r="1258" spans="1:8" s="2" customFormat="1">
      <c r="A1258" s="7" t="s">
        <v>1187</v>
      </c>
      <c r="B1258" s="7" t="str">
        <f t="shared" si="61"/>
        <v>42</v>
      </c>
      <c r="C1258" s="7" t="str">
        <f>"26"</f>
        <v>26</v>
      </c>
      <c r="D1258" s="7" t="str">
        <f>"20210194226"</f>
        <v>20210194226</v>
      </c>
      <c r="E1258" s="7" t="s">
        <v>1231</v>
      </c>
      <c r="F1258" s="7">
        <v>0</v>
      </c>
      <c r="G1258" s="7">
        <v>0</v>
      </c>
      <c r="H1258" s="8">
        <f t="shared" si="62"/>
        <v>0</v>
      </c>
    </row>
    <row r="1259" spans="1:8" s="2" customFormat="1">
      <c r="A1259" s="7" t="s">
        <v>1187</v>
      </c>
      <c r="B1259" s="7" t="str">
        <f t="shared" si="61"/>
        <v>42</v>
      </c>
      <c r="C1259" s="7" t="str">
        <f>"27"</f>
        <v>27</v>
      </c>
      <c r="D1259" s="7" t="str">
        <f>"20210194227"</f>
        <v>20210194227</v>
      </c>
      <c r="E1259" s="7" t="s">
        <v>1232</v>
      </c>
      <c r="F1259" s="7">
        <v>58</v>
      </c>
      <c r="G1259" s="7">
        <v>71</v>
      </c>
      <c r="H1259" s="8">
        <f t="shared" si="62"/>
        <v>61.899999999999991</v>
      </c>
    </row>
    <row r="1260" spans="1:8" s="2" customFormat="1">
      <c r="A1260" s="7" t="s">
        <v>1187</v>
      </c>
      <c r="B1260" s="7" t="str">
        <f t="shared" si="61"/>
        <v>42</v>
      </c>
      <c r="C1260" s="7" t="str">
        <f>"28"</f>
        <v>28</v>
      </c>
      <c r="D1260" s="7" t="str">
        <f>"20210194228"</f>
        <v>20210194228</v>
      </c>
      <c r="E1260" s="7" t="s">
        <v>1233</v>
      </c>
      <c r="F1260" s="7">
        <v>56</v>
      </c>
      <c r="G1260" s="7">
        <v>57</v>
      </c>
      <c r="H1260" s="8">
        <f t="shared" si="62"/>
        <v>56.3</v>
      </c>
    </row>
    <row r="1261" spans="1:8" s="2" customFormat="1">
      <c r="A1261" s="7" t="s">
        <v>1187</v>
      </c>
      <c r="B1261" s="7" t="str">
        <f t="shared" si="61"/>
        <v>42</v>
      </c>
      <c r="C1261" s="7" t="str">
        <f>"29"</f>
        <v>29</v>
      </c>
      <c r="D1261" s="7" t="str">
        <f>"20210194229"</f>
        <v>20210194229</v>
      </c>
      <c r="E1261" s="7" t="s">
        <v>1234</v>
      </c>
      <c r="F1261" s="7">
        <v>0</v>
      </c>
      <c r="G1261" s="7">
        <v>0</v>
      </c>
      <c r="H1261" s="8">
        <f t="shared" si="62"/>
        <v>0</v>
      </c>
    </row>
    <row r="1262" spans="1:8" s="2" customFormat="1">
      <c r="A1262" s="7" t="s">
        <v>1187</v>
      </c>
      <c r="B1262" s="7" t="str">
        <f t="shared" si="61"/>
        <v>42</v>
      </c>
      <c r="C1262" s="7" t="str">
        <f>"30"</f>
        <v>30</v>
      </c>
      <c r="D1262" s="7" t="str">
        <f>"20210194230"</f>
        <v>20210194230</v>
      </c>
      <c r="E1262" s="7" t="s">
        <v>1235</v>
      </c>
      <c r="F1262" s="7">
        <v>46</v>
      </c>
      <c r="G1262" s="7">
        <v>52</v>
      </c>
      <c r="H1262" s="8">
        <f t="shared" si="62"/>
        <v>47.8</v>
      </c>
    </row>
    <row r="1263" spans="1:8" s="2" customFormat="1">
      <c r="A1263" s="7" t="s">
        <v>1187</v>
      </c>
      <c r="B1263" s="7" t="str">
        <f t="shared" ref="B1263:B1292" si="63">"43"</f>
        <v>43</v>
      </c>
      <c r="C1263" s="7" t="str">
        <f>"01"</f>
        <v>01</v>
      </c>
      <c r="D1263" s="7" t="str">
        <f>"20210194301"</f>
        <v>20210194301</v>
      </c>
      <c r="E1263" s="7" t="s">
        <v>1236</v>
      </c>
      <c r="F1263" s="7">
        <v>75</v>
      </c>
      <c r="G1263" s="7">
        <v>74</v>
      </c>
      <c r="H1263" s="8">
        <f t="shared" si="62"/>
        <v>74.7</v>
      </c>
    </row>
    <row r="1264" spans="1:8" s="2" customFormat="1">
      <c r="A1264" s="7" t="s">
        <v>1187</v>
      </c>
      <c r="B1264" s="7" t="str">
        <f t="shared" si="63"/>
        <v>43</v>
      </c>
      <c r="C1264" s="7" t="str">
        <f>"02"</f>
        <v>02</v>
      </c>
      <c r="D1264" s="7" t="str">
        <f>"20210194302"</f>
        <v>20210194302</v>
      </c>
      <c r="E1264" s="7" t="s">
        <v>1237</v>
      </c>
      <c r="F1264" s="7">
        <v>0</v>
      </c>
      <c r="G1264" s="7">
        <v>0</v>
      </c>
      <c r="H1264" s="8">
        <f t="shared" si="62"/>
        <v>0</v>
      </c>
    </row>
    <row r="1265" spans="1:8" s="2" customFormat="1">
      <c r="A1265" s="7" t="s">
        <v>1187</v>
      </c>
      <c r="B1265" s="7" t="str">
        <f t="shared" si="63"/>
        <v>43</v>
      </c>
      <c r="C1265" s="7" t="str">
        <f>"03"</f>
        <v>03</v>
      </c>
      <c r="D1265" s="7" t="str">
        <f>"20210194303"</f>
        <v>20210194303</v>
      </c>
      <c r="E1265" s="7" t="s">
        <v>1238</v>
      </c>
      <c r="F1265" s="7">
        <v>0</v>
      </c>
      <c r="G1265" s="7">
        <v>0</v>
      </c>
      <c r="H1265" s="8">
        <f t="shared" si="62"/>
        <v>0</v>
      </c>
    </row>
    <row r="1266" spans="1:8" s="2" customFormat="1">
      <c r="A1266" s="7" t="s">
        <v>1187</v>
      </c>
      <c r="B1266" s="7" t="str">
        <f t="shared" si="63"/>
        <v>43</v>
      </c>
      <c r="C1266" s="7" t="str">
        <f>"04"</f>
        <v>04</v>
      </c>
      <c r="D1266" s="7" t="str">
        <f>"20210194304"</f>
        <v>20210194304</v>
      </c>
      <c r="E1266" s="7" t="s">
        <v>1239</v>
      </c>
      <c r="F1266" s="7">
        <v>60.5</v>
      </c>
      <c r="G1266" s="7">
        <v>73</v>
      </c>
      <c r="H1266" s="8">
        <f t="shared" si="62"/>
        <v>64.25</v>
      </c>
    </row>
    <row r="1267" spans="1:8" s="2" customFormat="1">
      <c r="A1267" s="7" t="s">
        <v>1240</v>
      </c>
      <c r="B1267" s="7" t="str">
        <f t="shared" si="63"/>
        <v>43</v>
      </c>
      <c r="C1267" s="7" t="str">
        <f>"05"</f>
        <v>05</v>
      </c>
      <c r="D1267" s="7" t="str">
        <f>"20210204305"</f>
        <v>20210204305</v>
      </c>
      <c r="E1267" s="7" t="s">
        <v>1241</v>
      </c>
      <c r="F1267" s="7">
        <v>0</v>
      </c>
      <c r="G1267" s="7">
        <v>0</v>
      </c>
      <c r="H1267" s="8">
        <f t="shared" si="62"/>
        <v>0</v>
      </c>
    </row>
    <row r="1268" spans="1:8" s="2" customFormat="1">
      <c r="A1268" s="7" t="s">
        <v>1240</v>
      </c>
      <c r="B1268" s="7" t="str">
        <f t="shared" si="63"/>
        <v>43</v>
      </c>
      <c r="C1268" s="7" t="str">
        <f>"06"</f>
        <v>06</v>
      </c>
      <c r="D1268" s="7" t="str">
        <f>"20210204306"</f>
        <v>20210204306</v>
      </c>
      <c r="E1268" s="7" t="s">
        <v>1242</v>
      </c>
      <c r="F1268" s="7">
        <v>61</v>
      </c>
      <c r="G1268" s="7">
        <v>67</v>
      </c>
      <c r="H1268" s="8">
        <f t="shared" si="62"/>
        <v>62.8</v>
      </c>
    </row>
    <row r="1269" spans="1:8" s="2" customFormat="1">
      <c r="A1269" s="7" t="s">
        <v>1240</v>
      </c>
      <c r="B1269" s="7" t="str">
        <f t="shared" si="63"/>
        <v>43</v>
      </c>
      <c r="C1269" s="7" t="str">
        <f>"07"</f>
        <v>07</v>
      </c>
      <c r="D1269" s="7" t="str">
        <f>"20210204307"</f>
        <v>20210204307</v>
      </c>
      <c r="E1269" s="7" t="s">
        <v>1243</v>
      </c>
      <c r="F1269" s="7">
        <v>66</v>
      </c>
      <c r="G1269" s="7">
        <v>80</v>
      </c>
      <c r="H1269" s="8">
        <f t="shared" si="62"/>
        <v>70.199999999999989</v>
      </c>
    </row>
    <row r="1270" spans="1:8" s="2" customFormat="1">
      <c r="A1270" s="7" t="s">
        <v>1240</v>
      </c>
      <c r="B1270" s="7" t="str">
        <f t="shared" si="63"/>
        <v>43</v>
      </c>
      <c r="C1270" s="7" t="str">
        <f>"08"</f>
        <v>08</v>
      </c>
      <c r="D1270" s="7" t="str">
        <f>"20210204308"</f>
        <v>20210204308</v>
      </c>
      <c r="E1270" s="7" t="s">
        <v>1244</v>
      </c>
      <c r="F1270" s="7">
        <v>50.5</v>
      </c>
      <c r="G1270" s="7">
        <v>60</v>
      </c>
      <c r="H1270" s="8">
        <f t="shared" si="62"/>
        <v>53.349999999999994</v>
      </c>
    </row>
    <row r="1271" spans="1:8" s="2" customFormat="1">
      <c r="A1271" s="7" t="s">
        <v>1240</v>
      </c>
      <c r="B1271" s="7" t="str">
        <f t="shared" si="63"/>
        <v>43</v>
      </c>
      <c r="C1271" s="7" t="str">
        <f>"09"</f>
        <v>09</v>
      </c>
      <c r="D1271" s="7" t="str">
        <f>"20210204309"</f>
        <v>20210204309</v>
      </c>
      <c r="E1271" s="7" t="s">
        <v>1245</v>
      </c>
      <c r="F1271" s="7">
        <v>51</v>
      </c>
      <c r="G1271" s="7">
        <v>64</v>
      </c>
      <c r="H1271" s="8">
        <f t="shared" si="62"/>
        <v>54.899999999999991</v>
      </c>
    </row>
    <row r="1272" spans="1:8" s="2" customFormat="1">
      <c r="A1272" s="7" t="s">
        <v>1240</v>
      </c>
      <c r="B1272" s="7" t="str">
        <f t="shared" si="63"/>
        <v>43</v>
      </c>
      <c r="C1272" s="7" t="str">
        <f>"10"</f>
        <v>10</v>
      </c>
      <c r="D1272" s="7" t="str">
        <f>"20210204310"</f>
        <v>20210204310</v>
      </c>
      <c r="E1272" s="7" t="s">
        <v>1246</v>
      </c>
      <c r="F1272" s="7">
        <v>46</v>
      </c>
      <c r="G1272" s="7">
        <v>36</v>
      </c>
      <c r="H1272" s="8">
        <f t="shared" si="62"/>
        <v>42.999999999999993</v>
      </c>
    </row>
    <row r="1273" spans="1:8" s="2" customFormat="1">
      <c r="A1273" s="7" t="s">
        <v>1240</v>
      </c>
      <c r="B1273" s="7" t="str">
        <f t="shared" si="63"/>
        <v>43</v>
      </c>
      <c r="C1273" s="7" t="str">
        <f>"11"</f>
        <v>11</v>
      </c>
      <c r="D1273" s="7" t="str">
        <f>"20210204311"</f>
        <v>20210204311</v>
      </c>
      <c r="E1273" s="7" t="s">
        <v>1247</v>
      </c>
      <c r="F1273" s="7">
        <v>47</v>
      </c>
      <c r="G1273" s="7">
        <v>45</v>
      </c>
      <c r="H1273" s="8">
        <f t="shared" si="62"/>
        <v>46.4</v>
      </c>
    </row>
    <row r="1274" spans="1:8" s="2" customFormat="1">
      <c r="A1274" s="7" t="s">
        <v>1240</v>
      </c>
      <c r="B1274" s="7" t="str">
        <f t="shared" si="63"/>
        <v>43</v>
      </c>
      <c r="C1274" s="7" t="str">
        <f>"12"</f>
        <v>12</v>
      </c>
      <c r="D1274" s="7" t="str">
        <f>"20210204312"</f>
        <v>20210204312</v>
      </c>
      <c r="E1274" s="7" t="s">
        <v>1248</v>
      </c>
      <c r="F1274" s="7">
        <v>0</v>
      </c>
      <c r="G1274" s="7">
        <v>0</v>
      </c>
      <c r="H1274" s="8">
        <f t="shared" si="62"/>
        <v>0</v>
      </c>
    </row>
    <row r="1275" spans="1:8" s="2" customFormat="1">
      <c r="A1275" s="7" t="s">
        <v>1240</v>
      </c>
      <c r="B1275" s="7" t="str">
        <f t="shared" si="63"/>
        <v>43</v>
      </c>
      <c r="C1275" s="7" t="str">
        <f>"13"</f>
        <v>13</v>
      </c>
      <c r="D1275" s="7" t="str">
        <f>"20210204313"</f>
        <v>20210204313</v>
      </c>
      <c r="E1275" s="7" t="s">
        <v>1249</v>
      </c>
      <c r="F1275" s="7">
        <v>56</v>
      </c>
      <c r="G1275" s="7">
        <v>54</v>
      </c>
      <c r="H1275" s="8">
        <f t="shared" si="62"/>
        <v>55.399999999999991</v>
      </c>
    </row>
    <row r="1276" spans="1:8" s="2" customFormat="1">
      <c r="A1276" s="7" t="s">
        <v>1240</v>
      </c>
      <c r="B1276" s="7" t="str">
        <f t="shared" si="63"/>
        <v>43</v>
      </c>
      <c r="C1276" s="7" t="str">
        <f>"14"</f>
        <v>14</v>
      </c>
      <c r="D1276" s="7" t="str">
        <f>"20210204314"</f>
        <v>20210204314</v>
      </c>
      <c r="E1276" s="7" t="s">
        <v>1250</v>
      </c>
      <c r="F1276" s="7">
        <v>38</v>
      </c>
      <c r="G1276" s="7">
        <v>40</v>
      </c>
      <c r="H1276" s="8">
        <f t="shared" si="62"/>
        <v>38.599999999999994</v>
      </c>
    </row>
    <row r="1277" spans="1:8" s="2" customFormat="1">
      <c r="A1277" s="7" t="s">
        <v>1240</v>
      </c>
      <c r="B1277" s="7" t="str">
        <f t="shared" si="63"/>
        <v>43</v>
      </c>
      <c r="C1277" s="7" t="str">
        <f>"15"</f>
        <v>15</v>
      </c>
      <c r="D1277" s="7" t="str">
        <f>"20210204315"</f>
        <v>20210204315</v>
      </c>
      <c r="E1277" s="7" t="s">
        <v>1251</v>
      </c>
      <c r="F1277" s="7">
        <v>73</v>
      </c>
      <c r="G1277" s="7">
        <v>88</v>
      </c>
      <c r="H1277" s="8">
        <f t="shared" si="62"/>
        <v>77.5</v>
      </c>
    </row>
    <row r="1278" spans="1:8" s="2" customFormat="1">
      <c r="A1278" s="7" t="s">
        <v>1240</v>
      </c>
      <c r="B1278" s="7" t="str">
        <f t="shared" si="63"/>
        <v>43</v>
      </c>
      <c r="C1278" s="7" t="str">
        <f>"16"</f>
        <v>16</v>
      </c>
      <c r="D1278" s="7" t="str">
        <f>"20210204316"</f>
        <v>20210204316</v>
      </c>
      <c r="E1278" s="7" t="s">
        <v>1252</v>
      </c>
      <c r="F1278" s="7">
        <v>53</v>
      </c>
      <c r="G1278" s="7">
        <v>61</v>
      </c>
      <c r="H1278" s="8">
        <f t="shared" si="62"/>
        <v>55.399999999999991</v>
      </c>
    </row>
    <row r="1279" spans="1:8" s="2" customFormat="1">
      <c r="A1279" s="7" t="s">
        <v>1240</v>
      </c>
      <c r="B1279" s="7" t="str">
        <f t="shared" si="63"/>
        <v>43</v>
      </c>
      <c r="C1279" s="7" t="str">
        <f>"17"</f>
        <v>17</v>
      </c>
      <c r="D1279" s="7" t="str">
        <f>"20210204317"</f>
        <v>20210204317</v>
      </c>
      <c r="E1279" s="7" t="s">
        <v>1253</v>
      </c>
      <c r="F1279" s="7">
        <v>0</v>
      </c>
      <c r="G1279" s="7">
        <v>0</v>
      </c>
      <c r="H1279" s="8">
        <f t="shared" si="62"/>
        <v>0</v>
      </c>
    </row>
    <row r="1280" spans="1:8" s="2" customFormat="1">
      <c r="A1280" s="7" t="s">
        <v>1240</v>
      </c>
      <c r="B1280" s="7" t="str">
        <f t="shared" si="63"/>
        <v>43</v>
      </c>
      <c r="C1280" s="7" t="str">
        <f>"18"</f>
        <v>18</v>
      </c>
      <c r="D1280" s="7" t="str">
        <f>"20210204318"</f>
        <v>20210204318</v>
      </c>
      <c r="E1280" s="7" t="s">
        <v>1254</v>
      </c>
      <c r="F1280" s="7">
        <v>66</v>
      </c>
      <c r="G1280" s="7">
        <v>65</v>
      </c>
      <c r="H1280" s="8">
        <f t="shared" si="62"/>
        <v>65.699999999999989</v>
      </c>
    </row>
    <row r="1281" spans="1:8" s="2" customFormat="1">
      <c r="A1281" s="7" t="s">
        <v>1240</v>
      </c>
      <c r="B1281" s="7" t="str">
        <f t="shared" si="63"/>
        <v>43</v>
      </c>
      <c r="C1281" s="7" t="str">
        <f>"19"</f>
        <v>19</v>
      </c>
      <c r="D1281" s="7" t="str">
        <f>"20210204319"</f>
        <v>20210204319</v>
      </c>
      <c r="E1281" s="7" t="s">
        <v>1255</v>
      </c>
      <c r="F1281" s="7">
        <v>45</v>
      </c>
      <c r="G1281" s="7">
        <v>39</v>
      </c>
      <c r="H1281" s="8">
        <f t="shared" si="62"/>
        <v>43.199999999999996</v>
      </c>
    </row>
    <row r="1282" spans="1:8" s="2" customFormat="1">
      <c r="A1282" s="7" t="s">
        <v>1240</v>
      </c>
      <c r="B1282" s="7" t="str">
        <f t="shared" si="63"/>
        <v>43</v>
      </c>
      <c r="C1282" s="7" t="str">
        <f>"20"</f>
        <v>20</v>
      </c>
      <c r="D1282" s="7" t="str">
        <f>"20210204320"</f>
        <v>20210204320</v>
      </c>
      <c r="E1282" s="7" t="s">
        <v>1256</v>
      </c>
      <c r="F1282" s="7">
        <v>72</v>
      </c>
      <c r="G1282" s="7">
        <v>78</v>
      </c>
      <c r="H1282" s="8">
        <f t="shared" si="62"/>
        <v>73.8</v>
      </c>
    </row>
    <row r="1283" spans="1:8" s="2" customFormat="1">
      <c r="A1283" s="7" t="s">
        <v>1240</v>
      </c>
      <c r="B1283" s="7" t="str">
        <f t="shared" si="63"/>
        <v>43</v>
      </c>
      <c r="C1283" s="7" t="str">
        <f>"21"</f>
        <v>21</v>
      </c>
      <c r="D1283" s="7" t="str">
        <f>"20210204321"</f>
        <v>20210204321</v>
      </c>
      <c r="E1283" s="7" t="s">
        <v>1257</v>
      </c>
      <c r="F1283" s="7">
        <v>0</v>
      </c>
      <c r="G1283" s="7">
        <v>0</v>
      </c>
      <c r="H1283" s="8">
        <f t="shared" si="62"/>
        <v>0</v>
      </c>
    </row>
    <row r="1284" spans="1:8" s="2" customFormat="1">
      <c r="A1284" s="7" t="s">
        <v>1240</v>
      </c>
      <c r="B1284" s="7" t="str">
        <f t="shared" si="63"/>
        <v>43</v>
      </c>
      <c r="C1284" s="7" t="str">
        <f>"22"</f>
        <v>22</v>
      </c>
      <c r="D1284" s="7" t="str">
        <f>"20210204322"</f>
        <v>20210204322</v>
      </c>
      <c r="E1284" s="7" t="s">
        <v>1258</v>
      </c>
      <c r="F1284" s="7">
        <v>53</v>
      </c>
      <c r="G1284" s="7">
        <v>39</v>
      </c>
      <c r="H1284" s="8">
        <f t="shared" si="62"/>
        <v>48.8</v>
      </c>
    </row>
    <row r="1285" spans="1:8" s="2" customFormat="1">
      <c r="A1285" s="7" t="s">
        <v>1240</v>
      </c>
      <c r="B1285" s="7" t="str">
        <f t="shared" si="63"/>
        <v>43</v>
      </c>
      <c r="C1285" s="7" t="str">
        <f>"23"</f>
        <v>23</v>
      </c>
      <c r="D1285" s="7" t="str">
        <f>"20210204323"</f>
        <v>20210204323</v>
      </c>
      <c r="E1285" s="7" t="s">
        <v>224</v>
      </c>
      <c r="F1285" s="7">
        <v>50</v>
      </c>
      <c r="G1285" s="7">
        <v>77</v>
      </c>
      <c r="H1285" s="8">
        <f t="shared" si="62"/>
        <v>58.099999999999994</v>
      </c>
    </row>
    <row r="1286" spans="1:8" s="2" customFormat="1">
      <c r="A1286" s="7" t="s">
        <v>1240</v>
      </c>
      <c r="B1286" s="7" t="str">
        <f t="shared" si="63"/>
        <v>43</v>
      </c>
      <c r="C1286" s="7" t="str">
        <f>"24"</f>
        <v>24</v>
      </c>
      <c r="D1286" s="7" t="str">
        <f>"20210204324"</f>
        <v>20210204324</v>
      </c>
      <c r="E1286" s="7" t="s">
        <v>1259</v>
      </c>
      <c r="F1286" s="7">
        <v>41</v>
      </c>
      <c r="G1286" s="7">
        <v>35</v>
      </c>
      <c r="H1286" s="8">
        <f t="shared" si="62"/>
        <v>39.200000000000003</v>
      </c>
    </row>
    <row r="1287" spans="1:8" s="2" customFormat="1">
      <c r="A1287" s="7" t="s">
        <v>1240</v>
      </c>
      <c r="B1287" s="7" t="str">
        <f t="shared" si="63"/>
        <v>43</v>
      </c>
      <c r="C1287" s="7" t="str">
        <f>"25"</f>
        <v>25</v>
      </c>
      <c r="D1287" s="7" t="str">
        <f>"20210204325"</f>
        <v>20210204325</v>
      </c>
      <c r="E1287" s="7" t="s">
        <v>1260</v>
      </c>
      <c r="F1287" s="7">
        <v>40</v>
      </c>
      <c r="G1287" s="7">
        <v>34</v>
      </c>
      <c r="H1287" s="8">
        <f t="shared" si="62"/>
        <v>38.200000000000003</v>
      </c>
    </row>
    <row r="1288" spans="1:8" s="2" customFormat="1">
      <c r="A1288" s="7" t="s">
        <v>1240</v>
      </c>
      <c r="B1288" s="7" t="str">
        <f t="shared" si="63"/>
        <v>43</v>
      </c>
      <c r="C1288" s="7" t="str">
        <f>"26"</f>
        <v>26</v>
      </c>
      <c r="D1288" s="7" t="str">
        <f>"20210204326"</f>
        <v>20210204326</v>
      </c>
      <c r="E1288" s="7" t="s">
        <v>1261</v>
      </c>
      <c r="F1288" s="7">
        <v>40</v>
      </c>
      <c r="G1288" s="7">
        <v>44</v>
      </c>
      <c r="H1288" s="8">
        <f t="shared" si="62"/>
        <v>41.2</v>
      </c>
    </row>
    <row r="1289" spans="1:8" s="2" customFormat="1">
      <c r="A1289" s="7" t="s">
        <v>1240</v>
      </c>
      <c r="B1289" s="7" t="str">
        <f t="shared" si="63"/>
        <v>43</v>
      </c>
      <c r="C1289" s="7" t="str">
        <f>"27"</f>
        <v>27</v>
      </c>
      <c r="D1289" s="7" t="str">
        <f>"20210204327"</f>
        <v>20210204327</v>
      </c>
      <c r="E1289" s="7" t="s">
        <v>1262</v>
      </c>
      <c r="F1289" s="7">
        <v>44</v>
      </c>
      <c r="G1289" s="7">
        <v>41</v>
      </c>
      <c r="H1289" s="8">
        <f t="shared" si="62"/>
        <v>43.099999999999994</v>
      </c>
    </row>
    <row r="1290" spans="1:8" s="2" customFormat="1">
      <c r="A1290" s="7" t="s">
        <v>1240</v>
      </c>
      <c r="B1290" s="7" t="str">
        <f t="shared" si="63"/>
        <v>43</v>
      </c>
      <c r="C1290" s="7" t="str">
        <f>"28"</f>
        <v>28</v>
      </c>
      <c r="D1290" s="7" t="str">
        <f>"20210204328"</f>
        <v>20210204328</v>
      </c>
      <c r="E1290" s="7" t="s">
        <v>401</v>
      </c>
      <c r="F1290" s="7">
        <v>0</v>
      </c>
      <c r="G1290" s="7">
        <v>0</v>
      </c>
      <c r="H1290" s="8">
        <f t="shared" si="62"/>
        <v>0</v>
      </c>
    </row>
    <row r="1291" spans="1:8" s="2" customFormat="1">
      <c r="A1291" s="7" t="s">
        <v>1240</v>
      </c>
      <c r="B1291" s="7" t="str">
        <f t="shared" si="63"/>
        <v>43</v>
      </c>
      <c r="C1291" s="7" t="str">
        <f>"29"</f>
        <v>29</v>
      </c>
      <c r="D1291" s="7" t="str">
        <f>"20210204329"</f>
        <v>20210204329</v>
      </c>
      <c r="E1291" s="7" t="s">
        <v>1263</v>
      </c>
      <c r="F1291" s="7">
        <v>62</v>
      </c>
      <c r="G1291" s="7">
        <v>64</v>
      </c>
      <c r="H1291" s="8">
        <f t="shared" si="62"/>
        <v>62.599999999999994</v>
      </c>
    </row>
    <row r="1292" spans="1:8" s="2" customFormat="1">
      <c r="A1292" s="7" t="s">
        <v>1240</v>
      </c>
      <c r="B1292" s="7" t="str">
        <f t="shared" si="63"/>
        <v>43</v>
      </c>
      <c r="C1292" s="7" t="str">
        <f>"30"</f>
        <v>30</v>
      </c>
      <c r="D1292" s="7" t="str">
        <f>"20210204330"</f>
        <v>20210204330</v>
      </c>
      <c r="E1292" s="7" t="s">
        <v>1264</v>
      </c>
      <c r="F1292" s="7">
        <v>0</v>
      </c>
      <c r="G1292" s="7">
        <v>0</v>
      </c>
      <c r="H1292" s="8">
        <f t="shared" si="62"/>
        <v>0</v>
      </c>
    </row>
    <row r="1293" spans="1:8" s="2" customFormat="1">
      <c r="A1293" s="7" t="s">
        <v>1240</v>
      </c>
      <c r="B1293" s="7" t="str">
        <f t="shared" ref="B1293:B1322" si="64">"44"</f>
        <v>44</v>
      </c>
      <c r="C1293" s="7" t="str">
        <f>"01"</f>
        <v>01</v>
      </c>
      <c r="D1293" s="7" t="str">
        <f>"20210204401"</f>
        <v>20210204401</v>
      </c>
      <c r="E1293" s="7" t="s">
        <v>1265</v>
      </c>
      <c r="F1293" s="7">
        <v>35</v>
      </c>
      <c r="G1293" s="7">
        <v>48</v>
      </c>
      <c r="H1293" s="8">
        <f t="shared" si="62"/>
        <v>38.9</v>
      </c>
    </row>
    <row r="1294" spans="1:8" s="2" customFormat="1">
      <c r="A1294" s="7" t="s">
        <v>1240</v>
      </c>
      <c r="B1294" s="7" t="str">
        <f t="shared" si="64"/>
        <v>44</v>
      </c>
      <c r="C1294" s="7" t="str">
        <f>"02"</f>
        <v>02</v>
      </c>
      <c r="D1294" s="7" t="str">
        <f>"20210204402"</f>
        <v>20210204402</v>
      </c>
      <c r="E1294" s="7" t="s">
        <v>1266</v>
      </c>
      <c r="F1294" s="7">
        <v>66.5</v>
      </c>
      <c r="G1294" s="7">
        <v>87</v>
      </c>
      <c r="H1294" s="8">
        <f t="shared" si="62"/>
        <v>72.649999999999991</v>
      </c>
    </row>
    <row r="1295" spans="1:8" s="2" customFormat="1">
      <c r="A1295" s="7" t="s">
        <v>1240</v>
      </c>
      <c r="B1295" s="7" t="str">
        <f t="shared" si="64"/>
        <v>44</v>
      </c>
      <c r="C1295" s="7" t="str">
        <f>"03"</f>
        <v>03</v>
      </c>
      <c r="D1295" s="7" t="str">
        <f>"20210204403"</f>
        <v>20210204403</v>
      </c>
      <c r="E1295" s="7" t="s">
        <v>1267</v>
      </c>
      <c r="F1295" s="7">
        <v>58.5</v>
      </c>
      <c r="G1295" s="7">
        <v>61</v>
      </c>
      <c r="H1295" s="8">
        <f t="shared" si="62"/>
        <v>59.25</v>
      </c>
    </row>
    <row r="1296" spans="1:8" s="2" customFormat="1">
      <c r="A1296" s="7" t="s">
        <v>1268</v>
      </c>
      <c r="B1296" s="7" t="str">
        <f t="shared" si="64"/>
        <v>44</v>
      </c>
      <c r="C1296" s="7" t="str">
        <f>"04"</f>
        <v>04</v>
      </c>
      <c r="D1296" s="7" t="str">
        <f>"20210214404"</f>
        <v>20210214404</v>
      </c>
      <c r="E1296" s="7" t="s">
        <v>1269</v>
      </c>
      <c r="F1296" s="7">
        <v>51</v>
      </c>
      <c r="G1296" s="7">
        <v>47</v>
      </c>
      <c r="H1296" s="8">
        <f t="shared" si="62"/>
        <v>49.8</v>
      </c>
    </row>
    <row r="1297" spans="1:8" s="2" customFormat="1">
      <c r="A1297" s="7" t="s">
        <v>1268</v>
      </c>
      <c r="B1297" s="7" t="str">
        <f t="shared" si="64"/>
        <v>44</v>
      </c>
      <c r="C1297" s="7" t="str">
        <f>"05"</f>
        <v>05</v>
      </c>
      <c r="D1297" s="7" t="str">
        <f>"20210214405"</f>
        <v>20210214405</v>
      </c>
      <c r="E1297" s="7" t="s">
        <v>831</v>
      </c>
      <c r="F1297" s="7">
        <v>62.5</v>
      </c>
      <c r="G1297" s="7">
        <v>55</v>
      </c>
      <c r="H1297" s="8">
        <f t="shared" si="62"/>
        <v>60.25</v>
      </c>
    </row>
    <row r="1298" spans="1:8" s="2" customFormat="1">
      <c r="A1298" s="7" t="s">
        <v>1268</v>
      </c>
      <c r="B1298" s="7" t="str">
        <f t="shared" si="64"/>
        <v>44</v>
      </c>
      <c r="C1298" s="7" t="str">
        <f>"06"</f>
        <v>06</v>
      </c>
      <c r="D1298" s="7" t="str">
        <f>"20210214406"</f>
        <v>20210214406</v>
      </c>
      <c r="E1298" s="7" t="s">
        <v>1270</v>
      </c>
      <c r="F1298" s="7">
        <v>0</v>
      </c>
      <c r="G1298" s="7">
        <v>0</v>
      </c>
      <c r="H1298" s="8">
        <f t="shared" si="62"/>
        <v>0</v>
      </c>
    </row>
    <row r="1299" spans="1:8" s="2" customFormat="1">
      <c r="A1299" s="7" t="s">
        <v>1268</v>
      </c>
      <c r="B1299" s="7" t="str">
        <f t="shared" si="64"/>
        <v>44</v>
      </c>
      <c r="C1299" s="7" t="str">
        <f>"07"</f>
        <v>07</v>
      </c>
      <c r="D1299" s="7" t="str">
        <f>"20210214407"</f>
        <v>20210214407</v>
      </c>
      <c r="E1299" s="7" t="s">
        <v>1271</v>
      </c>
      <c r="F1299" s="7">
        <v>72.5</v>
      </c>
      <c r="G1299" s="7">
        <v>56</v>
      </c>
      <c r="H1299" s="8">
        <f t="shared" si="62"/>
        <v>67.55</v>
      </c>
    </row>
    <row r="1300" spans="1:8" s="2" customFormat="1">
      <c r="A1300" s="7" t="s">
        <v>1268</v>
      </c>
      <c r="B1300" s="7" t="str">
        <f t="shared" si="64"/>
        <v>44</v>
      </c>
      <c r="C1300" s="7" t="str">
        <f>"08"</f>
        <v>08</v>
      </c>
      <c r="D1300" s="7" t="str">
        <f>"20210214408"</f>
        <v>20210214408</v>
      </c>
      <c r="E1300" s="7" t="s">
        <v>1103</v>
      </c>
      <c r="F1300" s="7">
        <v>37.5</v>
      </c>
      <c r="G1300" s="7">
        <v>34</v>
      </c>
      <c r="H1300" s="8">
        <f t="shared" si="62"/>
        <v>36.450000000000003</v>
      </c>
    </row>
    <row r="1301" spans="1:8" s="2" customFormat="1">
      <c r="A1301" s="7" t="s">
        <v>1268</v>
      </c>
      <c r="B1301" s="7" t="str">
        <f t="shared" si="64"/>
        <v>44</v>
      </c>
      <c r="C1301" s="7" t="str">
        <f>"09"</f>
        <v>09</v>
      </c>
      <c r="D1301" s="7" t="str">
        <f>"20210214409"</f>
        <v>20210214409</v>
      </c>
      <c r="E1301" s="7" t="s">
        <v>1272</v>
      </c>
      <c r="F1301" s="7">
        <v>40</v>
      </c>
      <c r="G1301" s="7">
        <v>52</v>
      </c>
      <c r="H1301" s="8">
        <f t="shared" si="62"/>
        <v>43.6</v>
      </c>
    </row>
    <row r="1302" spans="1:8" s="2" customFormat="1">
      <c r="A1302" s="7" t="s">
        <v>1268</v>
      </c>
      <c r="B1302" s="7" t="str">
        <f t="shared" si="64"/>
        <v>44</v>
      </c>
      <c r="C1302" s="7" t="str">
        <f>"10"</f>
        <v>10</v>
      </c>
      <c r="D1302" s="7" t="str">
        <f>"20210214410"</f>
        <v>20210214410</v>
      </c>
      <c r="E1302" s="7" t="s">
        <v>1273</v>
      </c>
      <c r="F1302" s="7">
        <v>53</v>
      </c>
      <c r="G1302" s="7">
        <v>75</v>
      </c>
      <c r="H1302" s="8">
        <f t="shared" si="62"/>
        <v>59.599999999999994</v>
      </c>
    </row>
    <row r="1303" spans="1:8" s="2" customFormat="1">
      <c r="A1303" s="7" t="s">
        <v>1268</v>
      </c>
      <c r="B1303" s="7" t="str">
        <f t="shared" si="64"/>
        <v>44</v>
      </c>
      <c r="C1303" s="7" t="str">
        <f>"11"</f>
        <v>11</v>
      </c>
      <c r="D1303" s="7" t="str">
        <f>"20210214411"</f>
        <v>20210214411</v>
      </c>
      <c r="E1303" s="7" t="s">
        <v>1274</v>
      </c>
      <c r="F1303" s="7">
        <v>53</v>
      </c>
      <c r="G1303" s="7">
        <v>39</v>
      </c>
      <c r="H1303" s="8">
        <f t="shared" si="62"/>
        <v>48.8</v>
      </c>
    </row>
    <row r="1304" spans="1:8" s="2" customFormat="1">
      <c r="A1304" s="7" t="s">
        <v>1268</v>
      </c>
      <c r="B1304" s="7" t="str">
        <f t="shared" si="64"/>
        <v>44</v>
      </c>
      <c r="C1304" s="7" t="str">
        <f>"12"</f>
        <v>12</v>
      </c>
      <c r="D1304" s="7" t="str">
        <f>"20210214412"</f>
        <v>20210214412</v>
      </c>
      <c r="E1304" s="7" t="s">
        <v>1275</v>
      </c>
      <c r="F1304" s="7">
        <v>45</v>
      </c>
      <c r="G1304" s="7">
        <v>41</v>
      </c>
      <c r="H1304" s="8">
        <f t="shared" si="62"/>
        <v>43.8</v>
      </c>
    </row>
    <row r="1305" spans="1:8" s="2" customFormat="1">
      <c r="A1305" s="7" t="s">
        <v>1268</v>
      </c>
      <c r="B1305" s="7" t="str">
        <f t="shared" si="64"/>
        <v>44</v>
      </c>
      <c r="C1305" s="7" t="str">
        <f>"13"</f>
        <v>13</v>
      </c>
      <c r="D1305" s="7" t="str">
        <f>"20210214413"</f>
        <v>20210214413</v>
      </c>
      <c r="E1305" s="7" t="s">
        <v>1276</v>
      </c>
      <c r="F1305" s="7">
        <v>66</v>
      </c>
      <c r="G1305" s="7">
        <v>74</v>
      </c>
      <c r="H1305" s="8">
        <f t="shared" si="62"/>
        <v>68.399999999999991</v>
      </c>
    </row>
    <row r="1306" spans="1:8" s="2" customFormat="1">
      <c r="A1306" s="7" t="s">
        <v>1268</v>
      </c>
      <c r="B1306" s="7" t="str">
        <f t="shared" si="64"/>
        <v>44</v>
      </c>
      <c r="C1306" s="7" t="str">
        <f>"14"</f>
        <v>14</v>
      </c>
      <c r="D1306" s="7" t="str">
        <f>"20210214414"</f>
        <v>20210214414</v>
      </c>
      <c r="E1306" s="7" t="s">
        <v>1277</v>
      </c>
      <c r="F1306" s="7">
        <v>51.5</v>
      </c>
      <c r="G1306" s="7">
        <v>58</v>
      </c>
      <c r="H1306" s="8">
        <f t="shared" si="62"/>
        <v>53.449999999999996</v>
      </c>
    </row>
    <row r="1307" spans="1:8" s="2" customFormat="1">
      <c r="A1307" s="7" t="s">
        <v>1268</v>
      </c>
      <c r="B1307" s="7" t="str">
        <f t="shared" si="64"/>
        <v>44</v>
      </c>
      <c r="C1307" s="7" t="str">
        <f>"15"</f>
        <v>15</v>
      </c>
      <c r="D1307" s="7" t="str">
        <f>"20210214415"</f>
        <v>20210214415</v>
      </c>
      <c r="E1307" s="7" t="s">
        <v>1278</v>
      </c>
      <c r="F1307" s="7">
        <v>56</v>
      </c>
      <c r="G1307" s="7">
        <v>52</v>
      </c>
      <c r="H1307" s="8">
        <f t="shared" si="62"/>
        <v>54.8</v>
      </c>
    </row>
    <row r="1308" spans="1:8" s="2" customFormat="1">
      <c r="A1308" s="7" t="s">
        <v>1268</v>
      </c>
      <c r="B1308" s="7" t="str">
        <f t="shared" si="64"/>
        <v>44</v>
      </c>
      <c r="C1308" s="7" t="str">
        <f>"16"</f>
        <v>16</v>
      </c>
      <c r="D1308" s="7" t="str">
        <f>"20210214416"</f>
        <v>20210214416</v>
      </c>
      <c r="E1308" s="7" t="s">
        <v>1279</v>
      </c>
      <c r="F1308" s="7">
        <v>62.5</v>
      </c>
      <c r="G1308" s="7">
        <v>61</v>
      </c>
      <c r="H1308" s="8">
        <f t="shared" si="62"/>
        <v>62.05</v>
      </c>
    </row>
    <row r="1309" spans="1:8" s="2" customFormat="1">
      <c r="A1309" s="7" t="s">
        <v>1268</v>
      </c>
      <c r="B1309" s="7" t="str">
        <f t="shared" si="64"/>
        <v>44</v>
      </c>
      <c r="C1309" s="7" t="str">
        <f>"17"</f>
        <v>17</v>
      </c>
      <c r="D1309" s="7" t="str">
        <f>"20210214417"</f>
        <v>20210214417</v>
      </c>
      <c r="E1309" s="7" t="s">
        <v>1280</v>
      </c>
      <c r="F1309" s="7">
        <v>35.5</v>
      </c>
      <c r="G1309" s="7">
        <v>75</v>
      </c>
      <c r="H1309" s="8">
        <f t="shared" si="62"/>
        <v>47.349999999999994</v>
      </c>
    </row>
    <row r="1310" spans="1:8" s="2" customFormat="1">
      <c r="A1310" s="7" t="s">
        <v>1268</v>
      </c>
      <c r="B1310" s="7" t="str">
        <f t="shared" si="64"/>
        <v>44</v>
      </c>
      <c r="C1310" s="7" t="str">
        <f>"18"</f>
        <v>18</v>
      </c>
      <c r="D1310" s="7" t="str">
        <f>"20210214418"</f>
        <v>20210214418</v>
      </c>
      <c r="E1310" s="7" t="s">
        <v>1281</v>
      </c>
      <c r="F1310" s="7">
        <v>68</v>
      </c>
      <c r="G1310" s="7">
        <v>75</v>
      </c>
      <c r="H1310" s="8">
        <f t="shared" si="62"/>
        <v>70.099999999999994</v>
      </c>
    </row>
    <row r="1311" spans="1:8" s="2" customFormat="1">
      <c r="A1311" s="7" t="s">
        <v>1268</v>
      </c>
      <c r="B1311" s="7" t="str">
        <f t="shared" si="64"/>
        <v>44</v>
      </c>
      <c r="C1311" s="7" t="str">
        <f>"19"</f>
        <v>19</v>
      </c>
      <c r="D1311" s="7" t="str">
        <f>"20210214419"</f>
        <v>20210214419</v>
      </c>
      <c r="E1311" s="7" t="s">
        <v>1282</v>
      </c>
      <c r="F1311" s="7">
        <v>66.5</v>
      </c>
      <c r="G1311" s="7">
        <v>66</v>
      </c>
      <c r="H1311" s="8">
        <f t="shared" si="62"/>
        <v>66.349999999999994</v>
      </c>
    </row>
    <row r="1312" spans="1:8" s="2" customFormat="1">
      <c r="A1312" s="7" t="s">
        <v>1268</v>
      </c>
      <c r="B1312" s="7" t="str">
        <f t="shared" si="64"/>
        <v>44</v>
      </c>
      <c r="C1312" s="7" t="str">
        <f>"20"</f>
        <v>20</v>
      </c>
      <c r="D1312" s="7" t="str">
        <f>"20210214420"</f>
        <v>20210214420</v>
      </c>
      <c r="E1312" s="7" t="s">
        <v>1283</v>
      </c>
      <c r="F1312" s="7">
        <v>44.5</v>
      </c>
      <c r="G1312" s="7">
        <v>57</v>
      </c>
      <c r="H1312" s="8">
        <f t="shared" si="62"/>
        <v>48.25</v>
      </c>
    </row>
    <row r="1313" spans="1:8" s="2" customFormat="1">
      <c r="A1313" s="7" t="s">
        <v>1268</v>
      </c>
      <c r="B1313" s="7" t="str">
        <f t="shared" si="64"/>
        <v>44</v>
      </c>
      <c r="C1313" s="7" t="str">
        <f>"21"</f>
        <v>21</v>
      </c>
      <c r="D1313" s="7" t="str">
        <f>"20210214421"</f>
        <v>20210214421</v>
      </c>
      <c r="E1313" s="7" t="s">
        <v>1284</v>
      </c>
      <c r="F1313" s="7">
        <v>73.5</v>
      </c>
      <c r="G1313" s="7">
        <v>54</v>
      </c>
      <c r="H1313" s="8">
        <f t="shared" si="62"/>
        <v>67.649999999999991</v>
      </c>
    </row>
    <row r="1314" spans="1:8" s="2" customFormat="1">
      <c r="A1314" s="7" t="s">
        <v>1268</v>
      </c>
      <c r="B1314" s="7" t="str">
        <f t="shared" si="64"/>
        <v>44</v>
      </c>
      <c r="C1314" s="7" t="str">
        <f>"22"</f>
        <v>22</v>
      </c>
      <c r="D1314" s="7" t="str">
        <f>"20210214422"</f>
        <v>20210214422</v>
      </c>
      <c r="E1314" s="7" t="s">
        <v>1285</v>
      </c>
      <c r="F1314" s="7">
        <v>60.5</v>
      </c>
      <c r="G1314" s="7">
        <v>51</v>
      </c>
      <c r="H1314" s="8">
        <f t="shared" ref="H1314:H1377" si="65">F1314*0.7+G1314*0.3</f>
        <v>57.649999999999991</v>
      </c>
    </row>
    <row r="1315" spans="1:8" s="2" customFormat="1">
      <c r="A1315" s="7" t="s">
        <v>1268</v>
      </c>
      <c r="B1315" s="7" t="str">
        <f t="shared" si="64"/>
        <v>44</v>
      </c>
      <c r="C1315" s="7" t="str">
        <f>"23"</f>
        <v>23</v>
      </c>
      <c r="D1315" s="7" t="str">
        <f>"20210214423"</f>
        <v>20210214423</v>
      </c>
      <c r="E1315" s="7" t="s">
        <v>1286</v>
      </c>
      <c r="F1315" s="7">
        <v>67.5</v>
      </c>
      <c r="G1315" s="7">
        <v>62</v>
      </c>
      <c r="H1315" s="8">
        <f t="shared" si="65"/>
        <v>65.849999999999994</v>
      </c>
    </row>
    <row r="1316" spans="1:8" s="2" customFormat="1">
      <c r="A1316" s="7" t="s">
        <v>1268</v>
      </c>
      <c r="B1316" s="7" t="str">
        <f t="shared" si="64"/>
        <v>44</v>
      </c>
      <c r="C1316" s="7" t="str">
        <f>"24"</f>
        <v>24</v>
      </c>
      <c r="D1316" s="7" t="str">
        <f>"20210214424"</f>
        <v>20210214424</v>
      </c>
      <c r="E1316" s="7" t="s">
        <v>1287</v>
      </c>
      <c r="F1316" s="7">
        <v>45.5</v>
      </c>
      <c r="G1316" s="7">
        <v>61</v>
      </c>
      <c r="H1316" s="8">
        <f t="shared" si="65"/>
        <v>50.15</v>
      </c>
    </row>
    <row r="1317" spans="1:8" s="2" customFormat="1">
      <c r="A1317" s="7" t="s">
        <v>1268</v>
      </c>
      <c r="B1317" s="7" t="str">
        <f t="shared" si="64"/>
        <v>44</v>
      </c>
      <c r="C1317" s="7" t="str">
        <f>"25"</f>
        <v>25</v>
      </c>
      <c r="D1317" s="7" t="str">
        <f>"20210214425"</f>
        <v>20210214425</v>
      </c>
      <c r="E1317" s="7" t="s">
        <v>1288</v>
      </c>
      <c r="F1317" s="7">
        <v>55</v>
      </c>
      <c r="G1317" s="7">
        <v>69</v>
      </c>
      <c r="H1317" s="8">
        <f t="shared" si="65"/>
        <v>59.2</v>
      </c>
    </row>
    <row r="1318" spans="1:8" s="2" customFormat="1">
      <c r="A1318" s="7" t="s">
        <v>1268</v>
      </c>
      <c r="B1318" s="7" t="str">
        <f t="shared" si="64"/>
        <v>44</v>
      </c>
      <c r="C1318" s="7" t="str">
        <f>"26"</f>
        <v>26</v>
      </c>
      <c r="D1318" s="7" t="str">
        <f>"20210214426"</f>
        <v>20210214426</v>
      </c>
      <c r="E1318" s="7" t="s">
        <v>1289</v>
      </c>
      <c r="F1318" s="7">
        <v>46</v>
      </c>
      <c r="G1318" s="7">
        <v>33</v>
      </c>
      <c r="H1318" s="8">
        <f t="shared" si="65"/>
        <v>42.099999999999994</v>
      </c>
    </row>
    <row r="1319" spans="1:8" s="2" customFormat="1">
      <c r="A1319" s="7" t="s">
        <v>1268</v>
      </c>
      <c r="B1319" s="7" t="str">
        <f t="shared" si="64"/>
        <v>44</v>
      </c>
      <c r="C1319" s="7" t="str">
        <f>"27"</f>
        <v>27</v>
      </c>
      <c r="D1319" s="7" t="str">
        <f>"20210214427"</f>
        <v>20210214427</v>
      </c>
      <c r="E1319" s="7" t="s">
        <v>1290</v>
      </c>
      <c r="F1319" s="7">
        <v>48</v>
      </c>
      <c r="G1319" s="7">
        <v>71</v>
      </c>
      <c r="H1319" s="8">
        <f t="shared" si="65"/>
        <v>54.899999999999991</v>
      </c>
    </row>
    <row r="1320" spans="1:8" s="2" customFormat="1">
      <c r="A1320" s="7" t="s">
        <v>1268</v>
      </c>
      <c r="B1320" s="7" t="str">
        <f t="shared" si="64"/>
        <v>44</v>
      </c>
      <c r="C1320" s="7" t="str">
        <f>"28"</f>
        <v>28</v>
      </c>
      <c r="D1320" s="7" t="str">
        <f>"20210214428"</f>
        <v>20210214428</v>
      </c>
      <c r="E1320" s="7" t="s">
        <v>1291</v>
      </c>
      <c r="F1320" s="7">
        <v>58.5</v>
      </c>
      <c r="G1320" s="7">
        <v>72</v>
      </c>
      <c r="H1320" s="8">
        <f t="shared" si="65"/>
        <v>62.55</v>
      </c>
    </row>
    <row r="1321" spans="1:8" s="2" customFormat="1">
      <c r="A1321" s="7" t="s">
        <v>1268</v>
      </c>
      <c r="B1321" s="7" t="str">
        <f t="shared" si="64"/>
        <v>44</v>
      </c>
      <c r="C1321" s="7" t="str">
        <f>"29"</f>
        <v>29</v>
      </c>
      <c r="D1321" s="7" t="str">
        <f>"20210214429"</f>
        <v>20210214429</v>
      </c>
      <c r="E1321" s="7" t="s">
        <v>645</v>
      </c>
      <c r="F1321" s="7">
        <v>71</v>
      </c>
      <c r="G1321" s="7">
        <v>68</v>
      </c>
      <c r="H1321" s="8">
        <f t="shared" si="65"/>
        <v>70.099999999999994</v>
      </c>
    </row>
    <row r="1322" spans="1:8" s="2" customFormat="1">
      <c r="A1322" s="7" t="s">
        <v>1268</v>
      </c>
      <c r="B1322" s="7" t="str">
        <f t="shared" si="64"/>
        <v>44</v>
      </c>
      <c r="C1322" s="7" t="str">
        <f>"30"</f>
        <v>30</v>
      </c>
      <c r="D1322" s="7" t="str">
        <f>"20210214430"</f>
        <v>20210214430</v>
      </c>
      <c r="E1322" s="7" t="s">
        <v>1292</v>
      </c>
      <c r="F1322" s="7">
        <v>69</v>
      </c>
      <c r="G1322" s="7">
        <v>55</v>
      </c>
      <c r="H1322" s="8">
        <f t="shared" si="65"/>
        <v>64.8</v>
      </c>
    </row>
    <row r="1323" spans="1:8" s="2" customFormat="1">
      <c r="A1323" s="7" t="s">
        <v>1268</v>
      </c>
      <c r="B1323" s="7" t="str">
        <f t="shared" ref="B1323:B1352" si="66">"45"</f>
        <v>45</v>
      </c>
      <c r="C1323" s="7" t="str">
        <f>"01"</f>
        <v>01</v>
      </c>
      <c r="D1323" s="7" t="str">
        <f>"20210214501"</f>
        <v>20210214501</v>
      </c>
      <c r="E1323" s="7" t="s">
        <v>1293</v>
      </c>
      <c r="F1323" s="7">
        <v>67.5</v>
      </c>
      <c r="G1323" s="7">
        <v>89</v>
      </c>
      <c r="H1323" s="8">
        <f t="shared" si="65"/>
        <v>73.95</v>
      </c>
    </row>
    <row r="1324" spans="1:8" s="2" customFormat="1">
      <c r="A1324" s="7" t="s">
        <v>1268</v>
      </c>
      <c r="B1324" s="7" t="str">
        <f t="shared" si="66"/>
        <v>45</v>
      </c>
      <c r="C1324" s="7" t="str">
        <f>"02"</f>
        <v>02</v>
      </c>
      <c r="D1324" s="7" t="str">
        <f>"20210214502"</f>
        <v>20210214502</v>
      </c>
      <c r="E1324" s="7" t="s">
        <v>1294</v>
      </c>
      <c r="F1324" s="7">
        <v>55.5</v>
      </c>
      <c r="G1324" s="7">
        <v>37</v>
      </c>
      <c r="H1324" s="8">
        <f t="shared" si="65"/>
        <v>49.949999999999996</v>
      </c>
    </row>
    <row r="1325" spans="1:8" s="2" customFormat="1">
      <c r="A1325" s="7" t="s">
        <v>1268</v>
      </c>
      <c r="B1325" s="7" t="str">
        <f t="shared" si="66"/>
        <v>45</v>
      </c>
      <c r="C1325" s="7" t="str">
        <f>"03"</f>
        <v>03</v>
      </c>
      <c r="D1325" s="7" t="str">
        <f>"20210214503"</f>
        <v>20210214503</v>
      </c>
      <c r="E1325" s="7" t="s">
        <v>1295</v>
      </c>
      <c r="F1325" s="7">
        <v>66</v>
      </c>
      <c r="G1325" s="7">
        <v>71</v>
      </c>
      <c r="H1325" s="8">
        <f t="shared" si="65"/>
        <v>67.5</v>
      </c>
    </row>
    <row r="1326" spans="1:8" s="2" customFormat="1">
      <c r="A1326" s="7" t="s">
        <v>1268</v>
      </c>
      <c r="B1326" s="7" t="str">
        <f t="shared" si="66"/>
        <v>45</v>
      </c>
      <c r="C1326" s="7" t="str">
        <f>"04"</f>
        <v>04</v>
      </c>
      <c r="D1326" s="7" t="str">
        <f>"20210214504"</f>
        <v>20210214504</v>
      </c>
      <c r="E1326" s="7" t="s">
        <v>1296</v>
      </c>
      <c r="F1326" s="7">
        <v>51</v>
      </c>
      <c r="G1326" s="7">
        <v>73</v>
      </c>
      <c r="H1326" s="8">
        <f t="shared" si="65"/>
        <v>57.599999999999994</v>
      </c>
    </row>
    <row r="1327" spans="1:8" s="2" customFormat="1">
      <c r="A1327" s="7" t="s">
        <v>1268</v>
      </c>
      <c r="B1327" s="7" t="str">
        <f t="shared" si="66"/>
        <v>45</v>
      </c>
      <c r="C1327" s="7" t="str">
        <f>"05"</f>
        <v>05</v>
      </c>
      <c r="D1327" s="7" t="str">
        <f>"20210214505"</f>
        <v>20210214505</v>
      </c>
      <c r="E1327" s="7" t="s">
        <v>1297</v>
      </c>
      <c r="F1327" s="7">
        <v>56</v>
      </c>
      <c r="G1327" s="7">
        <v>68</v>
      </c>
      <c r="H1327" s="8">
        <f t="shared" si="65"/>
        <v>59.599999999999994</v>
      </c>
    </row>
    <row r="1328" spans="1:8" s="2" customFormat="1">
      <c r="A1328" s="7" t="s">
        <v>1268</v>
      </c>
      <c r="B1328" s="7" t="str">
        <f t="shared" si="66"/>
        <v>45</v>
      </c>
      <c r="C1328" s="7" t="str">
        <f>"06"</f>
        <v>06</v>
      </c>
      <c r="D1328" s="7" t="str">
        <f>"20210214506"</f>
        <v>20210214506</v>
      </c>
      <c r="E1328" s="7" t="s">
        <v>1298</v>
      </c>
      <c r="F1328" s="7">
        <v>41</v>
      </c>
      <c r="G1328" s="7">
        <v>32</v>
      </c>
      <c r="H1328" s="8">
        <f t="shared" si="65"/>
        <v>38.299999999999997</v>
      </c>
    </row>
    <row r="1329" spans="1:8" s="2" customFormat="1">
      <c r="A1329" s="7" t="s">
        <v>1268</v>
      </c>
      <c r="B1329" s="7" t="str">
        <f t="shared" si="66"/>
        <v>45</v>
      </c>
      <c r="C1329" s="7" t="str">
        <f>"07"</f>
        <v>07</v>
      </c>
      <c r="D1329" s="7" t="str">
        <f>"20210214507"</f>
        <v>20210214507</v>
      </c>
      <c r="E1329" s="7" t="s">
        <v>1299</v>
      </c>
      <c r="F1329" s="7">
        <v>77</v>
      </c>
      <c r="G1329" s="7">
        <v>67</v>
      </c>
      <c r="H1329" s="8">
        <f t="shared" si="65"/>
        <v>74</v>
      </c>
    </row>
    <row r="1330" spans="1:8" s="2" customFormat="1">
      <c r="A1330" s="7" t="s">
        <v>1268</v>
      </c>
      <c r="B1330" s="7" t="str">
        <f t="shared" si="66"/>
        <v>45</v>
      </c>
      <c r="C1330" s="7" t="str">
        <f>"08"</f>
        <v>08</v>
      </c>
      <c r="D1330" s="7" t="str">
        <f>"20210214508"</f>
        <v>20210214508</v>
      </c>
      <c r="E1330" s="7" t="s">
        <v>1300</v>
      </c>
      <c r="F1330" s="7">
        <v>44</v>
      </c>
      <c r="G1330" s="7">
        <v>41</v>
      </c>
      <c r="H1330" s="8">
        <f t="shared" si="65"/>
        <v>43.099999999999994</v>
      </c>
    </row>
    <row r="1331" spans="1:8" s="2" customFormat="1">
      <c r="A1331" s="7" t="s">
        <v>1268</v>
      </c>
      <c r="B1331" s="7" t="str">
        <f t="shared" si="66"/>
        <v>45</v>
      </c>
      <c r="C1331" s="7" t="str">
        <f>"09"</f>
        <v>09</v>
      </c>
      <c r="D1331" s="7" t="str">
        <f>"20210214509"</f>
        <v>20210214509</v>
      </c>
      <c r="E1331" s="7" t="s">
        <v>1301</v>
      </c>
      <c r="F1331" s="7">
        <v>67</v>
      </c>
      <c r="G1331" s="7">
        <v>84</v>
      </c>
      <c r="H1331" s="8">
        <f t="shared" si="65"/>
        <v>72.099999999999994</v>
      </c>
    </row>
    <row r="1332" spans="1:8" s="2" customFormat="1">
      <c r="A1332" s="7" t="s">
        <v>1268</v>
      </c>
      <c r="B1332" s="7" t="str">
        <f t="shared" si="66"/>
        <v>45</v>
      </c>
      <c r="C1332" s="7" t="str">
        <f>"10"</f>
        <v>10</v>
      </c>
      <c r="D1332" s="7" t="str">
        <f>"20210214510"</f>
        <v>20210214510</v>
      </c>
      <c r="E1332" s="7" t="s">
        <v>1302</v>
      </c>
      <c r="F1332" s="7">
        <v>46</v>
      </c>
      <c r="G1332" s="7">
        <v>38</v>
      </c>
      <c r="H1332" s="8">
        <f t="shared" si="65"/>
        <v>43.599999999999994</v>
      </c>
    </row>
    <row r="1333" spans="1:8" s="2" customFormat="1">
      <c r="A1333" s="7" t="s">
        <v>1268</v>
      </c>
      <c r="B1333" s="7" t="str">
        <f t="shared" si="66"/>
        <v>45</v>
      </c>
      <c r="C1333" s="7" t="str">
        <f>"11"</f>
        <v>11</v>
      </c>
      <c r="D1333" s="7" t="str">
        <f>"20210214511"</f>
        <v>20210214511</v>
      </c>
      <c r="E1333" s="7" t="s">
        <v>1303</v>
      </c>
      <c r="F1333" s="7">
        <v>57.5</v>
      </c>
      <c r="G1333" s="7">
        <v>63</v>
      </c>
      <c r="H1333" s="8">
        <f t="shared" si="65"/>
        <v>59.15</v>
      </c>
    </row>
    <row r="1334" spans="1:8" s="2" customFormat="1">
      <c r="A1334" s="7" t="s">
        <v>1268</v>
      </c>
      <c r="B1334" s="7" t="str">
        <f t="shared" si="66"/>
        <v>45</v>
      </c>
      <c r="C1334" s="7" t="str">
        <f>"12"</f>
        <v>12</v>
      </c>
      <c r="D1334" s="7" t="str">
        <f>"20210214512"</f>
        <v>20210214512</v>
      </c>
      <c r="E1334" s="7" t="s">
        <v>1304</v>
      </c>
      <c r="F1334" s="7">
        <v>54</v>
      </c>
      <c r="G1334" s="7">
        <v>30</v>
      </c>
      <c r="H1334" s="8">
        <f t="shared" si="65"/>
        <v>46.8</v>
      </c>
    </row>
    <row r="1335" spans="1:8" s="2" customFormat="1">
      <c r="A1335" s="7" t="s">
        <v>1268</v>
      </c>
      <c r="B1335" s="7" t="str">
        <f t="shared" si="66"/>
        <v>45</v>
      </c>
      <c r="C1335" s="7" t="str">
        <f>"13"</f>
        <v>13</v>
      </c>
      <c r="D1335" s="7" t="str">
        <f>"20210214513"</f>
        <v>20210214513</v>
      </c>
      <c r="E1335" s="7" t="s">
        <v>1305</v>
      </c>
      <c r="F1335" s="7">
        <v>63.5</v>
      </c>
      <c r="G1335" s="7">
        <v>75</v>
      </c>
      <c r="H1335" s="8">
        <f t="shared" si="65"/>
        <v>66.949999999999989</v>
      </c>
    </row>
    <row r="1336" spans="1:8" s="2" customFormat="1">
      <c r="A1336" s="7" t="s">
        <v>1268</v>
      </c>
      <c r="B1336" s="7" t="str">
        <f t="shared" si="66"/>
        <v>45</v>
      </c>
      <c r="C1336" s="7" t="str">
        <f>"14"</f>
        <v>14</v>
      </c>
      <c r="D1336" s="7" t="str">
        <f>"20210214514"</f>
        <v>20210214514</v>
      </c>
      <c r="E1336" s="7" t="s">
        <v>1306</v>
      </c>
      <c r="F1336" s="7">
        <v>66</v>
      </c>
      <c r="G1336" s="7">
        <v>72</v>
      </c>
      <c r="H1336" s="8">
        <f t="shared" si="65"/>
        <v>67.8</v>
      </c>
    </row>
    <row r="1337" spans="1:8" s="2" customFormat="1">
      <c r="A1337" s="7" t="s">
        <v>1268</v>
      </c>
      <c r="B1337" s="7" t="str">
        <f t="shared" si="66"/>
        <v>45</v>
      </c>
      <c r="C1337" s="7" t="str">
        <f>"15"</f>
        <v>15</v>
      </c>
      <c r="D1337" s="7" t="str">
        <f>"20210214515"</f>
        <v>20210214515</v>
      </c>
      <c r="E1337" s="7" t="s">
        <v>1307</v>
      </c>
      <c r="F1337" s="7">
        <v>44</v>
      </c>
      <c r="G1337" s="7">
        <v>33</v>
      </c>
      <c r="H1337" s="8">
        <f t="shared" si="65"/>
        <v>40.699999999999996</v>
      </c>
    </row>
    <row r="1338" spans="1:8" s="2" customFormat="1">
      <c r="A1338" s="7" t="s">
        <v>1268</v>
      </c>
      <c r="B1338" s="7" t="str">
        <f t="shared" si="66"/>
        <v>45</v>
      </c>
      <c r="C1338" s="7" t="str">
        <f>"16"</f>
        <v>16</v>
      </c>
      <c r="D1338" s="7" t="str">
        <f>"20210214516"</f>
        <v>20210214516</v>
      </c>
      <c r="E1338" s="7" t="s">
        <v>1290</v>
      </c>
      <c r="F1338" s="7">
        <v>52</v>
      </c>
      <c r="G1338" s="7">
        <v>48</v>
      </c>
      <c r="H1338" s="8">
        <f t="shared" si="65"/>
        <v>50.8</v>
      </c>
    </row>
    <row r="1339" spans="1:8" s="2" customFormat="1">
      <c r="A1339" s="7" t="s">
        <v>1308</v>
      </c>
      <c r="B1339" s="7" t="str">
        <f t="shared" si="66"/>
        <v>45</v>
      </c>
      <c r="C1339" s="7" t="str">
        <f>"17"</f>
        <v>17</v>
      </c>
      <c r="D1339" s="7" t="str">
        <f>"20210224517"</f>
        <v>20210224517</v>
      </c>
      <c r="E1339" s="7" t="s">
        <v>1309</v>
      </c>
      <c r="F1339" s="7">
        <v>44</v>
      </c>
      <c r="G1339" s="7">
        <v>34</v>
      </c>
      <c r="H1339" s="8">
        <f t="shared" si="65"/>
        <v>41</v>
      </c>
    </row>
    <row r="1340" spans="1:8" s="2" customFormat="1">
      <c r="A1340" s="7" t="s">
        <v>1308</v>
      </c>
      <c r="B1340" s="7" t="str">
        <f t="shared" si="66"/>
        <v>45</v>
      </c>
      <c r="C1340" s="7" t="str">
        <f>"18"</f>
        <v>18</v>
      </c>
      <c r="D1340" s="7" t="str">
        <f>"20210224518"</f>
        <v>20210224518</v>
      </c>
      <c r="E1340" s="7" t="s">
        <v>1310</v>
      </c>
      <c r="F1340" s="7">
        <v>59</v>
      </c>
      <c r="G1340" s="7">
        <v>70</v>
      </c>
      <c r="H1340" s="8">
        <f t="shared" si="65"/>
        <v>62.3</v>
      </c>
    </row>
    <row r="1341" spans="1:8" s="2" customFormat="1">
      <c r="A1341" s="7" t="s">
        <v>1308</v>
      </c>
      <c r="B1341" s="7" t="str">
        <f t="shared" si="66"/>
        <v>45</v>
      </c>
      <c r="C1341" s="7" t="str">
        <f>"19"</f>
        <v>19</v>
      </c>
      <c r="D1341" s="7" t="str">
        <f>"20210224519"</f>
        <v>20210224519</v>
      </c>
      <c r="E1341" s="7" t="s">
        <v>1311</v>
      </c>
      <c r="F1341" s="7">
        <v>48</v>
      </c>
      <c r="G1341" s="7">
        <v>54</v>
      </c>
      <c r="H1341" s="8">
        <f t="shared" si="65"/>
        <v>49.8</v>
      </c>
    </row>
    <row r="1342" spans="1:8" s="2" customFormat="1">
      <c r="A1342" s="7" t="s">
        <v>1308</v>
      </c>
      <c r="B1342" s="7" t="str">
        <f t="shared" si="66"/>
        <v>45</v>
      </c>
      <c r="C1342" s="7" t="str">
        <f>"20"</f>
        <v>20</v>
      </c>
      <c r="D1342" s="7" t="str">
        <f>"20210224520"</f>
        <v>20210224520</v>
      </c>
      <c r="E1342" s="7" t="s">
        <v>1312</v>
      </c>
      <c r="F1342" s="7">
        <v>55</v>
      </c>
      <c r="G1342" s="7">
        <v>72</v>
      </c>
      <c r="H1342" s="8">
        <f t="shared" si="65"/>
        <v>60.099999999999994</v>
      </c>
    </row>
    <row r="1343" spans="1:8" s="2" customFormat="1">
      <c r="A1343" s="7" t="s">
        <v>1308</v>
      </c>
      <c r="B1343" s="7" t="str">
        <f t="shared" si="66"/>
        <v>45</v>
      </c>
      <c r="C1343" s="7" t="str">
        <f>"21"</f>
        <v>21</v>
      </c>
      <c r="D1343" s="7" t="str">
        <f>"20210224521"</f>
        <v>20210224521</v>
      </c>
      <c r="E1343" s="7" t="s">
        <v>1313</v>
      </c>
      <c r="F1343" s="7">
        <v>62</v>
      </c>
      <c r="G1343" s="7">
        <v>58</v>
      </c>
      <c r="H1343" s="8">
        <f t="shared" si="65"/>
        <v>60.8</v>
      </c>
    </row>
    <row r="1344" spans="1:8" s="2" customFormat="1">
      <c r="A1344" s="7" t="s">
        <v>1308</v>
      </c>
      <c r="B1344" s="7" t="str">
        <f t="shared" si="66"/>
        <v>45</v>
      </c>
      <c r="C1344" s="7" t="str">
        <f>"22"</f>
        <v>22</v>
      </c>
      <c r="D1344" s="7" t="str">
        <f>"20210224522"</f>
        <v>20210224522</v>
      </c>
      <c r="E1344" s="7" t="s">
        <v>1314</v>
      </c>
      <c r="F1344" s="7">
        <v>62.5</v>
      </c>
      <c r="G1344" s="7">
        <v>45</v>
      </c>
      <c r="H1344" s="8">
        <f t="shared" si="65"/>
        <v>57.25</v>
      </c>
    </row>
    <row r="1345" spans="1:8" s="2" customFormat="1">
      <c r="A1345" s="7" t="s">
        <v>1308</v>
      </c>
      <c r="B1345" s="7" t="str">
        <f t="shared" si="66"/>
        <v>45</v>
      </c>
      <c r="C1345" s="7" t="str">
        <f>"23"</f>
        <v>23</v>
      </c>
      <c r="D1345" s="7" t="str">
        <f>"20210224523"</f>
        <v>20210224523</v>
      </c>
      <c r="E1345" s="7" t="s">
        <v>1315</v>
      </c>
      <c r="F1345" s="7">
        <v>48</v>
      </c>
      <c r="G1345" s="7">
        <v>48</v>
      </c>
      <c r="H1345" s="8">
        <f t="shared" si="65"/>
        <v>47.999999999999993</v>
      </c>
    </row>
    <row r="1346" spans="1:8" s="2" customFormat="1">
      <c r="A1346" s="7" t="s">
        <v>1308</v>
      </c>
      <c r="B1346" s="7" t="str">
        <f t="shared" si="66"/>
        <v>45</v>
      </c>
      <c r="C1346" s="7" t="str">
        <f>"24"</f>
        <v>24</v>
      </c>
      <c r="D1346" s="7" t="str">
        <f>"20210224524"</f>
        <v>20210224524</v>
      </c>
      <c r="E1346" s="7" t="s">
        <v>1316</v>
      </c>
      <c r="F1346" s="7">
        <v>63.5</v>
      </c>
      <c r="G1346" s="7">
        <v>72</v>
      </c>
      <c r="H1346" s="8">
        <f t="shared" si="65"/>
        <v>66.05</v>
      </c>
    </row>
    <row r="1347" spans="1:8" s="2" customFormat="1">
      <c r="A1347" s="7" t="s">
        <v>1308</v>
      </c>
      <c r="B1347" s="7" t="str">
        <f t="shared" si="66"/>
        <v>45</v>
      </c>
      <c r="C1347" s="7" t="str">
        <f>"25"</f>
        <v>25</v>
      </c>
      <c r="D1347" s="7" t="str">
        <f>"20210224525"</f>
        <v>20210224525</v>
      </c>
      <c r="E1347" s="7" t="s">
        <v>1317</v>
      </c>
      <c r="F1347" s="7">
        <v>55</v>
      </c>
      <c r="G1347" s="7">
        <v>61</v>
      </c>
      <c r="H1347" s="8">
        <f t="shared" si="65"/>
        <v>56.8</v>
      </c>
    </row>
    <row r="1348" spans="1:8" s="2" customFormat="1">
      <c r="A1348" s="7" t="s">
        <v>1308</v>
      </c>
      <c r="B1348" s="7" t="str">
        <f t="shared" si="66"/>
        <v>45</v>
      </c>
      <c r="C1348" s="7" t="str">
        <f>"26"</f>
        <v>26</v>
      </c>
      <c r="D1348" s="7" t="str">
        <f>"20210224526"</f>
        <v>20210224526</v>
      </c>
      <c r="E1348" s="7" t="s">
        <v>1318</v>
      </c>
      <c r="F1348" s="7">
        <v>64.5</v>
      </c>
      <c r="G1348" s="7">
        <v>51</v>
      </c>
      <c r="H1348" s="8">
        <f t="shared" si="65"/>
        <v>60.449999999999996</v>
      </c>
    </row>
    <row r="1349" spans="1:8" s="2" customFormat="1">
      <c r="A1349" s="7" t="s">
        <v>1308</v>
      </c>
      <c r="B1349" s="7" t="str">
        <f t="shared" si="66"/>
        <v>45</v>
      </c>
      <c r="C1349" s="7" t="str">
        <f>"27"</f>
        <v>27</v>
      </c>
      <c r="D1349" s="7" t="str">
        <f>"20210224527"</f>
        <v>20210224527</v>
      </c>
      <c r="E1349" s="7" t="s">
        <v>1319</v>
      </c>
      <c r="F1349" s="7">
        <v>47.5</v>
      </c>
      <c r="G1349" s="7">
        <v>51</v>
      </c>
      <c r="H1349" s="8">
        <f t="shared" si="65"/>
        <v>48.55</v>
      </c>
    </row>
    <row r="1350" spans="1:8" s="2" customFormat="1">
      <c r="A1350" s="7" t="s">
        <v>1308</v>
      </c>
      <c r="B1350" s="7" t="str">
        <f t="shared" si="66"/>
        <v>45</v>
      </c>
      <c r="C1350" s="7" t="str">
        <f>"28"</f>
        <v>28</v>
      </c>
      <c r="D1350" s="7" t="str">
        <f>"20210224528"</f>
        <v>20210224528</v>
      </c>
      <c r="E1350" s="7" t="s">
        <v>1320</v>
      </c>
      <c r="F1350" s="7">
        <v>54</v>
      </c>
      <c r="G1350" s="7">
        <v>38</v>
      </c>
      <c r="H1350" s="8">
        <f t="shared" si="65"/>
        <v>49.199999999999996</v>
      </c>
    </row>
    <row r="1351" spans="1:8" s="2" customFormat="1">
      <c r="A1351" s="7" t="s">
        <v>1308</v>
      </c>
      <c r="B1351" s="7" t="str">
        <f t="shared" si="66"/>
        <v>45</v>
      </c>
      <c r="C1351" s="7" t="str">
        <f>"29"</f>
        <v>29</v>
      </c>
      <c r="D1351" s="7" t="str">
        <f>"20210224529"</f>
        <v>20210224529</v>
      </c>
      <c r="E1351" s="7" t="s">
        <v>1321</v>
      </c>
      <c r="F1351" s="7">
        <v>54</v>
      </c>
      <c r="G1351" s="7">
        <v>78</v>
      </c>
      <c r="H1351" s="8">
        <f t="shared" si="65"/>
        <v>61.199999999999996</v>
      </c>
    </row>
    <row r="1352" spans="1:8" s="2" customFormat="1">
      <c r="A1352" s="7" t="s">
        <v>1308</v>
      </c>
      <c r="B1352" s="7" t="str">
        <f t="shared" si="66"/>
        <v>45</v>
      </c>
      <c r="C1352" s="7" t="str">
        <f>"30"</f>
        <v>30</v>
      </c>
      <c r="D1352" s="7" t="str">
        <f>"20210224530"</f>
        <v>20210224530</v>
      </c>
      <c r="E1352" s="7" t="s">
        <v>1322</v>
      </c>
      <c r="F1352" s="7">
        <v>60.5</v>
      </c>
      <c r="G1352" s="7">
        <v>43</v>
      </c>
      <c r="H1352" s="8">
        <f t="shared" si="65"/>
        <v>55.249999999999993</v>
      </c>
    </row>
    <row r="1353" spans="1:8" s="2" customFormat="1">
      <c r="A1353" s="7" t="s">
        <v>1308</v>
      </c>
      <c r="B1353" s="7" t="str">
        <f t="shared" ref="B1353:B1382" si="67">"46"</f>
        <v>46</v>
      </c>
      <c r="C1353" s="7" t="str">
        <f>"01"</f>
        <v>01</v>
      </c>
      <c r="D1353" s="7" t="str">
        <f>"20210224601"</f>
        <v>20210224601</v>
      </c>
      <c r="E1353" s="7" t="s">
        <v>1323</v>
      </c>
      <c r="F1353" s="7">
        <v>66</v>
      </c>
      <c r="G1353" s="7">
        <v>60</v>
      </c>
      <c r="H1353" s="8">
        <f t="shared" si="65"/>
        <v>64.199999999999989</v>
      </c>
    </row>
    <row r="1354" spans="1:8" s="2" customFormat="1">
      <c r="A1354" s="7" t="s">
        <v>1308</v>
      </c>
      <c r="B1354" s="7" t="str">
        <f t="shared" si="67"/>
        <v>46</v>
      </c>
      <c r="C1354" s="7" t="str">
        <f>"02"</f>
        <v>02</v>
      </c>
      <c r="D1354" s="7" t="str">
        <f>"20210224602"</f>
        <v>20210224602</v>
      </c>
      <c r="E1354" s="7" t="s">
        <v>1324</v>
      </c>
      <c r="F1354" s="7">
        <v>60</v>
      </c>
      <c r="G1354" s="7">
        <v>55</v>
      </c>
      <c r="H1354" s="8">
        <f t="shared" si="65"/>
        <v>58.5</v>
      </c>
    </row>
    <row r="1355" spans="1:8" s="2" customFormat="1">
      <c r="A1355" s="7" t="s">
        <v>1308</v>
      </c>
      <c r="B1355" s="7" t="str">
        <f t="shared" si="67"/>
        <v>46</v>
      </c>
      <c r="C1355" s="7" t="str">
        <f>"03"</f>
        <v>03</v>
      </c>
      <c r="D1355" s="7" t="str">
        <f>"20210224603"</f>
        <v>20210224603</v>
      </c>
      <c r="E1355" s="7" t="s">
        <v>1325</v>
      </c>
      <c r="F1355" s="7">
        <v>72</v>
      </c>
      <c r="G1355" s="7">
        <v>65</v>
      </c>
      <c r="H1355" s="8">
        <f t="shared" si="65"/>
        <v>69.900000000000006</v>
      </c>
    </row>
    <row r="1356" spans="1:8" s="2" customFormat="1">
      <c r="A1356" s="7" t="s">
        <v>1308</v>
      </c>
      <c r="B1356" s="7" t="str">
        <f t="shared" si="67"/>
        <v>46</v>
      </c>
      <c r="C1356" s="7" t="str">
        <f>"04"</f>
        <v>04</v>
      </c>
      <c r="D1356" s="7" t="str">
        <f>"20210224604"</f>
        <v>20210224604</v>
      </c>
      <c r="E1356" s="7" t="s">
        <v>1326</v>
      </c>
      <c r="F1356" s="7">
        <v>45</v>
      </c>
      <c r="G1356" s="7">
        <v>43</v>
      </c>
      <c r="H1356" s="8">
        <f t="shared" si="65"/>
        <v>44.4</v>
      </c>
    </row>
    <row r="1357" spans="1:8" s="2" customFormat="1">
      <c r="A1357" s="7" t="s">
        <v>1308</v>
      </c>
      <c r="B1357" s="7" t="str">
        <f t="shared" si="67"/>
        <v>46</v>
      </c>
      <c r="C1357" s="7" t="str">
        <f>"05"</f>
        <v>05</v>
      </c>
      <c r="D1357" s="7" t="str">
        <f>"20210224605"</f>
        <v>20210224605</v>
      </c>
      <c r="E1357" s="7" t="s">
        <v>1327</v>
      </c>
      <c r="F1357" s="7">
        <v>42.5</v>
      </c>
      <c r="G1357" s="7">
        <v>57</v>
      </c>
      <c r="H1357" s="8">
        <f t="shared" si="65"/>
        <v>46.849999999999994</v>
      </c>
    </row>
    <row r="1358" spans="1:8" s="2" customFormat="1">
      <c r="A1358" s="7" t="s">
        <v>1308</v>
      </c>
      <c r="B1358" s="7" t="str">
        <f t="shared" si="67"/>
        <v>46</v>
      </c>
      <c r="C1358" s="7" t="str">
        <f>"06"</f>
        <v>06</v>
      </c>
      <c r="D1358" s="7" t="str">
        <f>"20210224606"</f>
        <v>20210224606</v>
      </c>
      <c r="E1358" s="7" t="s">
        <v>1328</v>
      </c>
      <c r="F1358" s="7">
        <v>64.5</v>
      </c>
      <c r="G1358" s="7">
        <v>63</v>
      </c>
      <c r="H1358" s="8">
        <f t="shared" si="65"/>
        <v>64.05</v>
      </c>
    </row>
    <row r="1359" spans="1:8" s="2" customFormat="1">
      <c r="A1359" s="7" t="s">
        <v>1308</v>
      </c>
      <c r="B1359" s="7" t="str">
        <f t="shared" si="67"/>
        <v>46</v>
      </c>
      <c r="C1359" s="7" t="str">
        <f>"07"</f>
        <v>07</v>
      </c>
      <c r="D1359" s="7" t="str">
        <f>"20210224607"</f>
        <v>20210224607</v>
      </c>
      <c r="E1359" s="7" t="s">
        <v>958</v>
      </c>
      <c r="F1359" s="7">
        <v>53</v>
      </c>
      <c r="G1359" s="7">
        <v>69</v>
      </c>
      <c r="H1359" s="8">
        <f t="shared" si="65"/>
        <v>57.8</v>
      </c>
    </row>
    <row r="1360" spans="1:8" s="2" customFormat="1">
      <c r="A1360" s="7" t="s">
        <v>1308</v>
      </c>
      <c r="B1360" s="7" t="str">
        <f t="shared" si="67"/>
        <v>46</v>
      </c>
      <c r="C1360" s="7" t="str">
        <f>"08"</f>
        <v>08</v>
      </c>
      <c r="D1360" s="7" t="str">
        <f>"20210224608"</f>
        <v>20210224608</v>
      </c>
      <c r="E1360" s="7" t="s">
        <v>1329</v>
      </c>
      <c r="F1360" s="7">
        <v>46.5</v>
      </c>
      <c r="G1360" s="7">
        <v>50</v>
      </c>
      <c r="H1360" s="8">
        <f t="shared" si="65"/>
        <v>47.55</v>
      </c>
    </row>
    <row r="1361" spans="1:8" s="2" customFormat="1">
      <c r="A1361" s="7" t="s">
        <v>1308</v>
      </c>
      <c r="B1361" s="7" t="str">
        <f t="shared" si="67"/>
        <v>46</v>
      </c>
      <c r="C1361" s="7" t="str">
        <f>"09"</f>
        <v>09</v>
      </c>
      <c r="D1361" s="7" t="str">
        <f>"20210224609"</f>
        <v>20210224609</v>
      </c>
      <c r="E1361" s="7" t="s">
        <v>530</v>
      </c>
      <c r="F1361" s="7">
        <v>41</v>
      </c>
      <c r="G1361" s="7">
        <v>59</v>
      </c>
      <c r="H1361" s="8">
        <f t="shared" si="65"/>
        <v>46.4</v>
      </c>
    </row>
    <row r="1362" spans="1:8" s="2" customFormat="1">
      <c r="A1362" s="7" t="s">
        <v>1308</v>
      </c>
      <c r="B1362" s="7" t="str">
        <f t="shared" si="67"/>
        <v>46</v>
      </c>
      <c r="C1362" s="7" t="str">
        <f>"10"</f>
        <v>10</v>
      </c>
      <c r="D1362" s="7" t="str">
        <f>"20210224610"</f>
        <v>20210224610</v>
      </c>
      <c r="E1362" s="7" t="s">
        <v>1330</v>
      </c>
      <c r="F1362" s="7">
        <v>41</v>
      </c>
      <c r="G1362" s="7">
        <v>62</v>
      </c>
      <c r="H1362" s="8">
        <f t="shared" si="65"/>
        <v>47.3</v>
      </c>
    </row>
    <row r="1363" spans="1:8" s="2" customFormat="1">
      <c r="A1363" s="7" t="s">
        <v>1308</v>
      </c>
      <c r="B1363" s="7" t="str">
        <f t="shared" si="67"/>
        <v>46</v>
      </c>
      <c r="C1363" s="7" t="str">
        <f>"11"</f>
        <v>11</v>
      </c>
      <c r="D1363" s="7" t="str">
        <f>"20210224611"</f>
        <v>20210224611</v>
      </c>
      <c r="E1363" s="7" t="s">
        <v>1331</v>
      </c>
      <c r="F1363" s="7">
        <v>62</v>
      </c>
      <c r="G1363" s="7">
        <v>60</v>
      </c>
      <c r="H1363" s="8">
        <f t="shared" si="65"/>
        <v>61.4</v>
      </c>
    </row>
    <row r="1364" spans="1:8" s="2" customFormat="1">
      <c r="A1364" s="7" t="s">
        <v>1308</v>
      </c>
      <c r="B1364" s="7" t="str">
        <f t="shared" si="67"/>
        <v>46</v>
      </c>
      <c r="C1364" s="7" t="str">
        <f>"12"</f>
        <v>12</v>
      </c>
      <c r="D1364" s="7" t="str">
        <f>"20210224612"</f>
        <v>20210224612</v>
      </c>
      <c r="E1364" s="7" t="s">
        <v>1332</v>
      </c>
      <c r="F1364" s="7">
        <v>52</v>
      </c>
      <c r="G1364" s="7">
        <v>59</v>
      </c>
      <c r="H1364" s="8">
        <f t="shared" si="65"/>
        <v>54.099999999999994</v>
      </c>
    </row>
    <row r="1365" spans="1:8" s="2" customFormat="1">
      <c r="A1365" s="7" t="s">
        <v>1308</v>
      </c>
      <c r="B1365" s="7" t="str">
        <f t="shared" si="67"/>
        <v>46</v>
      </c>
      <c r="C1365" s="7" t="str">
        <f>"13"</f>
        <v>13</v>
      </c>
      <c r="D1365" s="7" t="str">
        <f>"20210224613"</f>
        <v>20210224613</v>
      </c>
      <c r="E1365" s="7" t="s">
        <v>1333</v>
      </c>
      <c r="F1365" s="7">
        <v>70</v>
      </c>
      <c r="G1365" s="7">
        <v>84</v>
      </c>
      <c r="H1365" s="8">
        <f t="shared" si="65"/>
        <v>74.2</v>
      </c>
    </row>
    <row r="1366" spans="1:8" s="2" customFormat="1">
      <c r="A1366" s="7" t="s">
        <v>1308</v>
      </c>
      <c r="B1366" s="7" t="str">
        <f t="shared" si="67"/>
        <v>46</v>
      </c>
      <c r="C1366" s="7" t="str">
        <f>"14"</f>
        <v>14</v>
      </c>
      <c r="D1366" s="7" t="str">
        <f>"20210224614"</f>
        <v>20210224614</v>
      </c>
      <c r="E1366" s="7" t="s">
        <v>537</v>
      </c>
      <c r="F1366" s="7">
        <v>30</v>
      </c>
      <c r="G1366" s="7">
        <v>19</v>
      </c>
      <c r="H1366" s="8">
        <f t="shared" si="65"/>
        <v>26.7</v>
      </c>
    </row>
    <row r="1367" spans="1:8" s="2" customFormat="1">
      <c r="A1367" s="7" t="s">
        <v>1308</v>
      </c>
      <c r="B1367" s="7" t="str">
        <f t="shared" si="67"/>
        <v>46</v>
      </c>
      <c r="C1367" s="7" t="str">
        <f>"15"</f>
        <v>15</v>
      </c>
      <c r="D1367" s="7" t="str">
        <f>"20210224615"</f>
        <v>20210224615</v>
      </c>
      <c r="E1367" s="7" t="s">
        <v>1334</v>
      </c>
      <c r="F1367" s="7">
        <v>65</v>
      </c>
      <c r="G1367" s="7">
        <v>61</v>
      </c>
      <c r="H1367" s="8">
        <f t="shared" si="65"/>
        <v>63.8</v>
      </c>
    </row>
    <row r="1368" spans="1:8" s="2" customFormat="1">
      <c r="A1368" s="7" t="s">
        <v>1308</v>
      </c>
      <c r="B1368" s="7" t="str">
        <f t="shared" si="67"/>
        <v>46</v>
      </c>
      <c r="C1368" s="7" t="str">
        <f>"16"</f>
        <v>16</v>
      </c>
      <c r="D1368" s="7" t="str">
        <f>"20210224616"</f>
        <v>20210224616</v>
      </c>
      <c r="E1368" s="7" t="s">
        <v>1335</v>
      </c>
      <c r="F1368" s="7">
        <v>0</v>
      </c>
      <c r="G1368" s="7">
        <v>0</v>
      </c>
      <c r="H1368" s="8">
        <f t="shared" si="65"/>
        <v>0</v>
      </c>
    </row>
    <row r="1369" spans="1:8" s="2" customFormat="1">
      <c r="A1369" s="7" t="s">
        <v>1308</v>
      </c>
      <c r="B1369" s="7" t="str">
        <f t="shared" si="67"/>
        <v>46</v>
      </c>
      <c r="C1369" s="7" t="str">
        <f>"17"</f>
        <v>17</v>
      </c>
      <c r="D1369" s="7" t="str">
        <f>"20210224617"</f>
        <v>20210224617</v>
      </c>
      <c r="E1369" s="7" t="s">
        <v>1336</v>
      </c>
      <c r="F1369" s="7">
        <v>55</v>
      </c>
      <c r="G1369" s="7">
        <v>55</v>
      </c>
      <c r="H1369" s="8">
        <f t="shared" si="65"/>
        <v>55</v>
      </c>
    </row>
    <row r="1370" spans="1:8" s="2" customFormat="1">
      <c r="A1370" s="7" t="s">
        <v>1308</v>
      </c>
      <c r="B1370" s="7" t="str">
        <f t="shared" si="67"/>
        <v>46</v>
      </c>
      <c r="C1370" s="7" t="str">
        <f>"18"</f>
        <v>18</v>
      </c>
      <c r="D1370" s="7" t="str">
        <f>"20210224618"</f>
        <v>20210224618</v>
      </c>
      <c r="E1370" s="7" t="s">
        <v>1337</v>
      </c>
      <c r="F1370" s="7">
        <v>0</v>
      </c>
      <c r="G1370" s="7">
        <v>0</v>
      </c>
      <c r="H1370" s="8">
        <f t="shared" si="65"/>
        <v>0</v>
      </c>
    </row>
    <row r="1371" spans="1:8" s="2" customFormat="1">
      <c r="A1371" s="7" t="s">
        <v>1308</v>
      </c>
      <c r="B1371" s="7" t="str">
        <f t="shared" si="67"/>
        <v>46</v>
      </c>
      <c r="C1371" s="7" t="str">
        <f>"19"</f>
        <v>19</v>
      </c>
      <c r="D1371" s="7" t="str">
        <f>"20210224619"</f>
        <v>20210224619</v>
      </c>
      <c r="E1371" s="7" t="s">
        <v>1338</v>
      </c>
      <c r="F1371" s="7">
        <v>0</v>
      </c>
      <c r="G1371" s="7">
        <v>0</v>
      </c>
      <c r="H1371" s="8">
        <f t="shared" si="65"/>
        <v>0</v>
      </c>
    </row>
    <row r="1372" spans="1:8" s="2" customFormat="1">
      <c r="A1372" s="7" t="s">
        <v>1308</v>
      </c>
      <c r="B1372" s="7" t="str">
        <f t="shared" si="67"/>
        <v>46</v>
      </c>
      <c r="C1372" s="7" t="str">
        <f>"20"</f>
        <v>20</v>
      </c>
      <c r="D1372" s="7" t="str">
        <f>"20210224620"</f>
        <v>20210224620</v>
      </c>
      <c r="E1372" s="7" t="s">
        <v>1339</v>
      </c>
      <c r="F1372" s="7">
        <v>0</v>
      </c>
      <c r="G1372" s="7">
        <v>0</v>
      </c>
      <c r="H1372" s="8">
        <f t="shared" si="65"/>
        <v>0</v>
      </c>
    </row>
    <row r="1373" spans="1:8" s="2" customFormat="1">
      <c r="A1373" s="7" t="s">
        <v>1340</v>
      </c>
      <c r="B1373" s="7" t="str">
        <f t="shared" si="67"/>
        <v>46</v>
      </c>
      <c r="C1373" s="7" t="str">
        <f>"21"</f>
        <v>21</v>
      </c>
      <c r="D1373" s="7" t="str">
        <f>"20210234621"</f>
        <v>20210234621</v>
      </c>
      <c r="E1373" s="7" t="s">
        <v>1341</v>
      </c>
      <c r="F1373" s="7">
        <v>64</v>
      </c>
      <c r="G1373" s="7">
        <v>44</v>
      </c>
      <c r="H1373" s="8">
        <f t="shared" si="65"/>
        <v>58</v>
      </c>
    </row>
    <row r="1374" spans="1:8" s="2" customFormat="1">
      <c r="A1374" s="7" t="s">
        <v>1340</v>
      </c>
      <c r="B1374" s="7" t="str">
        <f t="shared" si="67"/>
        <v>46</v>
      </c>
      <c r="C1374" s="7" t="str">
        <f>"22"</f>
        <v>22</v>
      </c>
      <c r="D1374" s="7" t="str">
        <f>"20210234622"</f>
        <v>20210234622</v>
      </c>
      <c r="E1374" s="7" t="s">
        <v>1342</v>
      </c>
      <c r="F1374" s="7">
        <v>54</v>
      </c>
      <c r="G1374" s="7">
        <v>62</v>
      </c>
      <c r="H1374" s="8">
        <f t="shared" si="65"/>
        <v>56.399999999999991</v>
      </c>
    </row>
    <row r="1375" spans="1:8" s="2" customFormat="1">
      <c r="A1375" s="7" t="s">
        <v>1340</v>
      </c>
      <c r="B1375" s="7" t="str">
        <f t="shared" si="67"/>
        <v>46</v>
      </c>
      <c r="C1375" s="7" t="str">
        <f>"23"</f>
        <v>23</v>
      </c>
      <c r="D1375" s="7" t="str">
        <f>"20210234623"</f>
        <v>20210234623</v>
      </c>
      <c r="E1375" s="7" t="s">
        <v>1343</v>
      </c>
      <c r="F1375" s="7">
        <v>65</v>
      </c>
      <c r="G1375" s="7">
        <v>64</v>
      </c>
      <c r="H1375" s="8">
        <f t="shared" si="65"/>
        <v>64.7</v>
      </c>
    </row>
    <row r="1376" spans="1:8" s="2" customFormat="1">
      <c r="A1376" s="7" t="s">
        <v>1340</v>
      </c>
      <c r="B1376" s="7" t="str">
        <f t="shared" si="67"/>
        <v>46</v>
      </c>
      <c r="C1376" s="7" t="str">
        <f>"24"</f>
        <v>24</v>
      </c>
      <c r="D1376" s="7" t="str">
        <f>"20210234624"</f>
        <v>20210234624</v>
      </c>
      <c r="E1376" s="7" t="s">
        <v>1344</v>
      </c>
      <c r="F1376" s="7">
        <v>44</v>
      </c>
      <c r="G1376" s="7">
        <v>45</v>
      </c>
      <c r="H1376" s="8">
        <f t="shared" si="65"/>
        <v>44.3</v>
      </c>
    </row>
    <row r="1377" spans="1:8" s="2" customFormat="1">
      <c r="A1377" s="7" t="s">
        <v>1340</v>
      </c>
      <c r="B1377" s="7" t="str">
        <f t="shared" si="67"/>
        <v>46</v>
      </c>
      <c r="C1377" s="7" t="str">
        <f>"25"</f>
        <v>25</v>
      </c>
      <c r="D1377" s="7" t="str">
        <f>"20210234625"</f>
        <v>20210234625</v>
      </c>
      <c r="E1377" s="7" t="s">
        <v>1196</v>
      </c>
      <c r="F1377" s="7">
        <v>51.5</v>
      </c>
      <c r="G1377" s="7">
        <v>60</v>
      </c>
      <c r="H1377" s="8">
        <f t="shared" si="65"/>
        <v>54.05</v>
      </c>
    </row>
    <row r="1378" spans="1:8" s="2" customFormat="1">
      <c r="A1378" s="7" t="s">
        <v>1340</v>
      </c>
      <c r="B1378" s="7" t="str">
        <f t="shared" si="67"/>
        <v>46</v>
      </c>
      <c r="C1378" s="7" t="str">
        <f>"26"</f>
        <v>26</v>
      </c>
      <c r="D1378" s="7" t="str">
        <f>"20210234626"</f>
        <v>20210234626</v>
      </c>
      <c r="E1378" s="7" t="s">
        <v>1345</v>
      </c>
      <c r="F1378" s="7">
        <v>42</v>
      </c>
      <c r="G1378" s="7">
        <v>53</v>
      </c>
      <c r="H1378" s="8">
        <f t="shared" ref="H1378:H1441" si="68">F1378*0.7+G1378*0.3</f>
        <v>45.3</v>
      </c>
    </row>
    <row r="1379" spans="1:8" s="2" customFormat="1">
      <c r="A1379" s="7" t="s">
        <v>1340</v>
      </c>
      <c r="B1379" s="7" t="str">
        <f t="shared" si="67"/>
        <v>46</v>
      </c>
      <c r="C1379" s="7" t="str">
        <f>"27"</f>
        <v>27</v>
      </c>
      <c r="D1379" s="7" t="str">
        <f>"20210234627"</f>
        <v>20210234627</v>
      </c>
      <c r="E1379" s="7" t="s">
        <v>1346</v>
      </c>
      <c r="F1379" s="7">
        <v>0</v>
      </c>
      <c r="G1379" s="7">
        <v>0</v>
      </c>
      <c r="H1379" s="8">
        <f t="shared" si="68"/>
        <v>0</v>
      </c>
    </row>
    <row r="1380" spans="1:8" s="2" customFormat="1">
      <c r="A1380" s="7" t="s">
        <v>1340</v>
      </c>
      <c r="B1380" s="7" t="str">
        <f t="shared" si="67"/>
        <v>46</v>
      </c>
      <c r="C1380" s="7" t="str">
        <f>"28"</f>
        <v>28</v>
      </c>
      <c r="D1380" s="7" t="str">
        <f>"20210234628"</f>
        <v>20210234628</v>
      </c>
      <c r="E1380" s="7" t="s">
        <v>1347</v>
      </c>
      <c r="F1380" s="7">
        <v>53</v>
      </c>
      <c r="G1380" s="7">
        <v>75</v>
      </c>
      <c r="H1380" s="8">
        <f t="shared" si="68"/>
        <v>59.599999999999994</v>
      </c>
    </row>
    <row r="1381" spans="1:8" s="2" customFormat="1">
      <c r="A1381" s="7" t="s">
        <v>1340</v>
      </c>
      <c r="B1381" s="7" t="str">
        <f t="shared" si="67"/>
        <v>46</v>
      </c>
      <c r="C1381" s="7" t="str">
        <f>"29"</f>
        <v>29</v>
      </c>
      <c r="D1381" s="7" t="str">
        <f>"20210234629"</f>
        <v>20210234629</v>
      </c>
      <c r="E1381" s="7" t="s">
        <v>1348</v>
      </c>
      <c r="F1381" s="7">
        <v>47</v>
      </c>
      <c r="G1381" s="7">
        <v>45</v>
      </c>
      <c r="H1381" s="8">
        <f t="shared" si="68"/>
        <v>46.4</v>
      </c>
    </row>
    <row r="1382" spans="1:8" s="2" customFormat="1">
      <c r="A1382" s="7" t="s">
        <v>1340</v>
      </c>
      <c r="B1382" s="7" t="str">
        <f t="shared" si="67"/>
        <v>46</v>
      </c>
      <c r="C1382" s="7" t="str">
        <f>"30"</f>
        <v>30</v>
      </c>
      <c r="D1382" s="7" t="str">
        <f>"20210234630"</f>
        <v>20210234630</v>
      </c>
      <c r="E1382" s="7" t="s">
        <v>1349</v>
      </c>
      <c r="F1382" s="7">
        <v>58</v>
      </c>
      <c r="G1382" s="7">
        <v>66</v>
      </c>
      <c r="H1382" s="8">
        <f t="shared" si="68"/>
        <v>60.399999999999991</v>
      </c>
    </row>
    <row r="1383" spans="1:8" s="2" customFormat="1">
      <c r="A1383" s="7" t="s">
        <v>1340</v>
      </c>
      <c r="B1383" s="7" t="str">
        <f t="shared" ref="B1383:B1412" si="69">"47"</f>
        <v>47</v>
      </c>
      <c r="C1383" s="7" t="str">
        <f>"01"</f>
        <v>01</v>
      </c>
      <c r="D1383" s="7" t="str">
        <f>"20210234701"</f>
        <v>20210234701</v>
      </c>
      <c r="E1383" s="7" t="s">
        <v>1350</v>
      </c>
      <c r="F1383" s="7">
        <v>61</v>
      </c>
      <c r="G1383" s="7">
        <v>80</v>
      </c>
      <c r="H1383" s="8">
        <f t="shared" si="68"/>
        <v>66.699999999999989</v>
      </c>
    </row>
    <row r="1384" spans="1:8" s="2" customFormat="1">
      <c r="A1384" s="7" t="s">
        <v>1340</v>
      </c>
      <c r="B1384" s="7" t="str">
        <f t="shared" si="69"/>
        <v>47</v>
      </c>
      <c r="C1384" s="7" t="str">
        <f>"02"</f>
        <v>02</v>
      </c>
      <c r="D1384" s="7" t="str">
        <f>"20210234702"</f>
        <v>20210234702</v>
      </c>
      <c r="E1384" s="7" t="s">
        <v>1351</v>
      </c>
      <c r="F1384" s="7">
        <v>68.5</v>
      </c>
      <c r="G1384" s="7">
        <v>72</v>
      </c>
      <c r="H1384" s="8">
        <f t="shared" si="68"/>
        <v>69.55</v>
      </c>
    </row>
    <row r="1385" spans="1:8" s="2" customFormat="1">
      <c r="A1385" s="7" t="s">
        <v>1340</v>
      </c>
      <c r="B1385" s="7" t="str">
        <f t="shared" si="69"/>
        <v>47</v>
      </c>
      <c r="C1385" s="7" t="str">
        <f>"03"</f>
        <v>03</v>
      </c>
      <c r="D1385" s="7" t="str">
        <f>"20210234703"</f>
        <v>20210234703</v>
      </c>
      <c r="E1385" s="7" t="s">
        <v>1352</v>
      </c>
      <c r="F1385" s="7">
        <v>49</v>
      </c>
      <c r="G1385" s="7">
        <v>49</v>
      </c>
      <c r="H1385" s="8">
        <f t="shared" si="68"/>
        <v>49</v>
      </c>
    </row>
    <row r="1386" spans="1:8" s="2" customFormat="1">
      <c r="A1386" s="7" t="s">
        <v>1340</v>
      </c>
      <c r="B1386" s="7" t="str">
        <f t="shared" si="69"/>
        <v>47</v>
      </c>
      <c r="C1386" s="7" t="str">
        <f>"04"</f>
        <v>04</v>
      </c>
      <c r="D1386" s="7" t="str">
        <f>"20210234704"</f>
        <v>20210234704</v>
      </c>
      <c r="E1386" s="7" t="s">
        <v>1353</v>
      </c>
      <c r="F1386" s="7">
        <v>69</v>
      </c>
      <c r="G1386" s="7">
        <v>80</v>
      </c>
      <c r="H1386" s="8">
        <f t="shared" si="68"/>
        <v>72.3</v>
      </c>
    </row>
    <row r="1387" spans="1:8" s="2" customFormat="1">
      <c r="A1387" s="7" t="s">
        <v>1340</v>
      </c>
      <c r="B1387" s="7" t="str">
        <f t="shared" si="69"/>
        <v>47</v>
      </c>
      <c r="C1387" s="7" t="str">
        <f>"05"</f>
        <v>05</v>
      </c>
      <c r="D1387" s="7" t="str">
        <f>"20210234705"</f>
        <v>20210234705</v>
      </c>
      <c r="E1387" s="7" t="s">
        <v>1354</v>
      </c>
      <c r="F1387" s="7">
        <v>41</v>
      </c>
      <c r="G1387" s="7">
        <v>56</v>
      </c>
      <c r="H1387" s="8">
        <f t="shared" si="68"/>
        <v>45.5</v>
      </c>
    </row>
    <row r="1388" spans="1:8" s="2" customFormat="1">
      <c r="A1388" s="7" t="s">
        <v>1340</v>
      </c>
      <c r="B1388" s="7" t="str">
        <f t="shared" si="69"/>
        <v>47</v>
      </c>
      <c r="C1388" s="7" t="str">
        <f>"06"</f>
        <v>06</v>
      </c>
      <c r="D1388" s="7" t="str">
        <f>"20210234706"</f>
        <v>20210234706</v>
      </c>
      <c r="E1388" s="7" t="s">
        <v>1355</v>
      </c>
      <c r="F1388" s="7">
        <v>60</v>
      </c>
      <c r="G1388" s="7">
        <v>81</v>
      </c>
      <c r="H1388" s="8">
        <f t="shared" si="68"/>
        <v>66.3</v>
      </c>
    </row>
    <row r="1389" spans="1:8" s="2" customFormat="1">
      <c r="A1389" s="7" t="s">
        <v>1340</v>
      </c>
      <c r="B1389" s="7" t="str">
        <f t="shared" si="69"/>
        <v>47</v>
      </c>
      <c r="C1389" s="7" t="str">
        <f>"07"</f>
        <v>07</v>
      </c>
      <c r="D1389" s="7" t="str">
        <f>"20210234707"</f>
        <v>20210234707</v>
      </c>
      <c r="E1389" s="7" t="s">
        <v>1356</v>
      </c>
      <c r="F1389" s="7">
        <v>66</v>
      </c>
      <c r="G1389" s="7">
        <v>60</v>
      </c>
      <c r="H1389" s="8">
        <f t="shared" si="68"/>
        <v>64.199999999999989</v>
      </c>
    </row>
    <row r="1390" spans="1:8" s="2" customFormat="1">
      <c r="A1390" s="7" t="s">
        <v>1340</v>
      </c>
      <c r="B1390" s="7" t="str">
        <f t="shared" si="69"/>
        <v>47</v>
      </c>
      <c r="C1390" s="7" t="str">
        <f>"08"</f>
        <v>08</v>
      </c>
      <c r="D1390" s="7" t="str">
        <f>"20210234708"</f>
        <v>20210234708</v>
      </c>
      <c r="E1390" s="7" t="s">
        <v>1357</v>
      </c>
      <c r="F1390" s="7">
        <v>45</v>
      </c>
      <c r="G1390" s="7">
        <v>66</v>
      </c>
      <c r="H1390" s="8">
        <f t="shared" si="68"/>
        <v>51.3</v>
      </c>
    </row>
    <row r="1391" spans="1:8" s="2" customFormat="1">
      <c r="A1391" s="7" t="s">
        <v>1340</v>
      </c>
      <c r="B1391" s="7" t="str">
        <f t="shared" si="69"/>
        <v>47</v>
      </c>
      <c r="C1391" s="7" t="str">
        <f>"09"</f>
        <v>09</v>
      </c>
      <c r="D1391" s="7" t="str">
        <f>"20210234709"</f>
        <v>20210234709</v>
      </c>
      <c r="E1391" s="7" t="s">
        <v>55</v>
      </c>
      <c r="F1391" s="7">
        <v>0</v>
      </c>
      <c r="G1391" s="7">
        <v>0</v>
      </c>
      <c r="H1391" s="8">
        <f t="shared" si="68"/>
        <v>0</v>
      </c>
    </row>
    <row r="1392" spans="1:8" s="2" customFormat="1">
      <c r="A1392" s="7" t="s">
        <v>1340</v>
      </c>
      <c r="B1392" s="7" t="str">
        <f t="shared" si="69"/>
        <v>47</v>
      </c>
      <c r="C1392" s="7" t="str">
        <f>"10"</f>
        <v>10</v>
      </c>
      <c r="D1392" s="7" t="str">
        <f>"20210234710"</f>
        <v>20210234710</v>
      </c>
      <c r="E1392" s="7" t="s">
        <v>1358</v>
      </c>
      <c r="F1392" s="7">
        <v>47</v>
      </c>
      <c r="G1392" s="7">
        <v>37</v>
      </c>
      <c r="H1392" s="8">
        <f t="shared" si="68"/>
        <v>44</v>
      </c>
    </row>
    <row r="1393" spans="1:8" s="2" customFormat="1">
      <c r="A1393" s="7" t="s">
        <v>1340</v>
      </c>
      <c r="B1393" s="7" t="str">
        <f t="shared" si="69"/>
        <v>47</v>
      </c>
      <c r="C1393" s="7" t="str">
        <f>"11"</f>
        <v>11</v>
      </c>
      <c r="D1393" s="7" t="str">
        <f>"20210234711"</f>
        <v>20210234711</v>
      </c>
      <c r="E1393" s="7" t="s">
        <v>1077</v>
      </c>
      <c r="F1393" s="7">
        <v>55</v>
      </c>
      <c r="G1393" s="7">
        <v>78</v>
      </c>
      <c r="H1393" s="8">
        <f t="shared" si="68"/>
        <v>61.9</v>
      </c>
    </row>
    <row r="1394" spans="1:8" s="2" customFormat="1">
      <c r="A1394" s="7" t="s">
        <v>1340</v>
      </c>
      <c r="B1394" s="7" t="str">
        <f t="shared" si="69"/>
        <v>47</v>
      </c>
      <c r="C1394" s="7" t="str">
        <f>"12"</f>
        <v>12</v>
      </c>
      <c r="D1394" s="7" t="str">
        <f>"20210234712"</f>
        <v>20210234712</v>
      </c>
      <c r="E1394" s="7" t="s">
        <v>1359</v>
      </c>
      <c r="F1394" s="7">
        <v>68</v>
      </c>
      <c r="G1394" s="7">
        <v>73</v>
      </c>
      <c r="H1394" s="8">
        <f t="shared" si="68"/>
        <v>69.5</v>
      </c>
    </row>
    <row r="1395" spans="1:8" s="2" customFormat="1">
      <c r="A1395" s="7" t="s">
        <v>1340</v>
      </c>
      <c r="B1395" s="7" t="str">
        <f t="shared" si="69"/>
        <v>47</v>
      </c>
      <c r="C1395" s="7" t="str">
        <f>"13"</f>
        <v>13</v>
      </c>
      <c r="D1395" s="7" t="str">
        <f>"20210234713"</f>
        <v>20210234713</v>
      </c>
      <c r="E1395" s="7" t="s">
        <v>1360</v>
      </c>
      <c r="F1395" s="7">
        <v>70</v>
      </c>
      <c r="G1395" s="7">
        <v>64</v>
      </c>
      <c r="H1395" s="8">
        <f t="shared" si="68"/>
        <v>68.2</v>
      </c>
    </row>
    <row r="1396" spans="1:8" s="2" customFormat="1">
      <c r="A1396" s="7" t="s">
        <v>1340</v>
      </c>
      <c r="B1396" s="7" t="str">
        <f t="shared" si="69"/>
        <v>47</v>
      </c>
      <c r="C1396" s="7" t="str">
        <f>"14"</f>
        <v>14</v>
      </c>
      <c r="D1396" s="7" t="str">
        <f>"20210234714"</f>
        <v>20210234714</v>
      </c>
      <c r="E1396" s="7" t="s">
        <v>1361</v>
      </c>
      <c r="F1396" s="7">
        <v>63</v>
      </c>
      <c r="G1396" s="7">
        <v>75</v>
      </c>
      <c r="H1396" s="8">
        <f t="shared" si="68"/>
        <v>66.599999999999994</v>
      </c>
    </row>
    <row r="1397" spans="1:8" s="2" customFormat="1">
      <c r="A1397" s="7" t="s">
        <v>1340</v>
      </c>
      <c r="B1397" s="7" t="str">
        <f t="shared" si="69"/>
        <v>47</v>
      </c>
      <c r="C1397" s="7" t="str">
        <f>"15"</f>
        <v>15</v>
      </c>
      <c r="D1397" s="7" t="str">
        <f>"20210234715"</f>
        <v>20210234715</v>
      </c>
      <c r="E1397" s="7" t="s">
        <v>1362</v>
      </c>
      <c r="F1397" s="7">
        <v>70</v>
      </c>
      <c r="G1397" s="7">
        <v>76</v>
      </c>
      <c r="H1397" s="8">
        <f t="shared" si="68"/>
        <v>71.8</v>
      </c>
    </row>
    <row r="1398" spans="1:8" s="2" customFormat="1">
      <c r="A1398" s="7" t="s">
        <v>1340</v>
      </c>
      <c r="B1398" s="7" t="str">
        <f t="shared" si="69"/>
        <v>47</v>
      </c>
      <c r="C1398" s="7" t="str">
        <f>"16"</f>
        <v>16</v>
      </c>
      <c r="D1398" s="7" t="str">
        <f>"20210234716"</f>
        <v>20210234716</v>
      </c>
      <c r="E1398" s="7" t="s">
        <v>1363</v>
      </c>
      <c r="F1398" s="7">
        <v>0</v>
      </c>
      <c r="G1398" s="7">
        <v>0</v>
      </c>
      <c r="H1398" s="8">
        <f t="shared" si="68"/>
        <v>0</v>
      </c>
    </row>
    <row r="1399" spans="1:8" s="2" customFormat="1">
      <c r="A1399" s="7" t="s">
        <v>1340</v>
      </c>
      <c r="B1399" s="7" t="str">
        <f t="shared" si="69"/>
        <v>47</v>
      </c>
      <c r="C1399" s="7" t="str">
        <f>"17"</f>
        <v>17</v>
      </c>
      <c r="D1399" s="7" t="str">
        <f>"20210234717"</f>
        <v>20210234717</v>
      </c>
      <c r="E1399" s="7" t="s">
        <v>1364</v>
      </c>
      <c r="F1399" s="7">
        <v>37</v>
      </c>
      <c r="G1399" s="7">
        <v>50</v>
      </c>
      <c r="H1399" s="8">
        <f t="shared" si="68"/>
        <v>40.9</v>
      </c>
    </row>
    <row r="1400" spans="1:8" s="2" customFormat="1">
      <c r="A1400" s="7" t="s">
        <v>1340</v>
      </c>
      <c r="B1400" s="7" t="str">
        <f t="shared" si="69"/>
        <v>47</v>
      </c>
      <c r="C1400" s="7" t="str">
        <f>"18"</f>
        <v>18</v>
      </c>
      <c r="D1400" s="7" t="str">
        <f>"20210234718"</f>
        <v>20210234718</v>
      </c>
      <c r="E1400" s="7" t="s">
        <v>1365</v>
      </c>
      <c r="F1400" s="7">
        <v>56</v>
      </c>
      <c r="G1400" s="7">
        <v>66</v>
      </c>
      <c r="H1400" s="8">
        <f t="shared" si="68"/>
        <v>59</v>
      </c>
    </row>
    <row r="1401" spans="1:8" s="2" customFormat="1">
      <c r="A1401" s="7" t="s">
        <v>1340</v>
      </c>
      <c r="B1401" s="7" t="str">
        <f t="shared" si="69"/>
        <v>47</v>
      </c>
      <c r="C1401" s="7" t="str">
        <f>"19"</f>
        <v>19</v>
      </c>
      <c r="D1401" s="7" t="str">
        <f>"20210234719"</f>
        <v>20210234719</v>
      </c>
      <c r="E1401" s="7" t="s">
        <v>1366</v>
      </c>
      <c r="F1401" s="7">
        <v>55</v>
      </c>
      <c r="G1401" s="7">
        <v>40</v>
      </c>
      <c r="H1401" s="8">
        <f t="shared" si="68"/>
        <v>50.5</v>
      </c>
    </row>
    <row r="1402" spans="1:8" s="2" customFormat="1">
      <c r="A1402" s="7" t="s">
        <v>1340</v>
      </c>
      <c r="B1402" s="7" t="str">
        <f t="shared" si="69"/>
        <v>47</v>
      </c>
      <c r="C1402" s="7" t="str">
        <f>"20"</f>
        <v>20</v>
      </c>
      <c r="D1402" s="7" t="str">
        <f>"20210234720"</f>
        <v>20210234720</v>
      </c>
      <c r="E1402" s="7" t="s">
        <v>1367</v>
      </c>
      <c r="F1402" s="7">
        <v>53</v>
      </c>
      <c r="G1402" s="7">
        <v>48</v>
      </c>
      <c r="H1402" s="8">
        <f t="shared" si="68"/>
        <v>51.499999999999993</v>
      </c>
    </row>
    <row r="1403" spans="1:8" s="2" customFormat="1">
      <c r="A1403" s="7" t="s">
        <v>1340</v>
      </c>
      <c r="B1403" s="7" t="str">
        <f t="shared" si="69"/>
        <v>47</v>
      </c>
      <c r="C1403" s="7" t="str">
        <f>"21"</f>
        <v>21</v>
      </c>
      <c r="D1403" s="7" t="str">
        <f>"20210234721"</f>
        <v>20210234721</v>
      </c>
      <c r="E1403" s="7" t="s">
        <v>1368</v>
      </c>
      <c r="F1403" s="7">
        <v>40</v>
      </c>
      <c r="G1403" s="7">
        <v>43</v>
      </c>
      <c r="H1403" s="8">
        <f t="shared" si="68"/>
        <v>40.9</v>
      </c>
    </row>
    <row r="1404" spans="1:8" s="2" customFormat="1">
      <c r="A1404" s="7" t="s">
        <v>1340</v>
      </c>
      <c r="B1404" s="7" t="str">
        <f t="shared" si="69"/>
        <v>47</v>
      </c>
      <c r="C1404" s="7" t="str">
        <f>"22"</f>
        <v>22</v>
      </c>
      <c r="D1404" s="7" t="str">
        <f>"20210234722"</f>
        <v>20210234722</v>
      </c>
      <c r="E1404" s="7" t="s">
        <v>1369</v>
      </c>
      <c r="F1404" s="7">
        <v>29</v>
      </c>
      <c r="G1404" s="7">
        <v>26</v>
      </c>
      <c r="H1404" s="8">
        <f t="shared" si="68"/>
        <v>28.099999999999998</v>
      </c>
    </row>
    <row r="1405" spans="1:8" s="2" customFormat="1">
      <c r="A1405" s="7" t="s">
        <v>1340</v>
      </c>
      <c r="B1405" s="7" t="str">
        <f t="shared" si="69"/>
        <v>47</v>
      </c>
      <c r="C1405" s="7" t="str">
        <f>"23"</f>
        <v>23</v>
      </c>
      <c r="D1405" s="7" t="str">
        <f>"20210234723"</f>
        <v>20210234723</v>
      </c>
      <c r="E1405" s="7" t="s">
        <v>1370</v>
      </c>
      <c r="F1405" s="7">
        <v>57.5</v>
      </c>
      <c r="G1405" s="7">
        <v>45</v>
      </c>
      <c r="H1405" s="8">
        <f t="shared" si="68"/>
        <v>53.75</v>
      </c>
    </row>
    <row r="1406" spans="1:8" s="2" customFormat="1">
      <c r="A1406" s="7" t="s">
        <v>1340</v>
      </c>
      <c r="B1406" s="7" t="str">
        <f t="shared" si="69"/>
        <v>47</v>
      </c>
      <c r="C1406" s="7" t="str">
        <f>"24"</f>
        <v>24</v>
      </c>
      <c r="D1406" s="7" t="str">
        <f>"20210234724"</f>
        <v>20210234724</v>
      </c>
      <c r="E1406" s="7" t="s">
        <v>1371</v>
      </c>
      <c r="F1406" s="7">
        <v>74</v>
      </c>
      <c r="G1406" s="7">
        <v>77</v>
      </c>
      <c r="H1406" s="8">
        <f t="shared" si="68"/>
        <v>74.899999999999991</v>
      </c>
    </row>
    <row r="1407" spans="1:8" s="2" customFormat="1">
      <c r="A1407" s="7" t="s">
        <v>1340</v>
      </c>
      <c r="B1407" s="7" t="str">
        <f t="shared" si="69"/>
        <v>47</v>
      </c>
      <c r="C1407" s="7" t="str">
        <f>"25"</f>
        <v>25</v>
      </c>
      <c r="D1407" s="7" t="str">
        <f>"20210234725"</f>
        <v>20210234725</v>
      </c>
      <c r="E1407" s="7" t="s">
        <v>1372</v>
      </c>
      <c r="F1407" s="7">
        <v>37</v>
      </c>
      <c r="G1407" s="7">
        <v>27</v>
      </c>
      <c r="H1407" s="8">
        <f t="shared" si="68"/>
        <v>34</v>
      </c>
    </row>
    <row r="1408" spans="1:8" s="2" customFormat="1">
      <c r="A1408" s="7" t="s">
        <v>1340</v>
      </c>
      <c r="B1408" s="7" t="str">
        <f t="shared" si="69"/>
        <v>47</v>
      </c>
      <c r="C1408" s="7" t="str">
        <f>"26"</f>
        <v>26</v>
      </c>
      <c r="D1408" s="7" t="str">
        <f>"20210234726"</f>
        <v>20210234726</v>
      </c>
      <c r="E1408" s="7" t="s">
        <v>1373</v>
      </c>
      <c r="F1408" s="7">
        <v>63.5</v>
      </c>
      <c r="G1408" s="7">
        <v>59</v>
      </c>
      <c r="H1408" s="8">
        <f t="shared" si="68"/>
        <v>62.149999999999991</v>
      </c>
    </row>
    <row r="1409" spans="1:8" s="2" customFormat="1">
      <c r="A1409" s="7" t="s">
        <v>1340</v>
      </c>
      <c r="B1409" s="7" t="str">
        <f t="shared" si="69"/>
        <v>47</v>
      </c>
      <c r="C1409" s="7" t="str">
        <f>"27"</f>
        <v>27</v>
      </c>
      <c r="D1409" s="7" t="str">
        <f>"20210234727"</f>
        <v>20210234727</v>
      </c>
      <c r="E1409" s="7" t="s">
        <v>1374</v>
      </c>
      <c r="F1409" s="7">
        <v>52</v>
      </c>
      <c r="G1409" s="7">
        <v>29</v>
      </c>
      <c r="H1409" s="8">
        <f t="shared" si="68"/>
        <v>45.099999999999994</v>
      </c>
    </row>
    <row r="1410" spans="1:8" s="2" customFormat="1">
      <c r="A1410" s="7" t="s">
        <v>1340</v>
      </c>
      <c r="B1410" s="7" t="str">
        <f t="shared" si="69"/>
        <v>47</v>
      </c>
      <c r="C1410" s="7" t="str">
        <f>"28"</f>
        <v>28</v>
      </c>
      <c r="D1410" s="7" t="str">
        <f>"20210234728"</f>
        <v>20210234728</v>
      </c>
      <c r="E1410" s="7" t="s">
        <v>1375</v>
      </c>
      <c r="F1410" s="7">
        <v>70.5</v>
      </c>
      <c r="G1410" s="7">
        <v>71</v>
      </c>
      <c r="H1410" s="8">
        <f t="shared" si="68"/>
        <v>70.649999999999991</v>
      </c>
    </row>
    <row r="1411" spans="1:8" s="2" customFormat="1">
      <c r="A1411" s="7" t="s">
        <v>1340</v>
      </c>
      <c r="B1411" s="7" t="str">
        <f t="shared" si="69"/>
        <v>47</v>
      </c>
      <c r="C1411" s="7" t="str">
        <f>"29"</f>
        <v>29</v>
      </c>
      <c r="D1411" s="7" t="str">
        <f>"20210234729"</f>
        <v>20210234729</v>
      </c>
      <c r="E1411" s="7" t="s">
        <v>1376</v>
      </c>
      <c r="F1411" s="7">
        <v>64</v>
      </c>
      <c r="G1411" s="7">
        <v>67</v>
      </c>
      <c r="H1411" s="8">
        <f t="shared" si="68"/>
        <v>64.899999999999991</v>
      </c>
    </row>
    <row r="1412" spans="1:8" s="2" customFormat="1">
      <c r="A1412" s="7" t="s">
        <v>1340</v>
      </c>
      <c r="B1412" s="7" t="str">
        <f t="shared" si="69"/>
        <v>47</v>
      </c>
      <c r="C1412" s="7" t="str">
        <f>"30"</f>
        <v>30</v>
      </c>
      <c r="D1412" s="7" t="str">
        <f>"20210234730"</f>
        <v>20210234730</v>
      </c>
      <c r="E1412" s="7" t="s">
        <v>1377</v>
      </c>
      <c r="F1412" s="7">
        <v>51</v>
      </c>
      <c r="G1412" s="7">
        <v>74</v>
      </c>
      <c r="H1412" s="8">
        <f t="shared" si="68"/>
        <v>57.899999999999991</v>
      </c>
    </row>
    <row r="1413" spans="1:8" s="2" customFormat="1">
      <c r="A1413" s="7" t="s">
        <v>1340</v>
      </c>
      <c r="B1413" s="7" t="str">
        <f t="shared" ref="B1413:B1442" si="70">"48"</f>
        <v>48</v>
      </c>
      <c r="C1413" s="7" t="str">
        <f>"01"</f>
        <v>01</v>
      </c>
      <c r="D1413" s="7" t="str">
        <f>"20210234801"</f>
        <v>20210234801</v>
      </c>
      <c r="E1413" s="7" t="s">
        <v>1378</v>
      </c>
      <c r="F1413" s="7">
        <v>68</v>
      </c>
      <c r="G1413" s="7">
        <v>84</v>
      </c>
      <c r="H1413" s="8">
        <f t="shared" si="68"/>
        <v>72.8</v>
      </c>
    </row>
    <row r="1414" spans="1:8" s="2" customFormat="1">
      <c r="A1414" s="7" t="s">
        <v>1340</v>
      </c>
      <c r="B1414" s="7" t="str">
        <f t="shared" si="70"/>
        <v>48</v>
      </c>
      <c r="C1414" s="7" t="str">
        <f>"02"</f>
        <v>02</v>
      </c>
      <c r="D1414" s="7" t="str">
        <f>"20210234802"</f>
        <v>20210234802</v>
      </c>
      <c r="E1414" s="7" t="s">
        <v>1379</v>
      </c>
      <c r="F1414" s="7">
        <v>45</v>
      </c>
      <c r="G1414" s="7">
        <v>63</v>
      </c>
      <c r="H1414" s="8">
        <f t="shared" si="68"/>
        <v>50.399999999999991</v>
      </c>
    </row>
    <row r="1415" spans="1:8" s="2" customFormat="1">
      <c r="A1415" s="7" t="s">
        <v>1340</v>
      </c>
      <c r="B1415" s="7" t="str">
        <f t="shared" si="70"/>
        <v>48</v>
      </c>
      <c r="C1415" s="7" t="str">
        <f>"03"</f>
        <v>03</v>
      </c>
      <c r="D1415" s="7" t="str">
        <f>"20210234803"</f>
        <v>20210234803</v>
      </c>
      <c r="E1415" s="7" t="s">
        <v>1380</v>
      </c>
      <c r="F1415" s="7">
        <v>45</v>
      </c>
      <c r="G1415" s="7">
        <v>34</v>
      </c>
      <c r="H1415" s="8">
        <f t="shared" si="68"/>
        <v>41.699999999999996</v>
      </c>
    </row>
    <row r="1416" spans="1:8" s="2" customFormat="1">
      <c r="A1416" s="7" t="s">
        <v>1340</v>
      </c>
      <c r="B1416" s="7" t="str">
        <f t="shared" si="70"/>
        <v>48</v>
      </c>
      <c r="C1416" s="7" t="str">
        <f>"04"</f>
        <v>04</v>
      </c>
      <c r="D1416" s="7" t="str">
        <f>"20210234804"</f>
        <v>20210234804</v>
      </c>
      <c r="E1416" s="7" t="s">
        <v>1381</v>
      </c>
      <c r="F1416" s="7">
        <v>38</v>
      </c>
      <c r="G1416" s="7">
        <v>52</v>
      </c>
      <c r="H1416" s="8">
        <f t="shared" si="68"/>
        <v>42.199999999999996</v>
      </c>
    </row>
    <row r="1417" spans="1:8" s="2" customFormat="1">
      <c r="A1417" s="7" t="s">
        <v>1382</v>
      </c>
      <c r="B1417" s="7" t="str">
        <f t="shared" si="70"/>
        <v>48</v>
      </c>
      <c r="C1417" s="7" t="str">
        <f>"05"</f>
        <v>05</v>
      </c>
      <c r="D1417" s="7" t="str">
        <f>"20210244805"</f>
        <v>20210244805</v>
      </c>
      <c r="E1417" s="7" t="s">
        <v>1383</v>
      </c>
      <c r="F1417" s="7">
        <v>59</v>
      </c>
      <c r="G1417" s="7">
        <v>66</v>
      </c>
      <c r="H1417" s="8">
        <f t="shared" si="68"/>
        <v>61.099999999999994</v>
      </c>
    </row>
    <row r="1418" spans="1:8" s="2" customFormat="1">
      <c r="A1418" s="7" t="s">
        <v>1382</v>
      </c>
      <c r="B1418" s="7" t="str">
        <f t="shared" si="70"/>
        <v>48</v>
      </c>
      <c r="C1418" s="7" t="str">
        <f>"06"</f>
        <v>06</v>
      </c>
      <c r="D1418" s="7" t="str">
        <f>"20210244806"</f>
        <v>20210244806</v>
      </c>
      <c r="E1418" s="7" t="s">
        <v>1384</v>
      </c>
      <c r="F1418" s="7">
        <v>65.5</v>
      </c>
      <c r="G1418" s="7">
        <v>50</v>
      </c>
      <c r="H1418" s="8">
        <f t="shared" si="68"/>
        <v>60.849999999999994</v>
      </c>
    </row>
    <row r="1419" spans="1:8" s="2" customFormat="1">
      <c r="A1419" s="7" t="s">
        <v>1382</v>
      </c>
      <c r="B1419" s="7" t="str">
        <f t="shared" si="70"/>
        <v>48</v>
      </c>
      <c r="C1419" s="7" t="str">
        <f>"07"</f>
        <v>07</v>
      </c>
      <c r="D1419" s="7" t="str">
        <f>"20210244807"</f>
        <v>20210244807</v>
      </c>
      <c r="E1419" s="7" t="s">
        <v>1385</v>
      </c>
      <c r="F1419" s="7">
        <v>43.5</v>
      </c>
      <c r="G1419" s="7">
        <v>57</v>
      </c>
      <c r="H1419" s="8">
        <f t="shared" si="68"/>
        <v>47.55</v>
      </c>
    </row>
    <row r="1420" spans="1:8" s="2" customFormat="1">
      <c r="A1420" s="7" t="s">
        <v>1382</v>
      </c>
      <c r="B1420" s="7" t="str">
        <f t="shared" si="70"/>
        <v>48</v>
      </c>
      <c r="C1420" s="7" t="str">
        <f>"08"</f>
        <v>08</v>
      </c>
      <c r="D1420" s="7" t="str">
        <f>"20210244808"</f>
        <v>20210244808</v>
      </c>
      <c r="E1420" s="7" t="s">
        <v>1386</v>
      </c>
      <c r="F1420" s="7">
        <v>50.5</v>
      </c>
      <c r="G1420" s="7">
        <v>38</v>
      </c>
      <c r="H1420" s="8">
        <f t="shared" si="68"/>
        <v>46.749999999999993</v>
      </c>
    </row>
    <row r="1421" spans="1:8" s="2" customFormat="1">
      <c r="A1421" s="7" t="s">
        <v>1382</v>
      </c>
      <c r="B1421" s="7" t="str">
        <f t="shared" si="70"/>
        <v>48</v>
      </c>
      <c r="C1421" s="7" t="str">
        <f>"09"</f>
        <v>09</v>
      </c>
      <c r="D1421" s="7" t="str">
        <f>"20210244809"</f>
        <v>20210244809</v>
      </c>
      <c r="E1421" s="7" t="s">
        <v>1387</v>
      </c>
      <c r="F1421" s="7">
        <v>43.5</v>
      </c>
      <c r="G1421" s="7">
        <v>54</v>
      </c>
      <c r="H1421" s="8">
        <f t="shared" si="68"/>
        <v>46.65</v>
      </c>
    </row>
    <row r="1422" spans="1:8" s="2" customFormat="1">
      <c r="A1422" s="7" t="s">
        <v>1382</v>
      </c>
      <c r="B1422" s="7" t="str">
        <f t="shared" si="70"/>
        <v>48</v>
      </c>
      <c r="C1422" s="7" t="str">
        <f>"10"</f>
        <v>10</v>
      </c>
      <c r="D1422" s="7" t="str">
        <f>"20210244810"</f>
        <v>20210244810</v>
      </c>
      <c r="E1422" s="7" t="s">
        <v>1388</v>
      </c>
      <c r="F1422" s="7">
        <v>47.5</v>
      </c>
      <c r="G1422" s="7">
        <v>42</v>
      </c>
      <c r="H1422" s="8">
        <f t="shared" si="68"/>
        <v>45.85</v>
      </c>
    </row>
    <row r="1423" spans="1:8" s="2" customFormat="1">
      <c r="A1423" s="7" t="s">
        <v>1382</v>
      </c>
      <c r="B1423" s="7" t="str">
        <f t="shared" si="70"/>
        <v>48</v>
      </c>
      <c r="C1423" s="7" t="str">
        <f>"11"</f>
        <v>11</v>
      </c>
      <c r="D1423" s="7" t="str">
        <f>"20210244811"</f>
        <v>20210244811</v>
      </c>
      <c r="E1423" s="7" t="s">
        <v>1389</v>
      </c>
      <c r="F1423" s="7">
        <v>42</v>
      </c>
      <c r="G1423" s="7">
        <v>85</v>
      </c>
      <c r="H1423" s="8">
        <f t="shared" si="68"/>
        <v>54.9</v>
      </c>
    </row>
    <row r="1424" spans="1:8" s="2" customFormat="1">
      <c r="A1424" s="7" t="s">
        <v>1382</v>
      </c>
      <c r="B1424" s="7" t="str">
        <f t="shared" si="70"/>
        <v>48</v>
      </c>
      <c r="C1424" s="7" t="str">
        <f>"12"</f>
        <v>12</v>
      </c>
      <c r="D1424" s="7" t="str">
        <f>"20210244812"</f>
        <v>20210244812</v>
      </c>
      <c r="E1424" s="7" t="s">
        <v>1390</v>
      </c>
      <c r="F1424" s="7">
        <v>42</v>
      </c>
      <c r="G1424" s="7">
        <v>52</v>
      </c>
      <c r="H1424" s="8">
        <f t="shared" si="68"/>
        <v>45</v>
      </c>
    </row>
    <row r="1425" spans="1:8" s="2" customFormat="1">
      <c r="A1425" s="7" t="s">
        <v>1382</v>
      </c>
      <c r="B1425" s="7" t="str">
        <f t="shared" si="70"/>
        <v>48</v>
      </c>
      <c r="C1425" s="7" t="str">
        <f>"13"</f>
        <v>13</v>
      </c>
      <c r="D1425" s="7" t="str">
        <f>"20210244813"</f>
        <v>20210244813</v>
      </c>
      <c r="E1425" s="7" t="s">
        <v>1391</v>
      </c>
      <c r="F1425" s="7">
        <v>58</v>
      </c>
      <c r="G1425" s="7">
        <v>74</v>
      </c>
      <c r="H1425" s="8">
        <f t="shared" si="68"/>
        <v>62.8</v>
      </c>
    </row>
    <row r="1426" spans="1:8" s="2" customFormat="1">
      <c r="A1426" s="7" t="s">
        <v>1382</v>
      </c>
      <c r="B1426" s="7" t="str">
        <f t="shared" si="70"/>
        <v>48</v>
      </c>
      <c r="C1426" s="7" t="str">
        <f>"14"</f>
        <v>14</v>
      </c>
      <c r="D1426" s="7" t="str">
        <f>"20210244814"</f>
        <v>20210244814</v>
      </c>
      <c r="E1426" s="7" t="s">
        <v>1392</v>
      </c>
      <c r="F1426" s="7">
        <v>51.5</v>
      </c>
      <c r="G1426" s="7">
        <v>35</v>
      </c>
      <c r="H1426" s="8">
        <f t="shared" si="68"/>
        <v>46.55</v>
      </c>
    </row>
    <row r="1427" spans="1:8" s="2" customFormat="1">
      <c r="A1427" s="7" t="s">
        <v>1382</v>
      </c>
      <c r="B1427" s="7" t="str">
        <f t="shared" si="70"/>
        <v>48</v>
      </c>
      <c r="C1427" s="7" t="str">
        <f>"15"</f>
        <v>15</v>
      </c>
      <c r="D1427" s="7" t="str">
        <f>"20210244815"</f>
        <v>20210244815</v>
      </c>
      <c r="E1427" s="7" t="s">
        <v>1393</v>
      </c>
      <c r="F1427" s="7">
        <v>64</v>
      </c>
      <c r="G1427" s="7">
        <v>68</v>
      </c>
      <c r="H1427" s="8">
        <f t="shared" si="68"/>
        <v>65.199999999999989</v>
      </c>
    </row>
    <row r="1428" spans="1:8" s="2" customFormat="1">
      <c r="A1428" s="7" t="s">
        <v>1382</v>
      </c>
      <c r="B1428" s="7" t="str">
        <f t="shared" si="70"/>
        <v>48</v>
      </c>
      <c r="C1428" s="7" t="str">
        <f>"16"</f>
        <v>16</v>
      </c>
      <c r="D1428" s="7" t="str">
        <f>"20210244816"</f>
        <v>20210244816</v>
      </c>
      <c r="E1428" s="7" t="s">
        <v>1394</v>
      </c>
      <c r="F1428" s="7">
        <v>69.5</v>
      </c>
      <c r="G1428" s="7">
        <v>73</v>
      </c>
      <c r="H1428" s="8">
        <f t="shared" si="68"/>
        <v>70.55</v>
      </c>
    </row>
    <row r="1429" spans="1:8" s="2" customFormat="1">
      <c r="A1429" s="7" t="s">
        <v>1382</v>
      </c>
      <c r="B1429" s="7" t="str">
        <f t="shared" si="70"/>
        <v>48</v>
      </c>
      <c r="C1429" s="7" t="str">
        <f>"17"</f>
        <v>17</v>
      </c>
      <c r="D1429" s="7" t="str">
        <f>"20210244817"</f>
        <v>20210244817</v>
      </c>
      <c r="E1429" s="7" t="s">
        <v>1395</v>
      </c>
      <c r="F1429" s="7">
        <v>61</v>
      </c>
      <c r="G1429" s="7">
        <v>70</v>
      </c>
      <c r="H1429" s="8">
        <f t="shared" si="68"/>
        <v>63.699999999999996</v>
      </c>
    </row>
    <row r="1430" spans="1:8" s="2" customFormat="1">
      <c r="A1430" s="7" t="s">
        <v>1382</v>
      </c>
      <c r="B1430" s="7" t="str">
        <f t="shared" si="70"/>
        <v>48</v>
      </c>
      <c r="C1430" s="7" t="str">
        <f>"18"</f>
        <v>18</v>
      </c>
      <c r="D1430" s="7" t="str">
        <f>"20210244818"</f>
        <v>20210244818</v>
      </c>
      <c r="E1430" s="7" t="s">
        <v>1396</v>
      </c>
      <c r="F1430" s="7">
        <v>58</v>
      </c>
      <c r="G1430" s="7">
        <v>52</v>
      </c>
      <c r="H1430" s="8">
        <f t="shared" si="68"/>
        <v>56.199999999999996</v>
      </c>
    </row>
    <row r="1431" spans="1:8" s="2" customFormat="1">
      <c r="A1431" s="7" t="s">
        <v>1382</v>
      </c>
      <c r="B1431" s="7" t="str">
        <f t="shared" si="70"/>
        <v>48</v>
      </c>
      <c r="C1431" s="7" t="str">
        <f>"19"</f>
        <v>19</v>
      </c>
      <c r="D1431" s="7" t="str">
        <f>"20210244819"</f>
        <v>20210244819</v>
      </c>
      <c r="E1431" s="7" t="s">
        <v>1397</v>
      </c>
      <c r="F1431" s="7">
        <v>61.5</v>
      </c>
      <c r="G1431" s="7">
        <v>73</v>
      </c>
      <c r="H1431" s="8">
        <f t="shared" si="68"/>
        <v>64.949999999999989</v>
      </c>
    </row>
    <row r="1432" spans="1:8" s="2" customFormat="1">
      <c r="A1432" s="7" t="s">
        <v>1382</v>
      </c>
      <c r="B1432" s="7" t="str">
        <f t="shared" si="70"/>
        <v>48</v>
      </c>
      <c r="C1432" s="7" t="str">
        <f>"20"</f>
        <v>20</v>
      </c>
      <c r="D1432" s="7" t="str">
        <f>"20210244820"</f>
        <v>20210244820</v>
      </c>
      <c r="E1432" s="7" t="s">
        <v>1398</v>
      </c>
      <c r="F1432" s="7">
        <v>35</v>
      </c>
      <c r="G1432" s="7">
        <v>29</v>
      </c>
      <c r="H1432" s="8">
        <f t="shared" si="68"/>
        <v>33.200000000000003</v>
      </c>
    </row>
    <row r="1433" spans="1:8" s="2" customFormat="1">
      <c r="A1433" s="7" t="s">
        <v>1382</v>
      </c>
      <c r="B1433" s="7" t="str">
        <f t="shared" si="70"/>
        <v>48</v>
      </c>
      <c r="C1433" s="7" t="str">
        <f>"21"</f>
        <v>21</v>
      </c>
      <c r="D1433" s="7" t="str">
        <f>"20210244821"</f>
        <v>20210244821</v>
      </c>
      <c r="E1433" s="7" t="s">
        <v>1399</v>
      </c>
      <c r="F1433" s="7">
        <v>58</v>
      </c>
      <c r="G1433" s="7">
        <v>72</v>
      </c>
      <c r="H1433" s="8">
        <f t="shared" si="68"/>
        <v>62.199999999999989</v>
      </c>
    </row>
    <row r="1434" spans="1:8" s="2" customFormat="1">
      <c r="A1434" s="7" t="s">
        <v>1382</v>
      </c>
      <c r="B1434" s="7" t="str">
        <f t="shared" si="70"/>
        <v>48</v>
      </c>
      <c r="C1434" s="7" t="str">
        <f>"22"</f>
        <v>22</v>
      </c>
      <c r="D1434" s="7" t="str">
        <f>"20210244822"</f>
        <v>20210244822</v>
      </c>
      <c r="E1434" s="7" t="s">
        <v>1400</v>
      </c>
      <c r="F1434" s="7">
        <v>50</v>
      </c>
      <c r="G1434" s="7">
        <v>82</v>
      </c>
      <c r="H1434" s="8">
        <f t="shared" si="68"/>
        <v>59.599999999999994</v>
      </c>
    </row>
    <row r="1435" spans="1:8" s="2" customFormat="1">
      <c r="A1435" s="7" t="s">
        <v>1382</v>
      </c>
      <c r="B1435" s="7" t="str">
        <f t="shared" si="70"/>
        <v>48</v>
      </c>
      <c r="C1435" s="7" t="str">
        <f>"23"</f>
        <v>23</v>
      </c>
      <c r="D1435" s="7" t="str">
        <f>"20210244823"</f>
        <v>20210244823</v>
      </c>
      <c r="E1435" s="7" t="s">
        <v>1401</v>
      </c>
      <c r="F1435" s="7">
        <v>54</v>
      </c>
      <c r="G1435" s="7">
        <v>48</v>
      </c>
      <c r="H1435" s="8">
        <f t="shared" si="68"/>
        <v>52.199999999999996</v>
      </c>
    </row>
    <row r="1436" spans="1:8" s="2" customFormat="1">
      <c r="A1436" s="7" t="s">
        <v>1382</v>
      </c>
      <c r="B1436" s="7" t="str">
        <f t="shared" si="70"/>
        <v>48</v>
      </c>
      <c r="C1436" s="7" t="str">
        <f>"24"</f>
        <v>24</v>
      </c>
      <c r="D1436" s="7" t="str">
        <f>"20210244824"</f>
        <v>20210244824</v>
      </c>
      <c r="E1436" s="7" t="s">
        <v>1402</v>
      </c>
      <c r="F1436" s="7">
        <v>38</v>
      </c>
      <c r="G1436" s="7">
        <v>37</v>
      </c>
      <c r="H1436" s="8">
        <f t="shared" si="68"/>
        <v>37.699999999999996</v>
      </c>
    </row>
    <row r="1437" spans="1:8" s="2" customFormat="1">
      <c r="A1437" s="7" t="s">
        <v>1382</v>
      </c>
      <c r="B1437" s="7" t="str">
        <f t="shared" si="70"/>
        <v>48</v>
      </c>
      <c r="C1437" s="7" t="str">
        <f>"25"</f>
        <v>25</v>
      </c>
      <c r="D1437" s="7" t="str">
        <f>"20210244825"</f>
        <v>20210244825</v>
      </c>
      <c r="E1437" s="7" t="s">
        <v>1403</v>
      </c>
      <c r="F1437" s="7">
        <v>48</v>
      </c>
      <c r="G1437" s="7">
        <v>71</v>
      </c>
      <c r="H1437" s="8">
        <f t="shared" si="68"/>
        <v>54.899999999999991</v>
      </c>
    </row>
    <row r="1438" spans="1:8" s="2" customFormat="1">
      <c r="A1438" s="7" t="s">
        <v>1382</v>
      </c>
      <c r="B1438" s="7" t="str">
        <f t="shared" si="70"/>
        <v>48</v>
      </c>
      <c r="C1438" s="7" t="str">
        <f>"26"</f>
        <v>26</v>
      </c>
      <c r="D1438" s="7" t="str">
        <f>"20210244826"</f>
        <v>20210244826</v>
      </c>
      <c r="E1438" s="7" t="s">
        <v>1404</v>
      </c>
      <c r="F1438" s="7">
        <v>62</v>
      </c>
      <c r="G1438" s="7">
        <v>69</v>
      </c>
      <c r="H1438" s="8">
        <f t="shared" si="68"/>
        <v>64.099999999999994</v>
      </c>
    </row>
    <row r="1439" spans="1:8" s="2" customFormat="1">
      <c r="A1439" s="7" t="s">
        <v>1382</v>
      </c>
      <c r="B1439" s="7" t="str">
        <f t="shared" si="70"/>
        <v>48</v>
      </c>
      <c r="C1439" s="7" t="str">
        <f>"27"</f>
        <v>27</v>
      </c>
      <c r="D1439" s="7" t="str">
        <f>"20210244827"</f>
        <v>20210244827</v>
      </c>
      <c r="E1439" s="7" t="s">
        <v>1405</v>
      </c>
      <c r="F1439" s="7">
        <v>52</v>
      </c>
      <c r="G1439" s="7">
        <v>51</v>
      </c>
      <c r="H1439" s="8">
        <f t="shared" si="68"/>
        <v>51.699999999999996</v>
      </c>
    </row>
    <row r="1440" spans="1:8" s="2" customFormat="1">
      <c r="A1440" s="7" t="s">
        <v>1382</v>
      </c>
      <c r="B1440" s="7" t="str">
        <f t="shared" si="70"/>
        <v>48</v>
      </c>
      <c r="C1440" s="7" t="str">
        <f>"28"</f>
        <v>28</v>
      </c>
      <c r="D1440" s="7" t="str">
        <f>"20210244828"</f>
        <v>20210244828</v>
      </c>
      <c r="E1440" s="7" t="s">
        <v>1406</v>
      </c>
      <c r="F1440" s="7">
        <v>53</v>
      </c>
      <c r="G1440" s="7">
        <v>77</v>
      </c>
      <c r="H1440" s="8">
        <f t="shared" si="68"/>
        <v>60.199999999999989</v>
      </c>
    </row>
    <row r="1441" spans="1:8" s="2" customFormat="1">
      <c r="A1441" s="7" t="s">
        <v>1382</v>
      </c>
      <c r="B1441" s="7" t="str">
        <f t="shared" si="70"/>
        <v>48</v>
      </c>
      <c r="C1441" s="7" t="str">
        <f>"29"</f>
        <v>29</v>
      </c>
      <c r="D1441" s="7" t="str">
        <f>"20210244829"</f>
        <v>20210244829</v>
      </c>
      <c r="E1441" s="7" t="s">
        <v>142</v>
      </c>
      <c r="F1441" s="7">
        <v>48</v>
      </c>
      <c r="G1441" s="7">
        <v>60</v>
      </c>
      <c r="H1441" s="8">
        <f t="shared" si="68"/>
        <v>51.599999999999994</v>
      </c>
    </row>
    <row r="1442" spans="1:8" s="2" customFormat="1">
      <c r="A1442" s="7" t="s">
        <v>1382</v>
      </c>
      <c r="B1442" s="7" t="str">
        <f t="shared" si="70"/>
        <v>48</v>
      </c>
      <c r="C1442" s="7" t="str">
        <f>"30"</f>
        <v>30</v>
      </c>
      <c r="D1442" s="7" t="str">
        <f>"20210244830"</f>
        <v>20210244830</v>
      </c>
      <c r="E1442" s="7" t="s">
        <v>1407</v>
      </c>
      <c r="F1442" s="7">
        <v>43</v>
      </c>
      <c r="G1442" s="7">
        <v>60</v>
      </c>
      <c r="H1442" s="8">
        <f t="shared" ref="H1442:H1505" si="71">F1442*0.7+G1442*0.3</f>
        <v>48.099999999999994</v>
      </c>
    </row>
    <row r="1443" spans="1:8" s="2" customFormat="1">
      <c r="A1443" s="7" t="s">
        <v>1382</v>
      </c>
      <c r="B1443" s="7" t="str">
        <f t="shared" ref="B1443:B1472" si="72">"49"</f>
        <v>49</v>
      </c>
      <c r="C1443" s="7" t="str">
        <f>"01"</f>
        <v>01</v>
      </c>
      <c r="D1443" s="7" t="str">
        <f>"20210244901"</f>
        <v>20210244901</v>
      </c>
      <c r="E1443" s="7" t="s">
        <v>1408</v>
      </c>
      <c r="F1443" s="7">
        <v>36</v>
      </c>
      <c r="G1443" s="7">
        <v>43</v>
      </c>
      <c r="H1443" s="8">
        <f t="shared" si="71"/>
        <v>38.1</v>
      </c>
    </row>
    <row r="1444" spans="1:8" s="2" customFormat="1">
      <c r="A1444" s="7" t="s">
        <v>1382</v>
      </c>
      <c r="B1444" s="7" t="str">
        <f t="shared" si="72"/>
        <v>49</v>
      </c>
      <c r="C1444" s="7" t="str">
        <f>"02"</f>
        <v>02</v>
      </c>
      <c r="D1444" s="7" t="str">
        <f>"20210244902"</f>
        <v>20210244902</v>
      </c>
      <c r="E1444" s="7" t="s">
        <v>1409</v>
      </c>
      <c r="F1444" s="7">
        <v>47</v>
      </c>
      <c r="G1444" s="7">
        <v>58</v>
      </c>
      <c r="H1444" s="8">
        <f t="shared" si="71"/>
        <v>50.3</v>
      </c>
    </row>
    <row r="1445" spans="1:8" s="2" customFormat="1">
      <c r="A1445" s="7" t="s">
        <v>1382</v>
      </c>
      <c r="B1445" s="7" t="str">
        <f t="shared" si="72"/>
        <v>49</v>
      </c>
      <c r="C1445" s="7" t="str">
        <f>"03"</f>
        <v>03</v>
      </c>
      <c r="D1445" s="7" t="str">
        <f>"20210244903"</f>
        <v>20210244903</v>
      </c>
      <c r="E1445" s="7" t="s">
        <v>1410</v>
      </c>
      <c r="F1445" s="7">
        <v>86</v>
      </c>
      <c r="G1445" s="7">
        <v>78</v>
      </c>
      <c r="H1445" s="8">
        <f t="shared" si="71"/>
        <v>83.6</v>
      </c>
    </row>
    <row r="1446" spans="1:8" s="2" customFormat="1">
      <c r="A1446" s="7" t="s">
        <v>1382</v>
      </c>
      <c r="B1446" s="7" t="str">
        <f t="shared" si="72"/>
        <v>49</v>
      </c>
      <c r="C1446" s="7" t="str">
        <f>"04"</f>
        <v>04</v>
      </c>
      <c r="D1446" s="7" t="str">
        <f>"20210244904"</f>
        <v>20210244904</v>
      </c>
      <c r="E1446" s="7" t="s">
        <v>1201</v>
      </c>
      <c r="F1446" s="7">
        <v>41</v>
      </c>
      <c r="G1446" s="7">
        <v>34</v>
      </c>
      <c r="H1446" s="8">
        <f t="shared" si="71"/>
        <v>38.9</v>
      </c>
    </row>
    <row r="1447" spans="1:8" s="2" customFormat="1">
      <c r="A1447" s="7" t="s">
        <v>1382</v>
      </c>
      <c r="B1447" s="7" t="str">
        <f t="shared" si="72"/>
        <v>49</v>
      </c>
      <c r="C1447" s="7" t="str">
        <f>"05"</f>
        <v>05</v>
      </c>
      <c r="D1447" s="7" t="str">
        <f>"20210244905"</f>
        <v>20210244905</v>
      </c>
      <c r="E1447" s="7" t="s">
        <v>1042</v>
      </c>
      <c r="F1447" s="7">
        <v>69</v>
      </c>
      <c r="G1447" s="7">
        <v>49</v>
      </c>
      <c r="H1447" s="8">
        <f t="shared" si="71"/>
        <v>63</v>
      </c>
    </row>
    <row r="1448" spans="1:8" s="2" customFormat="1">
      <c r="A1448" s="7" t="s">
        <v>1382</v>
      </c>
      <c r="B1448" s="7" t="str">
        <f t="shared" si="72"/>
        <v>49</v>
      </c>
      <c r="C1448" s="7" t="str">
        <f>"06"</f>
        <v>06</v>
      </c>
      <c r="D1448" s="7" t="str">
        <f>"20210244906"</f>
        <v>20210244906</v>
      </c>
      <c r="E1448" s="7" t="s">
        <v>1411</v>
      </c>
      <c r="F1448" s="7">
        <v>71</v>
      </c>
      <c r="G1448" s="7">
        <v>70</v>
      </c>
      <c r="H1448" s="8">
        <f t="shared" si="71"/>
        <v>70.699999999999989</v>
      </c>
    </row>
    <row r="1449" spans="1:8" s="2" customFormat="1">
      <c r="A1449" s="7" t="s">
        <v>1382</v>
      </c>
      <c r="B1449" s="7" t="str">
        <f t="shared" si="72"/>
        <v>49</v>
      </c>
      <c r="C1449" s="7" t="str">
        <f>"07"</f>
        <v>07</v>
      </c>
      <c r="D1449" s="7" t="str">
        <f>"20210244907"</f>
        <v>20210244907</v>
      </c>
      <c r="E1449" s="7" t="s">
        <v>1412</v>
      </c>
      <c r="F1449" s="7">
        <v>56.5</v>
      </c>
      <c r="G1449" s="7">
        <v>57</v>
      </c>
      <c r="H1449" s="8">
        <f t="shared" si="71"/>
        <v>56.649999999999991</v>
      </c>
    </row>
    <row r="1450" spans="1:8" s="2" customFormat="1">
      <c r="A1450" s="7" t="s">
        <v>1382</v>
      </c>
      <c r="B1450" s="7" t="str">
        <f t="shared" si="72"/>
        <v>49</v>
      </c>
      <c r="C1450" s="7" t="str">
        <f>"08"</f>
        <v>08</v>
      </c>
      <c r="D1450" s="7" t="str">
        <f>"20210244908"</f>
        <v>20210244908</v>
      </c>
      <c r="E1450" s="7" t="s">
        <v>1413</v>
      </c>
      <c r="F1450" s="7">
        <v>71.5</v>
      </c>
      <c r="G1450" s="7">
        <v>56</v>
      </c>
      <c r="H1450" s="8">
        <f t="shared" si="71"/>
        <v>66.849999999999994</v>
      </c>
    </row>
    <row r="1451" spans="1:8" s="2" customFormat="1">
      <c r="A1451" s="7" t="s">
        <v>1382</v>
      </c>
      <c r="B1451" s="7" t="str">
        <f t="shared" si="72"/>
        <v>49</v>
      </c>
      <c r="C1451" s="7" t="str">
        <f>"09"</f>
        <v>09</v>
      </c>
      <c r="D1451" s="7" t="str">
        <f>"20210244909"</f>
        <v>20210244909</v>
      </c>
      <c r="E1451" s="7" t="s">
        <v>1414</v>
      </c>
      <c r="F1451" s="7">
        <v>59</v>
      </c>
      <c r="G1451" s="7">
        <v>83</v>
      </c>
      <c r="H1451" s="8">
        <f t="shared" si="71"/>
        <v>66.199999999999989</v>
      </c>
    </row>
    <row r="1452" spans="1:8" s="2" customFormat="1">
      <c r="A1452" s="7" t="s">
        <v>1382</v>
      </c>
      <c r="B1452" s="7" t="str">
        <f t="shared" si="72"/>
        <v>49</v>
      </c>
      <c r="C1452" s="7" t="str">
        <f>"10"</f>
        <v>10</v>
      </c>
      <c r="D1452" s="7" t="str">
        <f>"20210244910"</f>
        <v>20210244910</v>
      </c>
      <c r="E1452" s="7" t="s">
        <v>1415</v>
      </c>
      <c r="F1452" s="7">
        <v>28</v>
      </c>
      <c r="G1452" s="7">
        <v>37</v>
      </c>
      <c r="H1452" s="8">
        <f t="shared" si="71"/>
        <v>30.699999999999996</v>
      </c>
    </row>
    <row r="1453" spans="1:8" s="2" customFormat="1">
      <c r="A1453" s="7" t="s">
        <v>1382</v>
      </c>
      <c r="B1453" s="7" t="str">
        <f t="shared" si="72"/>
        <v>49</v>
      </c>
      <c r="C1453" s="7" t="str">
        <f>"11"</f>
        <v>11</v>
      </c>
      <c r="D1453" s="7" t="str">
        <f>"20210244911"</f>
        <v>20210244911</v>
      </c>
      <c r="E1453" s="7" t="s">
        <v>1416</v>
      </c>
      <c r="F1453" s="7">
        <v>61</v>
      </c>
      <c r="G1453" s="7">
        <v>75</v>
      </c>
      <c r="H1453" s="8">
        <f t="shared" si="71"/>
        <v>65.199999999999989</v>
      </c>
    </row>
    <row r="1454" spans="1:8" s="2" customFormat="1">
      <c r="A1454" s="7" t="s">
        <v>1382</v>
      </c>
      <c r="B1454" s="7" t="str">
        <f t="shared" si="72"/>
        <v>49</v>
      </c>
      <c r="C1454" s="7" t="str">
        <f>"12"</f>
        <v>12</v>
      </c>
      <c r="D1454" s="7" t="str">
        <f>"20210244912"</f>
        <v>20210244912</v>
      </c>
      <c r="E1454" s="7" t="s">
        <v>1417</v>
      </c>
      <c r="F1454" s="7">
        <v>46</v>
      </c>
      <c r="G1454" s="7">
        <v>36</v>
      </c>
      <c r="H1454" s="8">
        <f t="shared" si="71"/>
        <v>42.999999999999993</v>
      </c>
    </row>
    <row r="1455" spans="1:8" s="2" customFormat="1">
      <c r="A1455" s="7" t="s">
        <v>1382</v>
      </c>
      <c r="B1455" s="7" t="str">
        <f t="shared" si="72"/>
        <v>49</v>
      </c>
      <c r="C1455" s="7" t="str">
        <f>"13"</f>
        <v>13</v>
      </c>
      <c r="D1455" s="7" t="str">
        <f>"20210244913"</f>
        <v>20210244913</v>
      </c>
      <c r="E1455" s="7" t="s">
        <v>1418</v>
      </c>
      <c r="F1455" s="7">
        <v>57.5</v>
      </c>
      <c r="G1455" s="7">
        <v>52</v>
      </c>
      <c r="H1455" s="8">
        <f t="shared" si="71"/>
        <v>55.85</v>
      </c>
    </row>
    <row r="1456" spans="1:8" s="2" customFormat="1">
      <c r="A1456" s="7" t="s">
        <v>1382</v>
      </c>
      <c r="B1456" s="7" t="str">
        <f t="shared" si="72"/>
        <v>49</v>
      </c>
      <c r="C1456" s="7" t="str">
        <f>"14"</f>
        <v>14</v>
      </c>
      <c r="D1456" s="7" t="str">
        <f>"20210244914"</f>
        <v>20210244914</v>
      </c>
      <c r="E1456" s="7" t="s">
        <v>1419</v>
      </c>
      <c r="F1456" s="7">
        <v>42</v>
      </c>
      <c r="G1456" s="7">
        <v>45</v>
      </c>
      <c r="H1456" s="8">
        <f t="shared" si="71"/>
        <v>42.9</v>
      </c>
    </row>
    <row r="1457" spans="1:8" s="2" customFormat="1">
      <c r="A1457" s="7" t="s">
        <v>1382</v>
      </c>
      <c r="B1457" s="7" t="str">
        <f t="shared" si="72"/>
        <v>49</v>
      </c>
      <c r="C1457" s="7" t="str">
        <f>"15"</f>
        <v>15</v>
      </c>
      <c r="D1457" s="7" t="str">
        <f>"20210244915"</f>
        <v>20210244915</v>
      </c>
      <c r="E1457" s="7" t="s">
        <v>1420</v>
      </c>
      <c r="F1457" s="7">
        <v>51</v>
      </c>
      <c r="G1457" s="7">
        <v>63</v>
      </c>
      <c r="H1457" s="8">
        <f t="shared" si="71"/>
        <v>54.599999999999994</v>
      </c>
    </row>
    <row r="1458" spans="1:8" s="2" customFormat="1">
      <c r="A1458" s="7" t="s">
        <v>1382</v>
      </c>
      <c r="B1458" s="7" t="str">
        <f t="shared" si="72"/>
        <v>49</v>
      </c>
      <c r="C1458" s="7" t="str">
        <f>"16"</f>
        <v>16</v>
      </c>
      <c r="D1458" s="7" t="str">
        <f>"20210244916"</f>
        <v>20210244916</v>
      </c>
      <c r="E1458" s="7" t="s">
        <v>1421</v>
      </c>
      <c r="F1458" s="7">
        <v>51.5</v>
      </c>
      <c r="G1458" s="7">
        <v>53</v>
      </c>
      <c r="H1458" s="8">
        <f t="shared" si="71"/>
        <v>51.949999999999996</v>
      </c>
    </row>
    <row r="1459" spans="1:8" s="2" customFormat="1">
      <c r="A1459" s="7" t="s">
        <v>1382</v>
      </c>
      <c r="B1459" s="7" t="str">
        <f t="shared" si="72"/>
        <v>49</v>
      </c>
      <c r="C1459" s="7" t="str">
        <f>"17"</f>
        <v>17</v>
      </c>
      <c r="D1459" s="7" t="str">
        <f>"20210244917"</f>
        <v>20210244917</v>
      </c>
      <c r="E1459" s="7" t="s">
        <v>1422</v>
      </c>
      <c r="F1459" s="7">
        <v>0</v>
      </c>
      <c r="G1459" s="7">
        <v>0</v>
      </c>
      <c r="H1459" s="8">
        <f t="shared" si="71"/>
        <v>0</v>
      </c>
    </row>
    <row r="1460" spans="1:8" s="2" customFormat="1">
      <c r="A1460" s="7" t="s">
        <v>1382</v>
      </c>
      <c r="B1460" s="7" t="str">
        <f t="shared" si="72"/>
        <v>49</v>
      </c>
      <c r="C1460" s="7" t="str">
        <f>"18"</f>
        <v>18</v>
      </c>
      <c r="D1460" s="7" t="str">
        <f>"20210244918"</f>
        <v>20210244918</v>
      </c>
      <c r="E1460" s="7" t="s">
        <v>1423</v>
      </c>
      <c r="F1460" s="7">
        <v>56</v>
      </c>
      <c r="G1460" s="7">
        <v>65</v>
      </c>
      <c r="H1460" s="8">
        <f t="shared" si="71"/>
        <v>58.699999999999996</v>
      </c>
    </row>
    <row r="1461" spans="1:8" s="2" customFormat="1">
      <c r="A1461" s="7" t="s">
        <v>1382</v>
      </c>
      <c r="B1461" s="7" t="str">
        <f t="shared" si="72"/>
        <v>49</v>
      </c>
      <c r="C1461" s="7" t="str">
        <f>"19"</f>
        <v>19</v>
      </c>
      <c r="D1461" s="7" t="str">
        <f>"20210244919"</f>
        <v>20210244919</v>
      </c>
      <c r="E1461" s="7" t="s">
        <v>1424</v>
      </c>
      <c r="F1461" s="7">
        <v>69</v>
      </c>
      <c r="G1461" s="7">
        <v>67</v>
      </c>
      <c r="H1461" s="8">
        <f t="shared" si="71"/>
        <v>68.399999999999991</v>
      </c>
    </row>
    <row r="1462" spans="1:8" s="2" customFormat="1">
      <c r="A1462" s="7" t="s">
        <v>1382</v>
      </c>
      <c r="B1462" s="7" t="str">
        <f t="shared" si="72"/>
        <v>49</v>
      </c>
      <c r="C1462" s="7" t="str">
        <f>"20"</f>
        <v>20</v>
      </c>
      <c r="D1462" s="7" t="str">
        <f>"20210244920"</f>
        <v>20210244920</v>
      </c>
      <c r="E1462" s="7" t="s">
        <v>1425</v>
      </c>
      <c r="F1462" s="7">
        <v>59</v>
      </c>
      <c r="G1462" s="7">
        <v>63</v>
      </c>
      <c r="H1462" s="8">
        <f t="shared" si="71"/>
        <v>60.199999999999996</v>
      </c>
    </row>
    <row r="1463" spans="1:8" s="2" customFormat="1">
      <c r="A1463" s="7" t="s">
        <v>1382</v>
      </c>
      <c r="B1463" s="7" t="str">
        <f t="shared" si="72"/>
        <v>49</v>
      </c>
      <c r="C1463" s="7" t="str">
        <f>"21"</f>
        <v>21</v>
      </c>
      <c r="D1463" s="7" t="str">
        <f>"20210244921"</f>
        <v>20210244921</v>
      </c>
      <c r="E1463" s="7" t="s">
        <v>1426</v>
      </c>
      <c r="F1463" s="7">
        <v>63.5</v>
      </c>
      <c r="G1463" s="7">
        <v>54</v>
      </c>
      <c r="H1463" s="8">
        <f t="shared" si="71"/>
        <v>60.649999999999991</v>
      </c>
    </row>
    <row r="1464" spans="1:8" s="2" customFormat="1">
      <c r="A1464" s="7" t="s">
        <v>1382</v>
      </c>
      <c r="B1464" s="7" t="str">
        <f t="shared" si="72"/>
        <v>49</v>
      </c>
      <c r="C1464" s="7" t="str">
        <f>"22"</f>
        <v>22</v>
      </c>
      <c r="D1464" s="7" t="str">
        <f>"20210244922"</f>
        <v>20210244922</v>
      </c>
      <c r="E1464" s="7" t="s">
        <v>1427</v>
      </c>
      <c r="F1464" s="7">
        <v>62.5</v>
      </c>
      <c r="G1464" s="7">
        <v>66</v>
      </c>
      <c r="H1464" s="8">
        <f t="shared" si="71"/>
        <v>63.55</v>
      </c>
    </row>
    <row r="1465" spans="1:8" s="2" customFormat="1">
      <c r="A1465" s="7" t="s">
        <v>1382</v>
      </c>
      <c r="B1465" s="7" t="str">
        <f t="shared" si="72"/>
        <v>49</v>
      </c>
      <c r="C1465" s="7" t="str">
        <f>"23"</f>
        <v>23</v>
      </c>
      <c r="D1465" s="7" t="str">
        <f>"20210244923"</f>
        <v>20210244923</v>
      </c>
      <c r="E1465" s="7" t="s">
        <v>1428</v>
      </c>
      <c r="F1465" s="7">
        <v>58.5</v>
      </c>
      <c r="G1465" s="7">
        <v>61</v>
      </c>
      <c r="H1465" s="8">
        <f t="shared" si="71"/>
        <v>59.25</v>
      </c>
    </row>
    <row r="1466" spans="1:8" s="2" customFormat="1">
      <c r="A1466" s="7" t="s">
        <v>1429</v>
      </c>
      <c r="B1466" s="7" t="str">
        <f t="shared" si="72"/>
        <v>49</v>
      </c>
      <c r="C1466" s="7" t="str">
        <f>"24"</f>
        <v>24</v>
      </c>
      <c r="D1466" s="7" t="str">
        <f>"20210254924"</f>
        <v>20210254924</v>
      </c>
      <c r="E1466" s="7" t="s">
        <v>1430</v>
      </c>
      <c r="F1466" s="7">
        <v>0</v>
      </c>
      <c r="G1466" s="7">
        <v>0</v>
      </c>
      <c r="H1466" s="8">
        <f t="shared" si="71"/>
        <v>0</v>
      </c>
    </row>
    <row r="1467" spans="1:8" s="2" customFormat="1">
      <c r="A1467" s="7" t="s">
        <v>1429</v>
      </c>
      <c r="B1467" s="7" t="str">
        <f t="shared" si="72"/>
        <v>49</v>
      </c>
      <c r="C1467" s="7" t="str">
        <f>"25"</f>
        <v>25</v>
      </c>
      <c r="D1467" s="7" t="str">
        <f>"20210254925"</f>
        <v>20210254925</v>
      </c>
      <c r="E1467" s="7" t="s">
        <v>1431</v>
      </c>
      <c r="F1467" s="7">
        <v>56</v>
      </c>
      <c r="G1467" s="7">
        <v>47</v>
      </c>
      <c r="H1467" s="8">
        <f t="shared" si="71"/>
        <v>53.3</v>
      </c>
    </row>
    <row r="1468" spans="1:8" s="2" customFormat="1">
      <c r="A1468" s="7" t="s">
        <v>1429</v>
      </c>
      <c r="B1468" s="7" t="str">
        <f t="shared" si="72"/>
        <v>49</v>
      </c>
      <c r="C1468" s="7" t="str">
        <f>"26"</f>
        <v>26</v>
      </c>
      <c r="D1468" s="7" t="str">
        <f>"20210254926"</f>
        <v>20210254926</v>
      </c>
      <c r="E1468" s="7" t="s">
        <v>1432</v>
      </c>
      <c r="F1468" s="7">
        <v>62.5</v>
      </c>
      <c r="G1468" s="7">
        <v>64</v>
      </c>
      <c r="H1468" s="8">
        <f t="shared" si="71"/>
        <v>62.95</v>
      </c>
    </row>
    <row r="1469" spans="1:8" s="2" customFormat="1">
      <c r="A1469" s="7" t="s">
        <v>1429</v>
      </c>
      <c r="B1469" s="7" t="str">
        <f t="shared" si="72"/>
        <v>49</v>
      </c>
      <c r="C1469" s="7" t="str">
        <f>"27"</f>
        <v>27</v>
      </c>
      <c r="D1469" s="7" t="str">
        <f>"20210254927"</f>
        <v>20210254927</v>
      </c>
      <c r="E1469" s="7" t="s">
        <v>850</v>
      </c>
      <c r="F1469" s="7">
        <v>49</v>
      </c>
      <c r="G1469" s="7">
        <v>70</v>
      </c>
      <c r="H1469" s="8">
        <f t="shared" si="71"/>
        <v>55.3</v>
      </c>
    </row>
    <row r="1470" spans="1:8" s="2" customFormat="1">
      <c r="A1470" s="7" t="s">
        <v>1429</v>
      </c>
      <c r="B1470" s="7" t="str">
        <f t="shared" si="72"/>
        <v>49</v>
      </c>
      <c r="C1470" s="7" t="str">
        <f>"28"</f>
        <v>28</v>
      </c>
      <c r="D1470" s="7" t="str">
        <f>"20210254928"</f>
        <v>20210254928</v>
      </c>
      <c r="E1470" s="7" t="s">
        <v>1433</v>
      </c>
      <c r="F1470" s="7">
        <v>62</v>
      </c>
      <c r="G1470" s="7">
        <v>73</v>
      </c>
      <c r="H1470" s="8">
        <f t="shared" si="71"/>
        <v>65.3</v>
      </c>
    </row>
    <row r="1471" spans="1:8" s="2" customFormat="1">
      <c r="A1471" s="7" t="s">
        <v>1429</v>
      </c>
      <c r="B1471" s="7" t="str">
        <f t="shared" si="72"/>
        <v>49</v>
      </c>
      <c r="C1471" s="7" t="str">
        <f>"29"</f>
        <v>29</v>
      </c>
      <c r="D1471" s="7" t="str">
        <f>"20210254929"</f>
        <v>20210254929</v>
      </c>
      <c r="E1471" s="7" t="s">
        <v>1434</v>
      </c>
      <c r="F1471" s="7">
        <v>66</v>
      </c>
      <c r="G1471" s="7">
        <v>82</v>
      </c>
      <c r="H1471" s="8">
        <f t="shared" si="71"/>
        <v>70.8</v>
      </c>
    </row>
    <row r="1472" spans="1:8" s="2" customFormat="1">
      <c r="A1472" s="7" t="s">
        <v>1429</v>
      </c>
      <c r="B1472" s="7" t="str">
        <f t="shared" si="72"/>
        <v>49</v>
      </c>
      <c r="C1472" s="7" t="str">
        <f>"30"</f>
        <v>30</v>
      </c>
      <c r="D1472" s="7" t="str">
        <f>"20210254930"</f>
        <v>20210254930</v>
      </c>
      <c r="E1472" s="7" t="s">
        <v>1435</v>
      </c>
      <c r="F1472" s="7">
        <v>56</v>
      </c>
      <c r="G1472" s="7">
        <v>57</v>
      </c>
      <c r="H1472" s="8">
        <f t="shared" si="71"/>
        <v>56.3</v>
      </c>
    </row>
    <row r="1473" spans="1:8" s="2" customFormat="1">
      <c r="A1473" s="7" t="s">
        <v>1429</v>
      </c>
      <c r="B1473" s="7" t="str">
        <f t="shared" ref="B1473:B1502" si="73">"50"</f>
        <v>50</v>
      </c>
      <c r="C1473" s="7" t="str">
        <f>"01"</f>
        <v>01</v>
      </c>
      <c r="D1473" s="7" t="str">
        <f>"20210255001"</f>
        <v>20210255001</v>
      </c>
      <c r="E1473" s="7" t="s">
        <v>1436</v>
      </c>
      <c r="F1473" s="7">
        <v>67.5</v>
      </c>
      <c r="G1473" s="7">
        <v>71</v>
      </c>
      <c r="H1473" s="8">
        <f t="shared" si="71"/>
        <v>68.55</v>
      </c>
    </row>
    <row r="1474" spans="1:8" s="2" customFormat="1">
      <c r="A1474" s="7" t="s">
        <v>1429</v>
      </c>
      <c r="B1474" s="7" t="str">
        <f t="shared" si="73"/>
        <v>50</v>
      </c>
      <c r="C1474" s="7" t="str">
        <f>"02"</f>
        <v>02</v>
      </c>
      <c r="D1474" s="7" t="str">
        <f>"20210255002"</f>
        <v>20210255002</v>
      </c>
      <c r="E1474" s="7" t="s">
        <v>89</v>
      </c>
      <c r="F1474" s="7">
        <v>50</v>
      </c>
      <c r="G1474" s="7">
        <v>39</v>
      </c>
      <c r="H1474" s="8">
        <f t="shared" si="71"/>
        <v>46.7</v>
      </c>
    </row>
    <row r="1475" spans="1:8" s="2" customFormat="1">
      <c r="A1475" s="7" t="s">
        <v>1429</v>
      </c>
      <c r="B1475" s="7" t="str">
        <f t="shared" si="73"/>
        <v>50</v>
      </c>
      <c r="C1475" s="7" t="str">
        <f>"03"</f>
        <v>03</v>
      </c>
      <c r="D1475" s="7" t="str">
        <f>"20210255003"</f>
        <v>20210255003</v>
      </c>
      <c r="E1475" s="7" t="s">
        <v>1437</v>
      </c>
      <c r="F1475" s="7">
        <v>53.5</v>
      </c>
      <c r="G1475" s="7">
        <v>50</v>
      </c>
      <c r="H1475" s="8">
        <f t="shared" si="71"/>
        <v>52.449999999999996</v>
      </c>
    </row>
    <row r="1476" spans="1:8" s="2" customFormat="1">
      <c r="A1476" s="7" t="s">
        <v>1429</v>
      </c>
      <c r="B1476" s="7" t="str">
        <f t="shared" si="73"/>
        <v>50</v>
      </c>
      <c r="C1476" s="7" t="str">
        <f>"04"</f>
        <v>04</v>
      </c>
      <c r="D1476" s="7" t="str">
        <f>"20210255004"</f>
        <v>20210255004</v>
      </c>
      <c r="E1476" s="7" t="s">
        <v>1438</v>
      </c>
      <c r="F1476" s="7">
        <v>62</v>
      </c>
      <c r="G1476" s="7">
        <v>72</v>
      </c>
      <c r="H1476" s="8">
        <f t="shared" si="71"/>
        <v>65</v>
      </c>
    </row>
    <row r="1477" spans="1:8" s="2" customFormat="1">
      <c r="A1477" s="7" t="s">
        <v>1429</v>
      </c>
      <c r="B1477" s="7" t="str">
        <f t="shared" si="73"/>
        <v>50</v>
      </c>
      <c r="C1477" s="7" t="str">
        <f>"05"</f>
        <v>05</v>
      </c>
      <c r="D1477" s="7" t="str">
        <f>"20210255005"</f>
        <v>20210255005</v>
      </c>
      <c r="E1477" s="7" t="s">
        <v>1439</v>
      </c>
      <c r="F1477" s="7">
        <v>60.5</v>
      </c>
      <c r="G1477" s="7">
        <v>58</v>
      </c>
      <c r="H1477" s="8">
        <f t="shared" si="71"/>
        <v>59.749999999999993</v>
      </c>
    </row>
    <row r="1478" spans="1:8" s="2" customFormat="1">
      <c r="A1478" s="7" t="s">
        <v>1429</v>
      </c>
      <c r="B1478" s="7" t="str">
        <f t="shared" si="73"/>
        <v>50</v>
      </c>
      <c r="C1478" s="7" t="str">
        <f>"06"</f>
        <v>06</v>
      </c>
      <c r="D1478" s="7" t="str">
        <f>"20210255006"</f>
        <v>20210255006</v>
      </c>
      <c r="E1478" s="7" t="s">
        <v>1440</v>
      </c>
      <c r="F1478" s="7">
        <v>68</v>
      </c>
      <c r="G1478" s="7">
        <v>66</v>
      </c>
      <c r="H1478" s="8">
        <f t="shared" si="71"/>
        <v>67.399999999999991</v>
      </c>
    </row>
    <row r="1479" spans="1:8" s="2" customFormat="1">
      <c r="A1479" s="7" t="s">
        <v>1429</v>
      </c>
      <c r="B1479" s="7" t="str">
        <f t="shared" si="73"/>
        <v>50</v>
      </c>
      <c r="C1479" s="7" t="str">
        <f>"07"</f>
        <v>07</v>
      </c>
      <c r="D1479" s="7" t="str">
        <f>"20210255007"</f>
        <v>20210255007</v>
      </c>
      <c r="E1479" s="7" t="s">
        <v>1441</v>
      </c>
      <c r="F1479" s="7">
        <v>43</v>
      </c>
      <c r="G1479" s="7">
        <v>56</v>
      </c>
      <c r="H1479" s="8">
        <f t="shared" si="71"/>
        <v>46.9</v>
      </c>
    </row>
    <row r="1480" spans="1:8" s="2" customFormat="1">
      <c r="A1480" s="7" t="s">
        <v>1429</v>
      </c>
      <c r="B1480" s="7" t="str">
        <f t="shared" si="73"/>
        <v>50</v>
      </c>
      <c r="C1480" s="7" t="str">
        <f>"08"</f>
        <v>08</v>
      </c>
      <c r="D1480" s="7" t="str">
        <f>"20210255008"</f>
        <v>20210255008</v>
      </c>
      <c r="E1480" s="7" t="s">
        <v>1442</v>
      </c>
      <c r="F1480" s="7">
        <v>41</v>
      </c>
      <c r="G1480" s="7">
        <v>59</v>
      </c>
      <c r="H1480" s="8">
        <f t="shared" si="71"/>
        <v>46.4</v>
      </c>
    </row>
    <row r="1481" spans="1:8" s="2" customFormat="1">
      <c r="A1481" s="7" t="s">
        <v>1429</v>
      </c>
      <c r="B1481" s="7" t="str">
        <f t="shared" si="73"/>
        <v>50</v>
      </c>
      <c r="C1481" s="7" t="str">
        <f>"09"</f>
        <v>09</v>
      </c>
      <c r="D1481" s="7" t="str">
        <f>"20210255009"</f>
        <v>20210255009</v>
      </c>
      <c r="E1481" s="7" t="s">
        <v>1443</v>
      </c>
      <c r="F1481" s="7">
        <v>81</v>
      </c>
      <c r="G1481" s="7">
        <v>82</v>
      </c>
      <c r="H1481" s="8">
        <f t="shared" si="71"/>
        <v>81.3</v>
      </c>
    </row>
    <row r="1482" spans="1:8" s="2" customFormat="1">
      <c r="A1482" s="7" t="s">
        <v>1429</v>
      </c>
      <c r="B1482" s="7" t="str">
        <f t="shared" si="73"/>
        <v>50</v>
      </c>
      <c r="C1482" s="7" t="str">
        <f>"10"</f>
        <v>10</v>
      </c>
      <c r="D1482" s="7" t="str">
        <f>"20210255010"</f>
        <v>20210255010</v>
      </c>
      <c r="E1482" s="7" t="s">
        <v>770</v>
      </c>
      <c r="F1482" s="7">
        <v>38</v>
      </c>
      <c r="G1482" s="7">
        <v>51</v>
      </c>
      <c r="H1482" s="8">
        <f t="shared" si="71"/>
        <v>41.9</v>
      </c>
    </row>
    <row r="1483" spans="1:8" s="2" customFormat="1">
      <c r="A1483" s="7" t="s">
        <v>1429</v>
      </c>
      <c r="B1483" s="7" t="str">
        <f t="shared" si="73"/>
        <v>50</v>
      </c>
      <c r="C1483" s="7" t="str">
        <f>"11"</f>
        <v>11</v>
      </c>
      <c r="D1483" s="7" t="str">
        <f>"20210255011"</f>
        <v>20210255011</v>
      </c>
      <c r="E1483" s="7" t="s">
        <v>1444</v>
      </c>
      <c r="F1483" s="7">
        <v>68.5</v>
      </c>
      <c r="G1483" s="7">
        <v>66</v>
      </c>
      <c r="H1483" s="8">
        <f t="shared" si="71"/>
        <v>67.75</v>
      </c>
    </row>
    <row r="1484" spans="1:8" s="2" customFormat="1">
      <c r="A1484" s="7" t="s">
        <v>1429</v>
      </c>
      <c r="B1484" s="7" t="str">
        <f t="shared" si="73"/>
        <v>50</v>
      </c>
      <c r="C1484" s="7" t="str">
        <f>"12"</f>
        <v>12</v>
      </c>
      <c r="D1484" s="7" t="str">
        <f>"20210255012"</f>
        <v>20210255012</v>
      </c>
      <c r="E1484" s="7" t="s">
        <v>1445</v>
      </c>
      <c r="F1484" s="7">
        <v>59</v>
      </c>
      <c r="G1484" s="7">
        <v>59</v>
      </c>
      <c r="H1484" s="8">
        <f t="shared" si="71"/>
        <v>59</v>
      </c>
    </row>
    <row r="1485" spans="1:8" s="2" customFormat="1">
      <c r="A1485" s="7" t="s">
        <v>1429</v>
      </c>
      <c r="B1485" s="7" t="str">
        <f t="shared" si="73"/>
        <v>50</v>
      </c>
      <c r="C1485" s="7" t="str">
        <f>"13"</f>
        <v>13</v>
      </c>
      <c r="D1485" s="7" t="str">
        <f>"20210255013"</f>
        <v>20210255013</v>
      </c>
      <c r="E1485" s="7" t="s">
        <v>1446</v>
      </c>
      <c r="F1485" s="7">
        <v>48</v>
      </c>
      <c r="G1485" s="7">
        <v>59</v>
      </c>
      <c r="H1485" s="8">
        <f t="shared" si="71"/>
        <v>51.3</v>
      </c>
    </row>
    <row r="1486" spans="1:8" s="2" customFormat="1">
      <c r="A1486" s="7" t="s">
        <v>1429</v>
      </c>
      <c r="B1486" s="7" t="str">
        <f t="shared" si="73"/>
        <v>50</v>
      </c>
      <c r="C1486" s="7" t="str">
        <f>"14"</f>
        <v>14</v>
      </c>
      <c r="D1486" s="7" t="str">
        <f>"20210255014"</f>
        <v>20210255014</v>
      </c>
      <c r="E1486" s="7" t="s">
        <v>1103</v>
      </c>
      <c r="F1486" s="7">
        <v>58.5</v>
      </c>
      <c r="G1486" s="7">
        <v>55</v>
      </c>
      <c r="H1486" s="8">
        <f t="shared" si="71"/>
        <v>57.449999999999996</v>
      </c>
    </row>
    <row r="1487" spans="1:8" s="2" customFormat="1">
      <c r="A1487" s="7" t="s">
        <v>1429</v>
      </c>
      <c r="B1487" s="7" t="str">
        <f t="shared" si="73"/>
        <v>50</v>
      </c>
      <c r="C1487" s="7" t="str">
        <f>"15"</f>
        <v>15</v>
      </c>
      <c r="D1487" s="7" t="str">
        <f>"20210255015"</f>
        <v>20210255015</v>
      </c>
      <c r="E1487" s="7" t="s">
        <v>1447</v>
      </c>
      <c r="F1487" s="7">
        <v>56</v>
      </c>
      <c r="G1487" s="7">
        <v>68</v>
      </c>
      <c r="H1487" s="8">
        <f t="shared" si="71"/>
        <v>59.599999999999994</v>
      </c>
    </row>
    <row r="1488" spans="1:8" s="2" customFormat="1">
      <c r="A1488" s="7" t="s">
        <v>1429</v>
      </c>
      <c r="B1488" s="7" t="str">
        <f t="shared" si="73"/>
        <v>50</v>
      </c>
      <c r="C1488" s="7" t="str">
        <f>"16"</f>
        <v>16</v>
      </c>
      <c r="D1488" s="7" t="str">
        <f>"20210255016"</f>
        <v>20210255016</v>
      </c>
      <c r="E1488" s="7" t="s">
        <v>1448</v>
      </c>
      <c r="F1488" s="7">
        <v>52</v>
      </c>
      <c r="G1488" s="7">
        <v>63</v>
      </c>
      <c r="H1488" s="8">
        <f t="shared" si="71"/>
        <v>55.3</v>
      </c>
    </row>
    <row r="1489" spans="1:8" s="2" customFormat="1">
      <c r="A1489" s="7" t="s">
        <v>1429</v>
      </c>
      <c r="B1489" s="7" t="str">
        <f t="shared" si="73"/>
        <v>50</v>
      </c>
      <c r="C1489" s="7" t="str">
        <f>"17"</f>
        <v>17</v>
      </c>
      <c r="D1489" s="7" t="str">
        <f>"20210255017"</f>
        <v>20210255017</v>
      </c>
      <c r="E1489" s="7" t="s">
        <v>1449</v>
      </c>
      <c r="F1489" s="7">
        <v>45</v>
      </c>
      <c r="G1489" s="7">
        <v>58</v>
      </c>
      <c r="H1489" s="8">
        <f t="shared" si="71"/>
        <v>48.899999999999991</v>
      </c>
    </row>
    <row r="1490" spans="1:8" s="2" customFormat="1">
      <c r="A1490" s="7" t="s">
        <v>1429</v>
      </c>
      <c r="B1490" s="7" t="str">
        <f t="shared" si="73"/>
        <v>50</v>
      </c>
      <c r="C1490" s="7" t="str">
        <f>"18"</f>
        <v>18</v>
      </c>
      <c r="D1490" s="7" t="str">
        <f>"20210255018"</f>
        <v>20210255018</v>
      </c>
      <c r="E1490" s="7" t="s">
        <v>1450</v>
      </c>
      <c r="F1490" s="7">
        <v>71</v>
      </c>
      <c r="G1490" s="7">
        <v>68</v>
      </c>
      <c r="H1490" s="8">
        <f t="shared" si="71"/>
        <v>70.099999999999994</v>
      </c>
    </row>
    <row r="1491" spans="1:8" s="2" customFormat="1">
      <c r="A1491" s="7" t="s">
        <v>1429</v>
      </c>
      <c r="B1491" s="7" t="str">
        <f t="shared" si="73"/>
        <v>50</v>
      </c>
      <c r="C1491" s="7" t="str">
        <f>"19"</f>
        <v>19</v>
      </c>
      <c r="D1491" s="7" t="str">
        <f>"20210255019"</f>
        <v>20210255019</v>
      </c>
      <c r="E1491" s="7" t="s">
        <v>1451</v>
      </c>
      <c r="F1491" s="7">
        <v>0</v>
      </c>
      <c r="G1491" s="7">
        <v>0</v>
      </c>
      <c r="H1491" s="8">
        <f t="shared" si="71"/>
        <v>0</v>
      </c>
    </row>
    <row r="1492" spans="1:8" s="2" customFormat="1">
      <c r="A1492" s="7" t="s">
        <v>1429</v>
      </c>
      <c r="B1492" s="7" t="str">
        <f t="shared" si="73"/>
        <v>50</v>
      </c>
      <c r="C1492" s="7" t="str">
        <f>"20"</f>
        <v>20</v>
      </c>
      <c r="D1492" s="7" t="str">
        <f>"20210255020"</f>
        <v>20210255020</v>
      </c>
      <c r="E1492" s="7" t="s">
        <v>1452</v>
      </c>
      <c r="F1492" s="7">
        <v>55.5</v>
      </c>
      <c r="G1492" s="7">
        <v>44</v>
      </c>
      <c r="H1492" s="8">
        <f t="shared" si="71"/>
        <v>52.05</v>
      </c>
    </row>
    <row r="1493" spans="1:8" s="2" customFormat="1">
      <c r="A1493" s="7" t="s">
        <v>1429</v>
      </c>
      <c r="B1493" s="7" t="str">
        <f t="shared" si="73"/>
        <v>50</v>
      </c>
      <c r="C1493" s="7" t="str">
        <f>"21"</f>
        <v>21</v>
      </c>
      <c r="D1493" s="7" t="str">
        <f>"20210255021"</f>
        <v>20210255021</v>
      </c>
      <c r="E1493" s="7" t="s">
        <v>1453</v>
      </c>
      <c r="F1493" s="7">
        <v>53.5</v>
      </c>
      <c r="G1493" s="7">
        <v>68</v>
      </c>
      <c r="H1493" s="8">
        <f t="shared" si="71"/>
        <v>57.849999999999994</v>
      </c>
    </row>
    <row r="1494" spans="1:8" s="2" customFormat="1">
      <c r="A1494" s="7" t="s">
        <v>1429</v>
      </c>
      <c r="B1494" s="7" t="str">
        <f t="shared" si="73"/>
        <v>50</v>
      </c>
      <c r="C1494" s="7" t="str">
        <f>"22"</f>
        <v>22</v>
      </c>
      <c r="D1494" s="7" t="str">
        <f>"20210255022"</f>
        <v>20210255022</v>
      </c>
      <c r="E1494" s="7" t="s">
        <v>1454</v>
      </c>
      <c r="F1494" s="7">
        <v>54</v>
      </c>
      <c r="G1494" s="7">
        <v>62</v>
      </c>
      <c r="H1494" s="8">
        <f t="shared" si="71"/>
        <v>56.399999999999991</v>
      </c>
    </row>
    <row r="1495" spans="1:8" s="2" customFormat="1">
      <c r="A1495" s="7" t="s">
        <v>1429</v>
      </c>
      <c r="B1495" s="7" t="str">
        <f t="shared" si="73"/>
        <v>50</v>
      </c>
      <c r="C1495" s="7" t="str">
        <f>"23"</f>
        <v>23</v>
      </c>
      <c r="D1495" s="7" t="str">
        <f>"20210255023"</f>
        <v>20210255023</v>
      </c>
      <c r="E1495" s="7" t="s">
        <v>1455</v>
      </c>
      <c r="F1495" s="7">
        <v>44.5</v>
      </c>
      <c r="G1495" s="7">
        <v>44</v>
      </c>
      <c r="H1495" s="8">
        <f t="shared" si="71"/>
        <v>44.349999999999994</v>
      </c>
    </row>
    <row r="1496" spans="1:8" s="2" customFormat="1">
      <c r="A1496" s="7" t="s">
        <v>1429</v>
      </c>
      <c r="B1496" s="7" t="str">
        <f t="shared" si="73"/>
        <v>50</v>
      </c>
      <c r="C1496" s="7" t="str">
        <f>"24"</f>
        <v>24</v>
      </c>
      <c r="D1496" s="7" t="str">
        <f>"20210255024"</f>
        <v>20210255024</v>
      </c>
      <c r="E1496" s="7" t="s">
        <v>1456</v>
      </c>
      <c r="F1496" s="7">
        <v>55</v>
      </c>
      <c r="G1496" s="7">
        <v>51</v>
      </c>
      <c r="H1496" s="8">
        <f t="shared" si="71"/>
        <v>53.8</v>
      </c>
    </row>
    <row r="1497" spans="1:8" s="2" customFormat="1">
      <c r="A1497" s="7" t="s">
        <v>1429</v>
      </c>
      <c r="B1497" s="7" t="str">
        <f t="shared" si="73"/>
        <v>50</v>
      </c>
      <c r="C1497" s="7" t="str">
        <f>"25"</f>
        <v>25</v>
      </c>
      <c r="D1497" s="7" t="str">
        <f>"20210255025"</f>
        <v>20210255025</v>
      </c>
      <c r="E1497" s="7" t="s">
        <v>1457</v>
      </c>
      <c r="F1497" s="7">
        <v>58</v>
      </c>
      <c r="G1497" s="7">
        <v>63</v>
      </c>
      <c r="H1497" s="8">
        <f t="shared" si="71"/>
        <v>59.499999999999993</v>
      </c>
    </row>
    <row r="1498" spans="1:8" s="2" customFormat="1">
      <c r="A1498" s="7" t="s">
        <v>1429</v>
      </c>
      <c r="B1498" s="7" t="str">
        <f t="shared" si="73"/>
        <v>50</v>
      </c>
      <c r="C1498" s="7" t="str">
        <f>"26"</f>
        <v>26</v>
      </c>
      <c r="D1498" s="7" t="str">
        <f>"20210255026"</f>
        <v>20210255026</v>
      </c>
      <c r="E1498" s="7" t="s">
        <v>1458</v>
      </c>
      <c r="F1498" s="7">
        <v>60</v>
      </c>
      <c r="G1498" s="7">
        <v>74</v>
      </c>
      <c r="H1498" s="8">
        <f t="shared" si="71"/>
        <v>64.2</v>
      </c>
    </row>
    <row r="1499" spans="1:8" s="2" customFormat="1">
      <c r="A1499" s="7" t="s">
        <v>1429</v>
      </c>
      <c r="B1499" s="7" t="str">
        <f t="shared" si="73"/>
        <v>50</v>
      </c>
      <c r="C1499" s="7" t="str">
        <f>"27"</f>
        <v>27</v>
      </c>
      <c r="D1499" s="7" t="str">
        <f>"20210255027"</f>
        <v>20210255027</v>
      </c>
      <c r="E1499" s="7" t="s">
        <v>1459</v>
      </c>
      <c r="F1499" s="7">
        <v>51</v>
      </c>
      <c r="G1499" s="7">
        <v>63</v>
      </c>
      <c r="H1499" s="8">
        <f t="shared" si="71"/>
        <v>54.599999999999994</v>
      </c>
    </row>
    <row r="1500" spans="1:8" s="2" customFormat="1">
      <c r="A1500" s="7" t="s">
        <v>1429</v>
      </c>
      <c r="B1500" s="7" t="str">
        <f t="shared" si="73"/>
        <v>50</v>
      </c>
      <c r="C1500" s="7" t="str">
        <f>"28"</f>
        <v>28</v>
      </c>
      <c r="D1500" s="7" t="str">
        <f>"20210255028"</f>
        <v>20210255028</v>
      </c>
      <c r="E1500" s="7" t="s">
        <v>1460</v>
      </c>
      <c r="F1500" s="7">
        <v>0</v>
      </c>
      <c r="G1500" s="7">
        <v>0</v>
      </c>
      <c r="H1500" s="8">
        <f t="shared" si="71"/>
        <v>0</v>
      </c>
    </row>
    <row r="1501" spans="1:8" s="2" customFormat="1">
      <c r="A1501" s="7" t="s">
        <v>1429</v>
      </c>
      <c r="B1501" s="7" t="str">
        <f t="shared" si="73"/>
        <v>50</v>
      </c>
      <c r="C1501" s="7" t="str">
        <f>"29"</f>
        <v>29</v>
      </c>
      <c r="D1501" s="7" t="str">
        <f>"20210255029"</f>
        <v>20210255029</v>
      </c>
      <c r="E1501" s="7" t="s">
        <v>1461</v>
      </c>
      <c r="F1501" s="7">
        <v>58</v>
      </c>
      <c r="G1501" s="7">
        <v>39</v>
      </c>
      <c r="H1501" s="8">
        <f t="shared" si="71"/>
        <v>52.3</v>
      </c>
    </row>
    <row r="1502" spans="1:8" s="2" customFormat="1">
      <c r="A1502" s="7" t="s">
        <v>1429</v>
      </c>
      <c r="B1502" s="7" t="str">
        <f t="shared" si="73"/>
        <v>50</v>
      </c>
      <c r="C1502" s="7" t="str">
        <f>"30"</f>
        <v>30</v>
      </c>
      <c r="D1502" s="7" t="str">
        <f>"20210255030"</f>
        <v>20210255030</v>
      </c>
      <c r="E1502" s="7" t="s">
        <v>1462</v>
      </c>
      <c r="F1502" s="7">
        <v>44</v>
      </c>
      <c r="G1502" s="7">
        <v>47</v>
      </c>
      <c r="H1502" s="8">
        <f t="shared" si="71"/>
        <v>44.9</v>
      </c>
    </row>
    <row r="1503" spans="1:8" s="2" customFormat="1">
      <c r="A1503" s="7" t="s">
        <v>1429</v>
      </c>
      <c r="B1503" s="7" t="str">
        <f t="shared" ref="B1503:B1532" si="74">"51"</f>
        <v>51</v>
      </c>
      <c r="C1503" s="7" t="str">
        <f>"01"</f>
        <v>01</v>
      </c>
      <c r="D1503" s="7" t="str">
        <f>"20210255101"</f>
        <v>20210255101</v>
      </c>
      <c r="E1503" s="7" t="s">
        <v>1463</v>
      </c>
      <c r="F1503" s="7">
        <v>65</v>
      </c>
      <c r="G1503" s="7">
        <v>83</v>
      </c>
      <c r="H1503" s="8">
        <f t="shared" si="71"/>
        <v>70.400000000000006</v>
      </c>
    </row>
    <row r="1504" spans="1:8" s="2" customFormat="1">
      <c r="A1504" s="7" t="s">
        <v>1429</v>
      </c>
      <c r="B1504" s="7" t="str">
        <f t="shared" si="74"/>
        <v>51</v>
      </c>
      <c r="C1504" s="7" t="str">
        <f>"02"</f>
        <v>02</v>
      </c>
      <c r="D1504" s="7" t="str">
        <f>"20210255102"</f>
        <v>20210255102</v>
      </c>
      <c r="E1504" s="7" t="s">
        <v>1464</v>
      </c>
      <c r="F1504" s="7">
        <v>0</v>
      </c>
      <c r="G1504" s="7">
        <v>0</v>
      </c>
      <c r="H1504" s="8">
        <f t="shared" si="71"/>
        <v>0</v>
      </c>
    </row>
    <row r="1505" spans="1:8" s="2" customFormat="1">
      <c r="A1505" s="7" t="s">
        <v>1429</v>
      </c>
      <c r="B1505" s="7" t="str">
        <f t="shared" si="74"/>
        <v>51</v>
      </c>
      <c r="C1505" s="7" t="str">
        <f>"03"</f>
        <v>03</v>
      </c>
      <c r="D1505" s="7" t="str">
        <f>"20210255103"</f>
        <v>20210255103</v>
      </c>
      <c r="E1505" s="7" t="s">
        <v>1465</v>
      </c>
      <c r="F1505" s="7">
        <v>65.5</v>
      </c>
      <c r="G1505" s="7">
        <v>65</v>
      </c>
      <c r="H1505" s="8">
        <f t="shared" si="71"/>
        <v>65.349999999999994</v>
      </c>
    </row>
    <row r="1506" spans="1:8" s="2" customFormat="1">
      <c r="A1506" s="7" t="s">
        <v>1429</v>
      </c>
      <c r="B1506" s="7" t="str">
        <f t="shared" si="74"/>
        <v>51</v>
      </c>
      <c r="C1506" s="7" t="str">
        <f>"04"</f>
        <v>04</v>
      </c>
      <c r="D1506" s="7" t="str">
        <f>"20210255104"</f>
        <v>20210255104</v>
      </c>
      <c r="E1506" s="7" t="s">
        <v>1466</v>
      </c>
      <c r="F1506" s="7">
        <v>67</v>
      </c>
      <c r="G1506" s="7">
        <v>53</v>
      </c>
      <c r="H1506" s="8">
        <f t="shared" ref="H1506:H1569" si="75">F1506*0.7+G1506*0.3</f>
        <v>62.8</v>
      </c>
    </row>
    <row r="1507" spans="1:8" s="2" customFormat="1">
      <c r="A1507" s="7" t="s">
        <v>1429</v>
      </c>
      <c r="B1507" s="7" t="str">
        <f t="shared" si="74"/>
        <v>51</v>
      </c>
      <c r="C1507" s="7" t="str">
        <f>"05"</f>
        <v>05</v>
      </c>
      <c r="D1507" s="7" t="str">
        <f>"20210255105"</f>
        <v>20210255105</v>
      </c>
      <c r="E1507" s="7" t="s">
        <v>1467</v>
      </c>
      <c r="F1507" s="7">
        <v>59</v>
      </c>
      <c r="G1507" s="7">
        <v>75</v>
      </c>
      <c r="H1507" s="8">
        <f t="shared" si="75"/>
        <v>63.8</v>
      </c>
    </row>
    <row r="1508" spans="1:8" s="2" customFormat="1">
      <c r="A1508" s="7" t="s">
        <v>1429</v>
      </c>
      <c r="B1508" s="7" t="str">
        <f t="shared" si="74"/>
        <v>51</v>
      </c>
      <c r="C1508" s="7" t="str">
        <f>"06"</f>
        <v>06</v>
      </c>
      <c r="D1508" s="7" t="str">
        <f>"20210255106"</f>
        <v>20210255106</v>
      </c>
      <c r="E1508" s="7" t="s">
        <v>1468</v>
      </c>
      <c r="F1508" s="7">
        <v>45</v>
      </c>
      <c r="G1508" s="2">
        <v>66</v>
      </c>
      <c r="H1508" s="8">
        <f t="shared" si="75"/>
        <v>51.3</v>
      </c>
    </row>
    <row r="1509" spans="1:8" s="2" customFormat="1">
      <c r="A1509" s="7" t="s">
        <v>1429</v>
      </c>
      <c r="B1509" s="7" t="str">
        <f t="shared" si="74"/>
        <v>51</v>
      </c>
      <c r="C1509" s="7" t="str">
        <f>"07"</f>
        <v>07</v>
      </c>
      <c r="D1509" s="7" t="str">
        <f>"20210255107"</f>
        <v>20210255107</v>
      </c>
      <c r="E1509" s="7" t="s">
        <v>1469</v>
      </c>
      <c r="F1509" s="7">
        <v>44.5</v>
      </c>
      <c r="G1509" s="7">
        <v>41</v>
      </c>
      <c r="H1509" s="8">
        <f t="shared" si="75"/>
        <v>43.449999999999996</v>
      </c>
    </row>
    <row r="1510" spans="1:8" s="2" customFormat="1">
      <c r="A1510" s="7" t="s">
        <v>1429</v>
      </c>
      <c r="B1510" s="7" t="str">
        <f t="shared" si="74"/>
        <v>51</v>
      </c>
      <c r="C1510" s="7" t="str">
        <f>"08"</f>
        <v>08</v>
      </c>
      <c r="D1510" s="7" t="str">
        <f>"20210255108"</f>
        <v>20210255108</v>
      </c>
      <c r="E1510" s="7" t="s">
        <v>1470</v>
      </c>
      <c r="F1510" s="7">
        <v>38.5</v>
      </c>
      <c r="G1510" s="7">
        <v>36</v>
      </c>
      <c r="H1510" s="8">
        <f t="shared" si="75"/>
        <v>37.75</v>
      </c>
    </row>
    <row r="1511" spans="1:8" s="2" customFormat="1">
      <c r="A1511" s="7" t="s">
        <v>1471</v>
      </c>
      <c r="B1511" s="7" t="str">
        <f t="shared" si="74"/>
        <v>51</v>
      </c>
      <c r="C1511" s="7" t="str">
        <f>"09"</f>
        <v>09</v>
      </c>
      <c r="D1511" s="7" t="str">
        <f>"20210265109"</f>
        <v>20210265109</v>
      </c>
      <c r="E1511" s="7" t="s">
        <v>1472</v>
      </c>
      <c r="F1511" s="7">
        <v>57.5</v>
      </c>
      <c r="G1511" s="7">
        <v>57</v>
      </c>
      <c r="H1511" s="8">
        <f t="shared" si="75"/>
        <v>57.349999999999994</v>
      </c>
    </row>
    <row r="1512" spans="1:8" s="2" customFormat="1">
      <c r="A1512" s="7" t="s">
        <v>1471</v>
      </c>
      <c r="B1512" s="7" t="str">
        <f t="shared" si="74"/>
        <v>51</v>
      </c>
      <c r="C1512" s="7" t="str">
        <f>"10"</f>
        <v>10</v>
      </c>
      <c r="D1512" s="7" t="str">
        <f>"20210265110"</f>
        <v>20210265110</v>
      </c>
      <c r="E1512" s="7" t="s">
        <v>1473</v>
      </c>
      <c r="F1512" s="7">
        <v>63</v>
      </c>
      <c r="G1512" s="7">
        <v>63</v>
      </c>
      <c r="H1512" s="8">
        <f t="shared" si="75"/>
        <v>62.999999999999993</v>
      </c>
    </row>
    <row r="1513" spans="1:8" s="2" customFormat="1">
      <c r="A1513" s="7" t="s">
        <v>1471</v>
      </c>
      <c r="B1513" s="7" t="str">
        <f t="shared" si="74"/>
        <v>51</v>
      </c>
      <c r="C1513" s="7" t="str">
        <f>"11"</f>
        <v>11</v>
      </c>
      <c r="D1513" s="7" t="str">
        <f>"20210265111"</f>
        <v>20210265111</v>
      </c>
      <c r="E1513" s="7" t="s">
        <v>1474</v>
      </c>
      <c r="F1513" s="7">
        <v>66.5</v>
      </c>
      <c r="G1513" s="7">
        <v>59</v>
      </c>
      <c r="H1513" s="8">
        <f t="shared" si="75"/>
        <v>64.25</v>
      </c>
    </row>
    <row r="1514" spans="1:8" s="2" customFormat="1">
      <c r="A1514" s="7" t="s">
        <v>1471</v>
      </c>
      <c r="B1514" s="7" t="str">
        <f t="shared" si="74"/>
        <v>51</v>
      </c>
      <c r="C1514" s="7" t="str">
        <f>"12"</f>
        <v>12</v>
      </c>
      <c r="D1514" s="7" t="str">
        <f>"20210265112"</f>
        <v>20210265112</v>
      </c>
      <c r="E1514" s="7" t="s">
        <v>1475</v>
      </c>
      <c r="F1514" s="7">
        <v>34</v>
      </c>
      <c r="G1514" s="7">
        <v>57</v>
      </c>
      <c r="H1514" s="8">
        <f t="shared" si="75"/>
        <v>40.899999999999991</v>
      </c>
    </row>
    <row r="1515" spans="1:8" s="2" customFormat="1">
      <c r="A1515" s="7" t="s">
        <v>1471</v>
      </c>
      <c r="B1515" s="7" t="str">
        <f t="shared" si="74"/>
        <v>51</v>
      </c>
      <c r="C1515" s="7" t="str">
        <f>"13"</f>
        <v>13</v>
      </c>
      <c r="D1515" s="7" t="str">
        <f>"20210265113"</f>
        <v>20210265113</v>
      </c>
      <c r="E1515" s="7" t="s">
        <v>1476</v>
      </c>
      <c r="F1515" s="7">
        <v>59</v>
      </c>
      <c r="G1515" s="7">
        <v>71</v>
      </c>
      <c r="H1515" s="8">
        <f t="shared" si="75"/>
        <v>62.599999999999994</v>
      </c>
    </row>
    <row r="1516" spans="1:8" s="2" customFormat="1">
      <c r="A1516" s="7" t="s">
        <v>1471</v>
      </c>
      <c r="B1516" s="7" t="str">
        <f t="shared" si="74"/>
        <v>51</v>
      </c>
      <c r="C1516" s="7" t="str">
        <f>"14"</f>
        <v>14</v>
      </c>
      <c r="D1516" s="7" t="str">
        <f>"20210265114"</f>
        <v>20210265114</v>
      </c>
      <c r="E1516" s="7" t="s">
        <v>1477</v>
      </c>
      <c r="F1516" s="7">
        <v>49</v>
      </c>
      <c r="G1516" s="7">
        <v>44</v>
      </c>
      <c r="H1516" s="8">
        <f t="shared" si="75"/>
        <v>47.5</v>
      </c>
    </row>
    <row r="1517" spans="1:8" s="2" customFormat="1">
      <c r="A1517" s="7" t="s">
        <v>1471</v>
      </c>
      <c r="B1517" s="7" t="str">
        <f t="shared" si="74"/>
        <v>51</v>
      </c>
      <c r="C1517" s="7" t="str">
        <f>"15"</f>
        <v>15</v>
      </c>
      <c r="D1517" s="7" t="str">
        <f>"20210265115"</f>
        <v>20210265115</v>
      </c>
      <c r="E1517" s="7" t="s">
        <v>1478</v>
      </c>
      <c r="F1517" s="7">
        <v>45.5</v>
      </c>
      <c r="G1517" s="7">
        <v>40</v>
      </c>
      <c r="H1517" s="8">
        <f t="shared" si="75"/>
        <v>43.849999999999994</v>
      </c>
    </row>
    <row r="1518" spans="1:8" s="2" customFormat="1">
      <c r="A1518" s="7" t="s">
        <v>1471</v>
      </c>
      <c r="B1518" s="7" t="str">
        <f t="shared" si="74"/>
        <v>51</v>
      </c>
      <c r="C1518" s="7" t="str">
        <f>"16"</f>
        <v>16</v>
      </c>
      <c r="D1518" s="7" t="str">
        <f>"20210265116"</f>
        <v>20210265116</v>
      </c>
      <c r="E1518" s="7" t="s">
        <v>1479</v>
      </c>
      <c r="F1518" s="7">
        <v>63</v>
      </c>
      <c r="G1518" s="7">
        <v>68</v>
      </c>
      <c r="H1518" s="8">
        <f t="shared" si="75"/>
        <v>64.5</v>
      </c>
    </row>
    <row r="1519" spans="1:8" s="2" customFormat="1">
      <c r="A1519" s="7" t="s">
        <v>1471</v>
      </c>
      <c r="B1519" s="7" t="str">
        <f t="shared" si="74"/>
        <v>51</v>
      </c>
      <c r="C1519" s="7" t="str">
        <f>"17"</f>
        <v>17</v>
      </c>
      <c r="D1519" s="7" t="str">
        <f>"20210265117"</f>
        <v>20210265117</v>
      </c>
      <c r="E1519" s="7" t="s">
        <v>1480</v>
      </c>
      <c r="F1519" s="7">
        <v>44</v>
      </c>
      <c r="G1519" s="7">
        <v>65</v>
      </c>
      <c r="H1519" s="8">
        <f t="shared" si="75"/>
        <v>50.3</v>
      </c>
    </row>
    <row r="1520" spans="1:8" s="2" customFormat="1">
      <c r="A1520" s="7" t="s">
        <v>1471</v>
      </c>
      <c r="B1520" s="7" t="str">
        <f t="shared" si="74"/>
        <v>51</v>
      </c>
      <c r="C1520" s="7" t="str">
        <f>"18"</f>
        <v>18</v>
      </c>
      <c r="D1520" s="7" t="str">
        <f>"20210265118"</f>
        <v>20210265118</v>
      </c>
      <c r="E1520" s="7" t="s">
        <v>1481</v>
      </c>
      <c r="F1520" s="7">
        <v>57.5</v>
      </c>
      <c r="G1520" s="7">
        <v>69</v>
      </c>
      <c r="H1520" s="8">
        <f t="shared" si="75"/>
        <v>60.95</v>
      </c>
    </row>
    <row r="1521" spans="1:8" s="2" customFormat="1">
      <c r="A1521" s="7" t="s">
        <v>1471</v>
      </c>
      <c r="B1521" s="7" t="str">
        <f t="shared" si="74"/>
        <v>51</v>
      </c>
      <c r="C1521" s="7" t="str">
        <f>"19"</f>
        <v>19</v>
      </c>
      <c r="D1521" s="7" t="str">
        <f>"20210265119"</f>
        <v>20210265119</v>
      </c>
      <c r="E1521" s="7" t="s">
        <v>1482</v>
      </c>
      <c r="F1521" s="7">
        <v>46</v>
      </c>
      <c r="G1521" s="7">
        <v>60</v>
      </c>
      <c r="H1521" s="8">
        <f t="shared" si="75"/>
        <v>50.199999999999996</v>
      </c>
    </row>
    <row r="1522" spans="1:8" s="2" customFormat="1">
      <c r="A1522" s="7" t="s">
        <v>1471</v>
      </c>
      <c r="B1522" s="7" t="str">
        <f t="shared" si="74"/>
        <v>51</v>
      </c>
      <c r="C1522" s="7" t="str">
        <f>"20"</f>
        <v>20</v>
      </c>
      <c r="D1522" s="7" t="str">
        <f>"20210265120"</f>
        <v>20210265120</v>
      </c>
      <c r="E1522" s="7" t="s">
        <v>1483</v>
      </c>
      <c r="F1522" s="7">
        <v>48.5</v>
      </c>
      <c r="G1522" s="7">
        <v>48</v>
      </c>
      <c r="H1522" s="8">
        <f t="shared" si="75"/>
        <v>48.349999999999994</v>
      </c>
    </row>
    <row r="1523" spans="1:8" s="2" customFormat="1">
      <c r="A1523" s="7" t="s">
        <v>1471</v>
      </c>
      <c r="B1523" s="7" t="str">
        <f t="shared" si="74"/>
        <v>51</v>
      </c>
      <c r="C1523" s="7" t="str">
        <f>"21"</f>
        <v>21</v>
      </c>
      <c r="D1523" s="7" t="str">
        <f>"20210265121"</f>
        <v>20210265121</v>
      </c>
      <c r="E1523" s="7" t="s">
        <v>1484</v>
      </c>
      <c r="F1523" s="7">
        <v>48.5</v>
      </c>
      <c r="G1523" s="7">
        <v>36</v>
      </c>
      <c r="H1523" s="8">
        <f t="shared" si="75"/>
        <v>44.749999999999993</v>
      </c>
    </row>
    <row r="1524" spans="1:8" s="2" customFormat="1">
      <c r="A1524" s="7" t="s">
        <v>1471</v>
      </c>
      <c r="B1524" s="7" t="str">
        <f t="shared" si="74"/>
        <v>51</v>
      </c>
      <c r="C1524" s="7" t="str">
        <f>"22"</f>
        <v>22</v>
      </c>
      <c r="D1524" s="7" t="str">
        <f>"20210265122"</f>
        <v>20210265122</v>
      </c>
      <c r="E1524" s="7" t="s">
        <v>1485</v>
      </c>
      <c r="F1524" s="7">
        <v>46</v>
      </c>
      <c r="G1524" s="7">
        <v>56</v>
      </c>
      <c r="H1524" s="8">
        <f t="shared" si="75"/>
        <v>49</v>
      </c>
    </row>
    <row r="1525" spans="1:8" s="2" customFormat="1">
      <c r="A1525" s="7" t="s">
        <v>1471</v>
      </c>
      <c r="B1525" s="7" t="str">
        <f t="shared" si="74"/>
        <v>51</v>
      </c>
      <c r="C1525" s="7" t="str">
        <f>"23"</f>
        <v>23</v>
      </c>
      <c r="D1525" s="7" t="str">
        <f>"20210265123"</f>
        <v>20210265123</v>
      </c>
      <c r="E1525" s="7" t="s">
        <v>1486</v>
      </c>
      <c r="F1525" s="7">
        <v>59</v>
      </c>
      <c r="G1525" s="7">
        <v>69</v>
      </c>
      <c r="H1525" s="8">
        <f t="shared" si="75"/>
        <v>62</v>
      </c>
    </row>
    <row r="1526" spans="1:8" s="2" customFormat="1">
      <c r="A1526" s="7" t="s">
        <v>1471</v>
      </c>
      <c r="B1526" s="7" t="str">
        <f t="shared" si="74"/>
        <v>51</v>
      </c>
      <c r="C1526" s="7" t="str">
        <f>"24"</f>
        <v>24</v>
      </c>
      <c r="D1526" s="7" t="str">
        <f>"20210265124"</f>
        <v>20210265124</v>
      </c>
      <c r="E1526" s="7" t="s">
        <v>1487</v>
      </c>
      <c r="F1526" s="7">
        <v>55</v>
      </c>
      <c r="G1526" s="7">
        <v>78</v>
      </c>
      <c r="H1526" s="8">
        <f t="shared" si="75"/>
        <v>61.9</v>
      </c>
    </row>
    <row r="1527" spans="1:8" s="2" customFormat="1">
      <c r="A1527" s="7" t="s">
        <v>1471</v>
      </c>
      <c r="B1527" s="7" t="str">
        <f t="shared" si="74"/>
        <v>51</v>
      </c>
      <c r="C1527" s="7" t="str">
        <f>"25"</f>
        <v>25</v>
      </c>
      <c r="D1527" s="7" t="str">
        <f>"20210265125"</f>
        <v>20210265125</v>
      </c>
      <c r="E1527" s="7" t="s">
        <v>1003</v>
      </c>
      <c r="F1527" s="7">
        <v>46</v>
      </c>
      <c r="G1527" s="7">
        <v>49</v>
      </c>
      <c r="H1527" s="8">
        <f t="shared" si="75"/>
        <v>46.899999999999991</v>
      </c>
    </row>
    <row r="1528" spans="1:8" s="2" customFormat="1">
      <c r="A1528" s="7" t="s">
        <v>1471</v>
      </c>
      <c r="B1528" s="7" t="str">
        <f t="shared" si="74"/>
        <v>51</v>
      </c>
      <c r="C1528" s="7" t="str">
        <f>"26"</f>
        <v>26</v>
      </c>
      <c r="D1528" s="7" t="str">
        <f>"20210265126"</f>
        <v>20210265126</v>
      </c>
      <c r="E1528" s="7" t="s">
        <v>1488</v>
      </c>
      <c r="F1528" s="7">
        <v>60.5</v>
      </c>
      <c r="G1528" s="7">
        <v>60</v>
      </c>
      <c r="H1528" s="8">
        <f t="shared" si="75"/>
        <v>60.349999999999994</v>
      </c>
    </row>
    <row r="1529" spans="1:8" s="2" customFormat="1">
      <c r="A1529" s="7" t="s">
        <v>1471</v>
      </c>
      <c r="B1529" s="7" t="str">
        <f t="shared" si="74"/>
        <v>51</v>
      </c>
      <c r="C1529" s="7" t="str">
        <f>"27"</f>
        <v>27</v>
      </c>
      <c r="D1529" s="7" t="str">
        <f>"20210265127"</f>
        <v>20210265127</v>
      </c>
      <c r="E1529" s="7" t="s">
        <v>1489</v>
      </c>
      <c r="F1529" s="7">
        <v>62</v>
      </c>
      <c r="G1529" s="7">
        <v>60</v>
      </c>
      <c r="H1529" s="8">
        <f t="shared" si="75"/>
        <v>61.4</v>
      </c>
    </row>
    <row r="1530" spans="1:8" s="2" customFormat="1">
      <c r="A1530" s="7" t="s">
        <v>1471</v>
      </c>
      <c r="B1530" s="7" t="str">
        <f t="shared" si="74"/>
        <v>51</v>
      </c>
      <c r="C1530" s="7" t="str">
        <f>"28"</f>
        <v>28</v>
      </c>
      <c r="D1530" s="7" t="str">
        <f>"20210265128"</f>
        <v>20210265128</v>
      </c>
      <c r="E1530" s="7" t="s">
        <v>1490</v>
      </c>
      <c r="F1530" s="7">
        <v>64</v>
      </c>
      <c r="G1530" s="7">
        <v>78</v>
      </c>
      <c r="H1530" s="8">
        <f t="shared" si="75"/>
        <v>68.199999999999989</v>
      </c>
    </row>
    <row r="1531" spans="1:8" s="2" customFormat="1">
      <c r="A1531" s="7" t="s">
        <v>1471</v>
      </c>
      <c r="B1531" s="7" t="str">
        <f t="shared" si="74"/>
        <v>51</v>
      </c>
      <c r="C1531" s="7" t="str">
        <f>"29"</f>
        <v>29</v>
      </c>
      <c r="D1531" s="7" t="str">
        <f>"20210265129"</f>
        <v>20210265129</v>
      </c>
      <c r="E1531" s="7" t="s">
        <v>1491</v>
      </c>
      <c r="F1531" s="7">
        <v>72</v>
      </c>
      <c r="G1531" s="7">
        <v>85</v>
      </c>
      <c r="H1531" s="8">
        <f t="shared" si="75"/>
        <v>75.900000000000006</v>
      </c>
    </row>
    <row r="1532" spans="1:8" s="2" customFormat="1">
      <c r="A1532" s="7" t="s">
        <v>1471</v>
      </c>
      <c r="B1532" s="7" t="str">
        <f t="shared" si="74"/>
        <v>51</v>
      </c>
      <c r="C1532" s="7" t="str">
        <f>"30"</f>
        <v>30</v>
      </c>
      <c r="D1532" s="7" t="str">
        <f>"20210265130"</f>
        <v>20210265130</v>
      </c>
      <c r="E1532" s="7" t="s">
        <v>1492</v>
      </c>
      <c r="F1532" s="7">
        <v>64</v>
      </c>
      <c r="G1532" s="7">
        <v>64</v>
      </c>
      <c r="H1532" s="8">
        <f t="shared" si="75"/>
        <v>64</v>
      </c>
    </row>
    <row r="1533" spans="1:8" s="2" customFormat="1">
      <c r="A1533" s="7" t="s">
        <v>1471</v>
      </c>
      <c r="B1533" s="7" t="str">
        <f t="shared" ref="B1533:B1562" si="76">"52"</f>
        <v>52</v>
      </c>
      <c r="C1533" s="7" t="str">
        <f>"01"</f>
        <v>01</v>
      </c>
      <c r="D1533" s="7" t="str">
        <f>"20210265201"</f>
        <v>20210265201</v>
      </c>
      <c r="E1533" s="7" t="s">
        <v>1493</v>
      </c>
      <c r="F1533" s="7">
        <v>64</v>
      </c>
      <c r="G1533" s="7">
        <v>64</v>
      </c>
      <c r="H1533" s="8">
        <f t="shared" si="75"/>
        <v>64</v>
      </c>
    </row>
    <row r="1534" spans="1:8" s="2" customFormat="1">
      <c r="A1534" s="7" t="s">
        <v>1471</v>
      </c>
      <c r="B1534" s="7" t="str">
        <f t="shared" si="76"/>
        <v>52</v>
      </c>
      <c r="C1534" s="7" t="str">
        <f>"02"</f>
        <v>02</v>
      </c>
      <c r="D1534" s="7" t="str">
        <f>"20210265202"</f>
        <v>20210265202</v>
      </c>
      <c r="E1534" s="7" t="s">
        <v>1494</v>
      </c>
      <c r="F1534" s="7">
        <v>60</v>
      </c>
      <c r="G1534" s="7">
        <v>49</v>
      </c>
      <c r="H1534" s="8">
        <f t="shared" si="75"/>
        <v>56.7</v>
      </c>
    </row>
    <row r="1535" spans="1:8" s="2" customFormat="1">
      <c r="A1535" s="7" t="s">
        <v>1471</v>
      </c>
      <c r="B1535" s="7" t="str">
        <f t="shared" si="76"/>
        <v>52</v>
      </c>
      <c r="C1535" s="7" t="str">
        <f>"03"</f>
        <v>03</v>
      </c>
      <c r="D1535" s="7" t="str">
        <f>"20210265203"</f>
        <v>20210265203</v>
      </c>
      <c r="E1535" s="7" t="s">
        <v>1495</v>
      </c>
      <c r="F1535" s="7">
        <v>69</v>
      </c>
      <c r="G1535" s="7">
        <v>70</v>
      </c>
      <c r="H1535" s="8">
        <f t="shared" si="75"/>
        <v>69.3</v>
      </c>
    </row>
    <row r="1536" spans="1:8" s="2" customFormat="1">
      <c r="A1536" s="7" t="s">
        <v>1471</v>
      </c>
      <c r="B1536" s="7" t="str">
        <f t="shared" si="76"/>
        <v>52</v>
      </c>
      <c r="C1536" s="7" t="str">
        <f>"04"</f>
        <v>04</v>
      </c>
      <c r="D1536" s="7" t="str">
        <f>"20210265204"</f>
        <v>20210265204</v>
      </c>
      <c r="E1536" s="7" t="s">
        <v>1496</v>
      </c>
      <c r="F1536" s="7">
        <v>0</v>
      </c>
      <c r="G1536" s="7">
        <v>0</v>
      </c>
      <c r="H1536" s="8">
        <f t="shared" si="75"/>
        <v>0</v>
      </c>
    </row>
    <row r="1537" spans="1:8" s="2" customFormat="1">
      <c r="A1537" s="7" t="s">
        <v>1471</v>
      </c>
      <c r="B1537" s="7" t="str">
        <f t="shared" si="76"/>
        <v>52</v>
      </c>
      <c r="C1537" s="7" t="str">
        <f>"05"</f>
        <v>05</v>
      </c>
      <c r="D1537" s="7" t="str">
        <f>"20210265205"</f>
        <v>20210265205</v>
      </c>
      <c r="E1537" s="7" t="s">
        <v>1497</v>
      </c>
      <c r="F1537" s="7">
        <v>49</v>
      </c>
      <c r="G1537" s="7">
        <v>55</v>
      </c>
      <c r="H1537" s="8">
        <f t="shared" si="75"/>
        <v>50.8</v>
      </c>
    </row>
    <row r="1538" spans="1:8" s="2" customFormat="1">
      <c r="A1538" s="7" t="s">
        <v>1471</v>
      </c>
      <c r="B1538" s="7" t="str">
        <f t="shared" si="76"/>
        <v>52</v>
      </c>
      <c r="C1538" s="7" t="str">
        <f>"06"</f>
        <v>06</v>
      </c>
      <c r="D1538" s="7" t="str">
        <f>"20210265206"</f>
        <v>20210265206</v>
      </c>
      <c r="E1538" s="7" t="s">
        <v>1498</v>
      </c>
      <c r="F1538" s="7">
        <v>48.5</v>
      </c>
      <c r="G1538" s="7">
        <v>33</v>
      </c>
      <c r="H1538" s="8">
        <f t="shared" si="75"/>
        <v>43.849999999999994</v>
      </c>
    </row>
    <row r="1539" spans="1:8" s="2" customFormat="1">
      <c r="A1539" s="7" t="s">
        <v>1471</v>
      </c>
      <c r="B1539" s="7" t="str">
        <f t="shared" si="76"/>
        <v>52</v>
      </c>
      <c r="C1539" s="7" t="str">
        <f>"07"</f>
        <v>07</v>
      </c>
      <c r="D1539" s="7" t="str">
        <f>"20210265207"</f>
        <v>20210265207</v>
      </c>
      <c r="E1539" s="7" t="s">
        <v>1499</v>
      </c>
      <c r="F1539" s="7">
        <v>57</v>
      </c>
      <c r="G1539" s="7">
        <v>68</v>
      </c>
      <c r="H1539" s="8">
        <f t="shared" si="75"/>
        <v>60.3</v>
      </c>
    </row>
    <row r="1540" spans="1:8" s="2" customFormat="1">
      <c r="A1540" s="7" t="s">
        <v>1471</v>
      </c>
      <c r="B1540" s="7" t="str">
        <f t="shared" si="76"/>
        <v>52</v>
      </c>
      <c r="C1540" s="7" t="str">
        <f>"08"</f>
        <v>08</v>
      </c>
      <c r="D1540" s="7" t="str">
        <f>"20210265208"</f>
        <v>20210265208</v>
      </c>
      <c r="E1540" s="7" t="s">
        <v>1500</v>
      </c>
      <c r="F1540" s="7">
        <v>65.5</v>
      </c>
      <c r="G1540" s="7">
        <v>56</v>
      </c>
      <c r="H1540" s="8">
        <f t="shared" si="75"/>
        <v>62.649999999999991</v>
      </c>
    </row>
    <row r="1541" spans="1:8" s="2" customFormat="1">
      <c r="A1541" s="7" t="s">
        <v>1471</v>
      </c>
      <c r="B1541" s="7" t="str">
        <f t="shared" si="76"/>
        <v>52</v>
      </c>
      <c r="C1541" s="7" t="str">
        <f>"09"</f>
        <v>09</v>
      </c>
      <c r="D1541" s="7" t="str">
        <f>"20210265209"</f>
        <v>20210265209</v>
      </c>
      <c r="E1541" s="7" t="s">
        <v>1501</v>
      </c>
      <c r="F1541" s="7">
        <v>45</v>
      </c>
      <c r="G1541" s="7">
        <v>79</v>
      </c>
      <c r="H1541" s="8">
        <f t="shared" si="75"/>
        <v>55.199999999999996</v>
      </c>
    </row>
    <row r="1542" spans="1:8" s="2" customFormat="1">
      <c r="A1542" s="7" t="s">
        <v>1471</v>
      </c>
      <c r="B1542" s="7" t="str">
        <f t="shared" si="76"/>
        <v>52</v>
      </c>
      <c r="C1542" s="7" t="str">
        <f>"10"</f>
        <v>10</v>
      </c>
      <c r="D1542" s="7" t="str">
        <f>"20210265210"</f>
        <v>20210265210</v>
      </c>
      <c r="E1542" s="7" t="s">
        <v>401</v>
      </c>
      <c r="F1542" s="7">
        <v>58</v>
      </c>
      <c r="G1542" s="7">
        <v>87</v>
      </c>
      <c r="H1542" s="8">
        <f t="shared" si="75"/>
        <v>66.699999999999989</v>
      </c>
    </row>
    <row r="1543" spans="1:8" s="2" customFormat="1">
      <c r="A1543" s="7" t="s">
        <v>1471</v>
      </c>
      <c r="B1543" s="7" t="str">
        <f t="shared" si="76"/>
        <v>52</v>
      </c>
      <c r="C1543" s="7" t="str">
        <f>"11"</f>
        <v>11</v>
      </c>
      <c r="D1543" s="7" t="str">
        <f>"20210265211"</f>
        <v>20210265211</v>
      </c>
      <c r="E1543" s="7" t="s">
        <v>1502</v>
      </c>
      <c r="F1543" s="7">
        <v>0</v>
      </c>
      <c r="G1543" s="7">
        <v>0</v>
      </c>
      <c r="H1543" s="8">
        <f t="shared" si="75"/>
        <v>0</v>
      </c>
    </row>
    <row r="1544" spans="1:8" s="2" customFormat="1">
      <c r="A1544" s="7" t="s">
        <v>1471</v>
      </c>
      <c r="B1544" s="7" t="str">
        <f t="shared" si="76"/>
        <v>52</v>
      </c>
      <c r="C1544" s="7" t="str">
        <f>"12"</f>
        <v>12</v>
      </c>
      <c r="D1544" s="7" t="str">
        <f>"20210265212"</f>
        <v>20210265212</v>
      </c>
      <c r="E1544" s="7" t="s">
        <v>1503</v>
      </c>
      <c r="F1544" s="7">
        <v>39</v>
      </c>
      <c r="G1544" s="7">
        <v>67</v>
      </c>
      <c r="H1544" s="8">
        <f t="shared" si="75"/>
        <v>47.399999999999991</v>
      </c>
    </row>
    <row r="1545" spans="1:8" s="2" customFormat="1">
      <c r="A1545" s="7" t="s">
        <v>1471</v>
      </c>
      <c r="B1545" s="7" t="str">
        <f t="shared" si="76"/>
        <v>52</v>
      </c>
      <c r="C1545" s="7" t="str">
        <f>"13"</f>
        <v>13</v>
      </c>
      <c r="D1545" s="7" t="str">
        <f>"20210265213"</f>
        <v>20210265213</v>
      </c>
      <c r="E1545" s="7" t="s">
        <v>1504</v>
      </c>
      <c r="F1545" s="7">
        <v>65</v>
      </c>
      <c r="G1545" s="7">
        <v>82</v>
      </c>
      <c r="H1545" s="8">
        <f t="shared" si="75"/>
        <v>70.099999999999994</v>
      </c>
    </row>
    <row r="1546" spans="1:8" s="2" customFormat="1">
      <c r="A1546" s="7" t="s">
        <v>1471</v>
      </c>
      <c r="B1546" s="7" t="str">
        <f t="shared" si="76"/>
        <v>52</v>
      </c>
      <c r="C1546" s="7" t="str">
        <f>"14"</f>
        <v>14</v>
      </c>
      <c r="D1546" s="7" t="str">
        <f>"20210265214"</f>
        <v>20210265214</v>
      </c>
      <c r="E1546" s="7" t="s">
        <v>1505</v>
      </c>
      <c r="F1546" s="7">
        <v>40</v>
      </c>
      <c r="G1546" s="7">
        <v>55</v>
      </c>
      <c r="H1546" s="8">
        <f t="shared" si="75"/>
        <v>44.5</v>
      </c>
    </row>
    <row r="1547" spans="1:8" s="2" customFormat="1">
      <c r="A1547" s="7" t="s">
        <v>1471</v>
      </c>
      <c r="B1547" s="7" t="str">
        <f t="shared" si="76"/>
        <v>52</v>
      </c>
      <c r="C1547" s="7" t="str">
        <f>"15"</f>
        <v>15</v>
      </c>
      <c r="D1547" s="7" t="str">
        <f>"20210265215"</f>
        <v>20210265215</v>
      </c>
      <c r="E1547" s="7" t="s">
        <v>1506</v>
      </c>
      <c r="F1547" s="7">
        <v>30</v>
      </c>
      <c r="G1547" s="7">
        <v>32</v>
      </c>
      <c r="H1547" s="8">
        <f t="shared" si="75"/>
        <v>30.6</v>
      </c>
    </row>
    <row r="1548" spans="1:8" s="2" customFormat="1">
      <c r="A1548" s="7" t="s">
        <v>1471</v>
      </c>
      <c r="B1548" s="7" t="str">
        <f t="shared" si="76"/>
        <v>52</v>
      </c>
      <c r="C1548" s="7" t="str">
        <f>"16"</f>
        <v>16</v>
      </c>
      <c r="D1548" s="7" t="str">
        <f>"20210265216"</f>
        <v>20210265216</v>
      </c>
      <c r="E1548" s="7" t="s">
        <v>1507</v>
      </c>
      <c r="F1548" s="7">
        <v>61</v>
      </c>
      <c r="G1548" s="7">
        <v>68</v>
      </c>
      <c r="H1548" s="8">
        <f t="shared" si="75"/>
        <v>63.099999999999994</v>
      </c>
    </row>
    <row r="1549" spans="1:8" s="2" customFormat="1">
      <c r="A1549" s="7" t="s">
        <v>1471</v>
      </c>
      <c r="B1549" s="7" t="str">
        <f t="shared" si="76"/>
        <v>52</v>
      </c>
      <c r="C1549" s="7" t="str">
        <f>"17"</f>
        <v>17</v>
      </c>
      <c r="D1549" s="7" t="str">
        <f>"20210265217"</f>
        <v>20210265217</v>
      </c>
      <c r="E1549" s="7" t="s">
        <v>1508</v>
      </c>
      <c r="F1549" s="7">
        <v>38.5</v>
      </c>
      <c r="G1549" s="7">
        <v>44</v>
      </c>
      <c r="H1549" s="8">
        <f t="shared" si="75"/>
        <v>40.15</v>
      </c>
    </row>
    <row r="1550" spans="1:8" s="2" customFormat="1">
      <c r="A1550" s="7" t="s">
        <v>1471</v>
      </c>
      <c r="B1550" s="7" t="str">
        <f t="shared" si="76"/>
        <v>52</v>
      </c>
      <c r="C1550" s="7" t="str">
        <f>"18"</f>
        <v>18</v>
      </c>
      <c r="D1550" s="7" t="str">
        <f>"20210265218"</f>
        <v>20210265218</v>
      </c>
      <c r="E1550" s="7" t="s">
        <v>1509</v>
      </c>
      <c r="F1550" s="7">
        <v>51</v>
      </c>
      <c r="G1550" s="7">
        <v>48</v>
      </c>
      <c r="H1550" s="8">
        <f t="shared" si="75"/>
        <v>50.099999999999994</v>
      </c>
    </row>
    <row r="1551" spans="1:8" s="2" customFormat="1">
      <c r="A1551" s="7" t="s">
        <v>1471</v>
      </c>
      <c r="B1551" s="7" t="str">
        <f t="shared" si="76"/>
        <v>52</v>
      </c>
      <c r="C1551" s="7" t="str">
        <f>"19"</f>
        <v>19</v>
      </c>
      <c r="D1551" s="7" t="str">
        <f>"20210265219"</f>
        <v>20210265219</v>
      </c>
      <c r="E1551" s="7" t="s">
        <v>1510</v>
      </c>
      <c r="F1551" s="7">
        <v>56.5</v>
      </c>
      <c r="G1551" s="7">
        <v>63</v>
      </c>
      <c r="H1551" s="8">
        <f t="shared" si="75"/>
        <v>58.449999999999996</v>
      </c>
    </row>
    <row r="1552" spans="1:8" s="2" customFormat="1">
      <c r="A1552" s="7" t="s">
        <v>1471</v>
      </c>
      <c r="B1552" s="7" t="str">
        <f t="shared" si="76"/>
        <v>52</v>
      </c>
      <c r="C1552" s="7" t="str">
        <f>"20"</f>
        <v>20</v>
      </c>
      <c r="D1552" s="7" t="str">
        <f>"20210265220"</f>
        <v>20210265220</v>
      </c>
      <c r="E1552" s="7" t="s">
        <v>1511</v>
      </c>
      <c r="F1552" s="7">
        <v>55</v>
      </c>
      <c r="G1552" s="7">
        <v>61</v>
      </c>
      <c r="H1552" s="8">
        <f t="shared" si="75"/>
        <v>56.8</v>
      </c>
    </row>
    <row r="1553" spans="1:8" s="2" customFormat="1">
      <c r="A1553" s="7" t="s">
        <v>1471</v>
      </c>
      <c r="B1553" s="7" t="str">
        <f t="shared" si="76"/>
        <v>52</v>
      </c>
      <c r="C1553" s="7" t="str">
        <f>"21"</f>
        <v>21</v>
      </c>
      <c r="D1553" s="7" t="str">
        <f>"20210265221"</f>
        <v>20210265221</v>
      </c>
      <c r="E1553" s="7" t="s">
        <v>1512</v>
      </c>
      <c r="F1553" s="7">
        <v>67.5</v>
      </c>
      <c r="G1553" s="7">
        <v>80</v>
      </c>
      <c r="H1553" s="8">
        <f t="shared" si="75"/>
        <v>71.25</v>
      </c>
    </row>
    <row r="1554" spans="1:8" s="2" customFormat="1">
      <c r="A1554" s="7" t="s">
        <v>1471</v>
      </c>
      <c r="B1554" s="7" t="str">
        <f t="shared" si="76"/>
        <v>52</v>
      </c>
      <c r="C1554" s="7" t="str">
        <f>"22"</f>
        <v>22</v>
      </c>
      <c r="D1554" s="7" t="str">
        <f>"20210265222"</f>
        <v>20210265222</v>
      </c>
      <c r="E1554" s="7" t="s">
        <v>1513</v>
      </c>
      <c r="F1554" s="7">
        <v>64</v>
      </c>
      <c r="G1554" s="7">
        <v>75</v>
      </c>
      <c r="H1554" s="8">
        <f t="shared" si="75"/>
        <v>67.3</v>
      </c>
    </row>
    <row r="1555" spans="1:8" s="2" customFormat="1">
      <c r="A1555" s="7" t="s">
        <v>1471</v>
      </c>
      <c r="B1555" s="7" t="str">
        <f t="shared" si="76"/>
        <v>52</v>
      </c>
      <c r="C1555" s="7" t="str">
        <f>"23"</f>
        <v>23</v>
      </c>
      <c r="D1555" s="7" t="str">
        <f>"20210265223"</f>
        <v>20210265223</v>
      </c>
      <c r="E1555" s="7" t="s">
        <v>1514</v>
      </c>
      <c r="F1555" s="7">
        <v>63</v>
      </c>
      <c r="G1555" s="7">
        <v>71</v>
      </c>
      <c r="H1555" s="8">
        <f t="shared" si="75"/>
        <v>65.399999999999991</v>
      </c>
    </row>
    <row r="1556" spans="1:8" s="2" customFormat="1">
      <c r="A1556" s="7" t="s">
        <v>1471</v>
      </c>
      <c r="B1556" s="7" t="str">
        <f t="shared" si="76"/>
        <v>52</v>
      </c>
      <c r="C1556" s="7" t="str">
        <f>"24"</f>
        <v>24</v>
      </c>
      <c r="D1556" s="7" t="str">
        <f>"20210265224"</f>
        <v>20210265224</v>
      </c>
      <c r="E1556" s="7" t="s">
        <v>1515</v>
      </c>
      <c r="F1556" s="7">
        <v>0</v>
      </c>
      <c r="G1556" s="7">
        <v>0</v>
      </c>
      <c r="H1556" s="8">
        <f t="shared" si="75"/>
        <v>0</v>
      </c>
    </row>
    <row r="1557" spans="1:8" s="2" customFormat="1">
      <c r="A1557" s="7" t="s">
        <v>1471</v>
      </c>
      <c r="B1557" s="7" t="str">
        <f t="shared" si="76"/>
        <v>52</v>
      </c>
      <c r="C1557" s="7" t="str">
        <f>"25"</f>
        <v>25</v>
      </c>
      <c r="D1557" s="7" t="str">
        <f>"20210265225"</f>
        <v>20210265225</v>
      </c>
      <c r="E1557" s="7" t="s">
        <v>1516</v>
      </c>
      <c r="F1557" s="7">
        <v>0</v>
      </c>
      <c r="G1557" s="7">
        <v>0</v>
      </c>
      <c r="H1557" s="8">
        <f t="shared" si="75"/>
        <v>0</v>
      </c>
    </row>
    <row r="1558" spans="1:8" s="2" customFormat="1">
      <c r="A1558" s="7" t="s">
        <v>1471</v>
      </c>
      <c r="B1558" s="7" t="str">
        <f t="shared" si="76"/>
        <v>52</v>
      </c>
      <c r="C1558" s="7" t="str">
        <f>"26"</f>
        <v>26</v>
      </c>
      <c r="D1558" s="7" t="str">
        <f>"20210265226"</f>
        <v>20210265226</v>
      </c>
      <c r="E1558" s="7" t="s">
        <v>1517</v>
      </c>
      <c r="F1558" s="7">
        <v>62</v>
      </c>
      <c r="G1558" s="7">
        <v>69</v>
      </c>
      <c r="H1558" s="8">
        <f t="shared" si="75"/>
        <v>64.099999999999994</v>
      </c>
    </row>
    <row r="1559" spans="1:8" s="2" customFormat="1">
      <c r="A1559" s="7" t="s">
        <v>1518</v>
      </c>
      <c r="B1559" s="7" t="str">
        <f t="shared" si="76"/>
        <v>52</v>
      </c>
      <c r="C1559" s="7" t="str">
        <f>"27"</f>
        <v>27</v>
      </c>
      <c r="D1559" s="7" t="str">
        <f>"20210275227"</f>
        <v>20210275227</v>
      </c>
      <c r="E1559" s="7" t="s">
        <v>1519</v>
      </c>
      <c r="F1559" s="7">
        <v>43</v>
      </c>
      <c r="G1559" s="7">
        <v>50</v>
      </c>
      <c r="H1559" s="8">
        <f t="shared" si="75"/>
        <v>45.099999999999994</v>
      </c>
    </row>
    <row r="1560" spans="1:8" s="2" customFormat="1">
      <c r="A1560" s="7" t="s">
        <v>1518</v>
      </c>
      <c r="B1560" s="7" t="str">
        <f t="shared" si="76"/>
        <v>52</v>
      </c>
      <c r="C1560" s="7" t="str">
        <f>"28"</f>
        <v>28</v>
      </c>
      <c r="D1560" s="7" t="str">
        <f>"20210275228"</f>
        <v>20210275228</v>
      </c>
      <c r="E1560" s="7" t="s">
        <v>1520</v>
      </c>
      <c r="F1560" s="7">
        <v>59.5</v>
      </c>
      <c r="G1560" s="7">
        <v>61</v>
      </c>
      <c r="H1560" s="8">
        <f t="shared" si="75"/>
        <v>59.95</v>
      </c>
    </row>
    <row r="1561" spans="1:8" s="2" customFormat="1">
      <c r="A1561" s="7" t="s">
        <v>1518</v>
      </c>
      <c r="B1561" s="7" t="str">
        <f t="shared" si="76"/>
        <v>52</v>
      </c>
      <c r="C1561" s="7" t="str">
        <f>"29"</f>
        <v>29</v>
      </c>
      <c r="D1561" s="7" t="str">
        <f>"20210275229"</f>
        <v>20210275229</v>
      </c>
      <c r="E1561" s="7" t="s">
        <v>1521</v>
      </c>
      <c r="F1561" s="7">
        <v>56.5</v>
      </c>
      <c r="G1561" s="7">
        <v>53</v>
      </c>
      <c r="H1561" s="8">
        <f t="shared" si="75"/>
        <v>55.449999999999996</v>
      </c>
    </row>
    <row r="1562" spans="1:8" s="2" customFormat="1">
      <c r="A1562" s="7" t="s">
        <v>1518</v>
      </c>
      <c r="B1562" s="7" t="str">
        <f t="shared" si="76"/>
        <v>52</v>
      </c>
      <c r="C1562" s="7" t="str">
        <f>"30"</f>
        <v>30</v>
      </c>
      <c r="D1562" s="7" t="str">
        <f>"20210275230"</f>
        <v>20210275230</v>
      </c>
      <c r="E1562" s="7" t="s">
        <v>1522</v>
      </c>
      <c r="F1562" s="7">
        <v>74</v>
      </c>
      <c r="G1562" s="7">
        <v>71</v>
      </c>
      <c r="H1562" s="8">
        <f t="shared" si="75"/>
        <v>73.099999999999994</v>
      </c>
    </row>
    <row r="1563" spans="1:8" s="2" customFormat="1">
      <c r="A1563" s="7" t="s">
        <v>1518</v>
      </c>
      <c r="B1563" s="7" t="str">
        <f t="shared" ref="B1563:B1592" si="77">"53"</f>
        <v>53</v>
      </c>
      <c r="C1563" s="7" t="str">
        <f>"01"</f>
        <v>01</v>
      </c>
      <c r="D1563" s="7" t="str">
        <f>"20210275301"</f>
        <v>20210275301</v>
      </c>
      <c r="E1563" s="7" t="s">
        <v>1523</v>
      </c>
      <c r="F1563" s="7">
        <v>59</v>
      </c>
      <c r="G1563" s="7">
        <v>53</v>
      </c>
      <c r="H1563" s="8">
        <f t="shared" si="75"/>
        <v>57.199999999999996</v>
      </c>
    </row>
    <row r="1564" spans="1:8" s="2" customFormat="1">
      <c r="A1564" s="7" t="s">
        <v>1518</v>
      </c>
      <c r="B1564" s="7" t="str">
        <f t="shared" si="77"/>
        <v>53</v>
      </c>
      <c r="C1564" s="7" t="str">
        <f>"02"</f>
        <v>02</v>
      </c>
      <c r="D1564" s="7" t="str">
        <f>"20210275302"</f>
        <v>20210275302</v>
      </c>
      <c r="E1564" s="7" t="s">
        <v>1426</v>
      </c>
      <c r="F1564" s="7">
        <v>36</v>
      </c>
      <c r="G1564" s="7">
        <v>48</v>
      </c>
      <c r="H1564" s="8">
        <f t="shared" si="75"/>
        <v>39.599999999999994</v>
      </c>
    </row>
    <row r="1565" spans="1:8" s="2" customFormat="1">
      <c r="A1565" s="7" t="s">
        <v>1518</v>
      </c>
      <c r="B1565" s="7" t="str">
        <f t="shared" si="77"/>
        <v>53</v>
      </c>
      <c r="C1565" s="7" t="str">
        <f>"03"</f>
        <v>03</v>
      </c>
      <c r="D1565" s="7" t="str">
        <f>"20210275303"</f>
        <v>20210275303</v>
      </c>
      <c r="E1565" s="7" t="s">
        <v>1524</v>
      </c>
      <c r="F1565" s="7">
        <v>42</v>
      </c>
      <c r="G1565" s="7">
        <v>60</v>
      </c>
      <c r="H1565" s="8">
        <f t="shared" si="75"/>
        <v>47.4</v>
      </c>
    </row>
    <row r="1566" spans="1:8" s="2" customFormat="1">
      <c r="A1566" s="7" t="s">
        <v>1518</v>
      </c>
      <c r="B1566" s="7" t="str">
        <f t="shared" si="77"/>
        <v>53</v>
      </c>
      <c r="C1566" s="7" t="str">
        <f>"04"</f>
        <v>04</v>
      </c>
      <c r="D1566" s="7" t="str">
        <f>"20210275304"</f>
        <v>20210275304</v>
      </c>
      <c r="E1566" s="7" t="s">
        <v>1525</v>
      </c>
      <c r="F1566" s="7">
        <v>53.5</v>
      </c>
      <c r="G1566" s="7">
        <v>66</v>
      </c>
      <c r="H1566" s="8">
        <f t="shared" si="75"/>
        <v>57.25</v>
      </c>
    </row>
    <row r="1567" spans="1:8" s="2" customFormat="1">
      <c r="A1567" s="7" t="s">
        <v>1518</v>
      </c>
      <c r="B1567" s="7" t="str">
        <f t="shared" si="77"/>
        <v>53</v>
      </c>
      <c r="C1567" s="7" t="str">
        <f>"05"</f>
        <v>05</v>
      </c>
      <c r="D1567" s="7" t="str">
        <f>"20210275305"</f>
        <v>20210275305</v>
      </c>
      <c r="E1567" s="7" t="s">
        <v>1526</v>
      </c>
      <c r="F1567" s="7">
        <v>48</v>
      </c>
      <c r="G1567" s="7">
        <v>71</v>
      </c>
      <c r="H1567" s="8">
        <f t="shared" si="75"/>
        <v>54.899999999999991</v>
      </c>
    </row>
    <row r="1568" spans="1:8" s="2" customFormat="1">
      <c r="A1568" s="7" t="s">
        <v>1518</v>
      </c>
      <c r="B1568" s="7" t="str">
        <f t="shared" si="77"/>
        <v>53</v>
      </c>
      <c r="C1568" s="7" t="str">
        <f>"06"</f>
        <v>06</v>
      </c>
      <c r="D1568" s="7" t="str">
        <f>"20210275306"</f>
        <v>20210275306</v>
      </c>
      <c r="E1568" s="7" t="s">
        <v>1527</v>
      </c>
      <c r="F1568" s="7">
        <v>58.5</v>
      </c>
      <c r="G1568" s="7">
        <v>49</v>
      </c>
      <c r="H1568" s="8">
        <f t="shared" si="75"/>
        <v>55.649999999999991</v>
      </c>
    </row>
    <row r="1569" spans="1:8" s="2" customFormat="1">
      <c r="A1569" s="7" t="s">
        <v>1518</v>
      </c>
      <c r="B1569" s="7" t="str">
        <f t="shared" si="77"/>
        <v>53</v>
      </c>
      <c r="C1569" s="7" t="str">
        <f>"07"</f>
        <v>07</v>
      </c>
      <c r="D1569" s="7" t="str">
        <f>"20210275307"</f>
        <v>20210275307</v>
      </c>
      <c r="E1569" s="7" t="s">
        <v>1528</v>
      </c>
      <c r="F1569" s="7">
        <v>42</v>
      </c>
      <c r="G1569" s="7">
        <v>52</v>
      </c>
      <c r="H1569" s="8">
        <f t="shared" si="75"/>
        <v>45</v>
      </c>
    </row>
    <row r="1570" spans="1:8" s="2" customFormat="1">
      <c r="A1570" s="7" t="s">
        <v>1518</v>
      </c>
      <c r="B1570" s="7" t="str">
        <f t="shared" si="77"/>
        <v>53</v>
      </c>
      <c r="C1570" s="7" t="str">
        <f>"08"</f>
        <v>08</v>
      </c>
      <c r="D1570" s="7" t="str">
        <f>"20210275308"</f>
        <v>20210275308</v>
      </c>
      <c r="E1570" s="7" t="s">
        <v>1529</v>
      </c>
      <c r="F1570" s="7">
        <v>39</v>
      </c>
      <c r="G1570" s="7">
        <v>38</v>
      </c>
      <c r="H1570" s="8">
        <f t="shared" ref="H1570:H1633" si="78">F1570*0.7+G1570*0.3</f>
        <v>38.699999999999996</v>
      </c>
    </row>
    <row r="1571" spans="1:8" s="2" customFormat="1">
      <c r="A1571" s="7" t="s">
        <v>1518</v>
      </c>
      <c r="B1571" s="7" t="str">
        <f t="shared" si="77"/>
        <v>53</v>
      </c>
      <c r="C1571" s="7" t="str">
        <f>"09"</f>
        <v>09</v>
      </c>
      <c r="D1571" s="7" t="str">
        <f>"20210275309"</f>
        <v>20210275309</v>
      </c>
      <c r="E1571" s="7" t="s">
        <v>1362</v>
      </c>
      <c r="F1571" s="7">
        <v>60</v>
      </c>
      <c r="G1571" s="7">
        <v>77</v>
      </c>
      <c r="H1571" s="8">
        <f t="shared" si="78"/>
        <v>65.099999999999994</v>
      </c>
    </row>
    <row r="1572" spans="1:8" s="2" customFormat="1">
      <c r="A1572" s="7" t="s">
        <v>1518</v>
      </c>
      <c r="B1572" s="7" t="str">
        <f t="shared" si="77"/>
        <v>53</v>
      </c>
      <c r="C1572" s="7" t="str">
        <f>"10"</f>
        <v>10</v>
      </c>
      <c r="D1572" s="7" t="str">
        <f>"20210275310"</f>
        <v>20210275310</v>
      </c>
      <c r="E1572" s="7" t="s">
        <v>1530</v>
      </c>
      <c r="F1572" s="7">
        <v>29</v>
      </c>
      <c r="G1572" s="7">
        <v>33</v>
      </c>
      <c r="H1572" s="8">
        <f t="shared" si="78"/>
        <v>30.199999999999996</v>
      </c>
    </row>
    <row r="1573" spans="1:8" s="2" customFormat="1">
      <c r="A1573" s="7" t="s">
        <v>1518</v>
      </c>
      <c r="B1573" s="7" t="str">
        <f t="shared" si="77"/>
        <v>53</v>
      </c>
      <c r="C1573" s="7" t="str">
        <f>"11"</f>
        <v>11</v>
      </c>
      <c r="D1573" s="7" t="str">
        <f>"20210275311"</f>
        <v>20210275311</v>
      </c>
      <c r="E1573" s="7" t="s">
        <v>1046</v>
      </c>
      <c r="F1573" s="7">
        <v>50</v>
      </c>
      <c r="G1573" s="7">
        <v>62</v>
      </c>
      <c r="H1573" s="8">
        <f t="shared" si="78"/>
        <v>53.599999999999994</v>
      </c>
    </row>
    <row r="1574" spans="1:8" s="2" customFormat="1">
      <c r="A1574" s="7" t="s">
        <v>1518</v>
      </c>
      <c r="B1574" s="7" t="str">
        <f t="shared" si="77"/>
        <v>53</v>
      </c>
      <c r="C1574" s="7" t="str">
        <f>"12"</f>
        <v>12</v>
      </c>
      <c r="D1574" s="7" t="str">
        <f>"20210275312"</f>
        <v>20210275312</v>
      </c>
      <c r="E1574" s="7" t="s">
        <v>1531</v>
      </c>
      <c r="F1574" s="7">
        <v>35</v>
      </c>
      <c r="G1574" s="7">
        <v>53</v>
      </c>
      <c r="H1574" s="8">
        <f t="shared" si="78"/>
        <v>40.4</v>
      </c>
    </row>
    <row r="1575" spans="1:8" s="2" customFormat="1">
      <c r="A1575" s="7" t="s">
        <v>1518</v>
      </c>
      <c r="B1575" s="7" t="str">
        <f t="shared" si="77"/>
        <v>53</v>
      </c>
      <c r="C1575" s="7" t="str">
        <f>"13"</f>
        <v>13</v>
      </c>
      <c r="D1575" s="7" t="str">
        <f>"20210275313"</f>
        <v>20210275313</v>
      </c>
      <c r="E1575" s="7" t="s">
        <v>1532</v>
      </c>
      <c r="F1575" s="7">
        <v>52</v>
      </c>
      <c r="G1575" s="7">
        <v>63</v>
      </c>
      <c r="H1575" s="8">
        <f t="shared" si="78"/>
        <v>55.3</v>
      </c>
    </row>
    <row r="1576" spans="1:8" s="2" customFormat="1">
      <c r="A1576" s="7" t="s">
        <v>1518</v>
      </c>
      <c r="B1576" s="7" t="str">
        <f t="shared" si="77"/>
        <v>53</v>
      </c>
      <c r="C1576" s="7" t="str">
        <f>"14"</f>
        <v>14</v>
      </c>
      <c r="D1576" s="7" t="str">
        <f>"20210275314"</f>
        <v>20210275314</v>
      </c>
      <c r="E1576" s="7" t="s">
        <v>1533</v>
      </c>
      <c r="F1576" s="7">
        <v>69</v>
      </c>
      <c r="G1576" s="7">
        <v>79</v>
      </c>
      <c r="H1576" s="8">
        <f t="shared" si="78"/>
        <v>72</v>
      </c>
    </row>
    <row r="1577" spans="1:8" s="2" customFormat="1">
      <c r="A1577" s="7" t="s">
        <v>1518</v>
      </c>
      <c r="B1577" s="7" t="str">
        <f t="shared" si="77"/>
        <v>53</v>
      </c>
      <c r="C1577" s="7" t="str">
        <f>"15"</f>
        <v>15</v>
      </c>
      <c r="D1577" s="7" t="str">
        <f>"20210275315"</f>
        <v>20210275315</v>
      </c>
      <c r="E1577" s="7" t="s">
        <v>1534</v>
      </c>
      <c r="F1577" s="7">
        <v>52</v>
      </c>
      <c r="G1577" s="7">
        <v>49</v>
      </c>
      <c r="H1577" s="8">
        <f t="shared" si="78"/>
        <v>51.099999999999994</v>
      </c>
    </row>
    <row r="1578" spans="1:8" s="2" customFormat="1">
      <c r="A1578" s="7" t="s">
        <v>1518</v>
      </c>
      <c r="B1578" s="7" t="str">
        <f t="shared" si="77"/>
        <v>53</v>
      </c>
      <c r="C1578" s="7" t="str">
        <f>"16"</f>
        <v>16</v>
      </c>
      <c r="D1578" s="7" t="str">
        <f>"20210275316"</f>
        <v>20210275316</v>
      </c>
      <c r="E1578" s="7" t="s">
        <v>1535</v>
      </c>
      <c r="F1578" s="7">
        <v>37.5</v>
      </c>
      <c r="G1578" s="7">
        <v>45</v>
      </c>
      <c r="H1578" s="8">
        <f t="shared" si="78"/>
        <v>39.75</v>
      </c>
    </row>
    <row r="1579" spans="1:8" s="2" customFormat="1">
      <c r="A1579" s="7" t="s">
        <v>1518</v>
      </c>
      <c r="B1579" s="7" t="str">
        <f t="shared" si="77"/>
        <v>53</v>
      </c>
      <c r="C1579" s="7" t="str">
        <f>"17"</f>
        <v>17</v>
      </c>
      <c r="D1579" s="7" t="str">
        <f>"20210275317"</f>
        <v>20210275317</v>
      </c>
      <c r="E1579" s="7" t="s">
        <v>1536</v>
      </c>
      <c r="F1579" s="7">
        <v>59</v>
      </c>
      <c r="G1579" s="7">
        <v>72</v>
      </c>
      <c r="H1579" s="8">
        <f t="shared" si="78"/>
        <v>62.899999999999991</v>
      </c>
    </row>
    <row r="1580" spans="1:8" s="2" customFormat="1">
      <c r="A1580" s="7" t="s">
        <v>1518</v>
      </c>
      <c r="B1580" s="7" t="str">
        <f t="shared" si="77"/>
        <v>53</v>
      </c>
      <c r="C1580" s="7" t="str">
        <f>"18"</f>
        <v>18</v>
      </c>
      <c r="D1580" s="7" t="str">
        <f>"20210275318"</f>
        <v>20210275318</v>
      </c>
      <c r="E1580" s="7" t="s">
        <v>1537</v>
      </c>
      <c r="F1580" s="7">
        <v>53</v>
      </c>
      <c r="G1580" s="7">
        <v>31</v>
      </c>
      <c r="H1580" s="8">
        <f t="shared" si="78"/>
        <v>46.399999999999991</v>
      </c>
    </row>
    <row r="1581" spans="1:8" s="2" customFormat="1">
      <c r="A1581" s="7" t="s">
        <v>1518</v>
      </c>
      <c r="B1581" s="7" t="str">
        <f t="shared" si="77"/>
        <v>53</v>
      </c>
      <c r="C1581" s="7" t="str">
        <f>"19"</f>
        <v>19</v>
      </c>
      <c r="D1581" s="7" t="str">
        <f>"20210275319"</f>
        <v>20210275319</v>
      </c>
      <c r="E1581" s="7" t="s">
        <v>1201</v>
      </c>
      <c r="F1581" s="7">
        <v>66</v>
      </c>
      <c r="G1581" s="7">
        <v>76</v>
      </c>
      <c r="H1581" s="8">
        <f t="shared" si="78"/>
        <v>69</v>
      </c>
    </row>
    <row r="1582" spans="1:8" s="2" customFormat="1">
      <c r="A1582" s="7" t="s">
        <v>1518</v>
      </c>
      <c r="B1582" s="7" t="str">
        <f t="shared" si="77"/>
        <v>53</v>
      </c>
      <c r="C1582" s="7" t="str">
        <f>"20"</f>
        <v>20</v>
      </c>
      <c r="D1582" s="7" t="str">
        <f>"20210275320"</f>
        <v>20210275320</v>
      </c>
      <c r="E1582" s="7" t="s">
        <v>1538</v>
      </c>
      <c r="F1582" s="7">
        <v>43</v>
      </c>
      <c r="G1582" s="7">
        <v>64</v>
      </c>
      <c r="H1582" s="8">
        <f t="shared" si="78"/>
        <v>49.3</v>
      </c>
    </row>
    <row r="1583" spans="1:8" s="2" customFormat="1">
      <c r="A1583" s="7" t="s">
        <v>1518</v>
      </c>
      <c r="B1583" s="7" t="str">
        <f t="shared" si="77"/>
        <v>53</v>
      </c>
      <c r="C1583" s="7" t="str">
        <f>"21"</f>
        <v>21</v>
      </c>
      <c r="D1583" s="7" t="str">
        <f>"20210275321"</f>
        <v>20210275321</v>
      </c>
      <c r="E1583" s="7" t="s">
        <v>1539</v>
      </c>
      <c r="F1583" s="7">
        <v>42</v>
      </c>
      <c r="G1583" s="7">
        <v>53</v>
      </c>
      <c r="H1583" s="8">
        <f t="shared" si="78"/>
        <v>45.3</v>
      </c>
    </row>
    <row r="1584" spans="1:8" s="2" customFormat="1">
      <c r="A1584" s="7" t="s">
        <v>1518</v>
      </c>
      <c r="B1584" s="7" t="str">
        <f t="shared" si="77"/>
        <v>53</v>
      </c>
      <c r="C1584" s="7" t="str">
        <f>"22"</f>
        <v>22</v>
      </c>
      <c r="D1584" s="7" t="str">
        <f>"20210275322"</f>
        <v>20210275322</v>
      </c>
      <c r="E1584" s="7" t="s">
        <v>1540</v>
      </c>
      <c r="F1584" s="7">
        <v>32</v>
      </c>
      <c r="G1584" s="7">
        <v>48</v>
      </c>
      <c r="H1584" s="8">
        <f t="shared" si="78"/>
        <v>36.799999999999997</v>
      </c>
    </row>
    <row r="1585" spans="1:8" s="2" customFormat="1">
      <c r="A1585" s="7" t="s">
        <v>1518</v>
      </c>
      <c r="B1585" s="7" t="str">
        <f t="shared" si="77"/>
        <v>53</v>
      </c>
      <c r="C1585" s="7" t="str">
        <f>"23"</f>
        <v>23</v>
      </c>
      <c r="D1585" s="7" t="str">
        <f>"20210275323"</f>
        <v>20210275323</v>
      </c>
      <c r="E1585" s="7" t="s">
        <v>1541</v>
      </c>
      <c r="F1585" s="7">
        <v>43</v>
      </c>
      <c r="G1585" s="7">
        <v>50</v>
      </c>
      <c r="H1585" s="8">
        <f t="shared" si="78"/>
        <v>45.099999999999994</v>
      </c>
    </row>
    <row r="1586" spans="1:8" s="2" customFormat="1">
      <c r="A1586" s="7" t="s">
        <v>1518</v>
      </c>
      <c r="B1586" s="7" t="str">
        <f t="shared" si="77"/>
        <v>53</v>
      </c>
      <c r="C1586" s="7" t="str">
        <f>"24"</f>
        <v>24</v>
      </c>
      <c r="D1586" s="7" t="str">
        <f>"20210275324"</f>
        <v>20210275324</v>
      </c>
      <c r="E1586" s="7" t="s">
        <v>1542</v>
      </c>
      <c r="F1586" s="7">
        <v>39</v>
      </c>
      <c r="G1586" s="7">
        <v>62</v>
      </c>
      <c r="H1586" s="8">
        <f t="shared" si="78"/>
        <v>45.899999999999991</v>
      </c>
    </row>
    <row r="1587" spans="1:8" s="2" customFormat="1">
      <c r="A1587" s="7" t="s">
        <v>1518</v>
      </c>
      <c r="B1587" s="7" t="str">
        <f t="shared" si="77"/>
        <v>53</v>
      </c>
      <c r="C1587" s="7" t="str">
        <f>"25"</f>
        <v>25</v>
      </c>
      <c r="D1587" s="7" t="str">
        <f>"20210275325"</f>
        <v>20210275325</v>
      </c>
      <c r="E1587" s="7" t="s">
        <v>1543</v>
      </c>
      <c r="F1587" s="7">
        <v>65</v>
      </c>
      <c r="G1587" s="7">
        <v>64</v>
      </c>
      <c r="H1587" s="8">
        <f t="shared" si="78"/>
        <v>64.7</v>
      </c>
    </row>
    <row r="1588" spans="1:8" s="2" customFormat="1">
      <c r="A1588" s="7" t="s">
        <v>1518</v>
      </c>
      <c r="B1588" s="7" t="str">
        <f t="shared" si="77"/>
        <v>53</v>
      </c>
      <c r="C1588" s="7" t="str">
        <f>"26"</f>
        <v>26</v>
      </c>
      <c r="D1588" s="7" t="str">
        <f>"20210275326"</f>
        <v>20210275326</v>
      </c>
      <c r="E1588" s="7" t="s">
        <v>1544</v>
      </c>
      <c r="F1588" s="7">
        <v>66</v>
      </c>
      <c r="G1588" s="7">
        <v>59</v>
      </c>
      <c r="H1588" s="8">
        <f t="shared" si="78"/>
        <v>63.899999999999991</v>
      </c>
    </row>
    <row r="1589" spans="1:8" s="2" customFormat="1">
      <c r="A1589" s="7" t="s">
        <v>1518</v>
      </c>
      <c r="B1589" s="7" t="str">
        <f t="shared" si="77"/>
        <v>53</v>
      </c>
      <c r="C1589" s="7" t="str">
        <f>"27"</f>
        <v>27</v>
      </c>
      <c r="D1589" s="7" t="str">
        <f>"20210275327"</f>
        <v>20210275327</v>
      </c>
      <c r="E1589" s="7" t="s">
        <v>1545</v>
      </c>
      <c r="F1589" s="7">
        <v>45</v>
      </c>
      <c r="G1589" s="7">
        <v>47</v>
      </c>
      <c r="H1589" s="8">
        <f t="shared" si="78"/>
        <v>45.599999999999994</v>
      </c>
    </row>
    <row r="1590" spans="1:8" s="2" customFormat="1">
      <c r="A1590" s="7" t="s">
        <v>1518</v>
      </c>
      <c r="B1590" s="7" t="str">
        <f t="shared" si="77"/>
        <v>53</v>
      </c>
      <c r="C1590" s="7" t="str">
        <f>"28"</f>
        <v>28</v>
      </c>
      <c r="D1590" s="7" t="str">
        <f>"20210275328"</f>
        <v>20210275328</v>
      </c>
      <c r="E1590" s="7" t="s">
        <v>1546</v>
      </c>
      <c r="F1590" s="7">
        <v>55</v>
      </c>
      <c r="G1590" s="7">
        <v>41</v>
      </c>
      <c r="H1590" s="8">
        <f t="shared" si="78"/>
        <v>50.8</v>
      </c>
    </row>
    <row r="1591" spans="1:8" s="2" customFormat="1">
      <c r="A1591" s="7" t="s">
        <v>1518</v>
      </c>
      <c r="B1591" s="7" t="str">
        <f t="shared" si="77"/>
        <v>53</v>
      </c>
      <c r="C1591" s="7" t="str">
        <f>"29"</f>
        <v>29</v>
      </c>
      <c r="D1591" s="7" t="str">
        <f>"20210275329"</f>
        <v>20210275329</v>
      </c>
      <c r="E1591" s="7" t="s">
        <v>1547</v>
      </c>
      <c r="F1591" s="7">
        <v>0</v>
      </c>
      <c r="G1591" s="7">
        <v>0</v>
      </c>
      <c r="H1591" s="8">
        <f t="shared" si="78"/>
        <v>0</v>
      </c>
    </row>
    <row r="1592" spans="1:8" s="2" customFormat="1">
      <c r="A1592" s="7" t="s">
        <v>1518</v>
      </c>
      <c r="B1592" s="7" t="str">
        <f t="shared" si="77"/>
        <v>53</v>
      </c>
      <c r="C1592" s="7" t="str">
        <f>"30"</f>
        <v>30</v>
      </c>
      <c r="D1592" s="7" t="str">
        <f>"20210275330"</f>
        <v>20210275330</v>
      </c>
      <c r="E1592" s="7" t="s">
        <v>1548</v>
      </c>
      <c r="F1592" s="7">
        <v>33</v>
      </c>
      <c r="G1592" s="7">
        <v>48</v>
      </c>
      <c r="H1592" s="8">
        <f t="shared" si="78"/>
        <v>37.5</v>
      </c>
    </row>
    <row r="1593" spans="1:8" s="2" customFormat="1">
      <c r="A1593" s="7" t="s">
        <v>1518</v>
      </c>
      <c r="B1593" s="7" t="str">
        <f t="shared" ref="B1593:B1622" si="79">"54"</f>
        <v>54</v>
      </c>
      <c r="C1593" s="7" t="str">
        <f>"01"</f>
        <v>01</v>
      </c>
      <c r="D1593" s="7" t="str">
        <f>"20210275401"</f>
        <v>20210275401</v>
      </c>
      <c r="E1593" s="7" t="s">
        <v>1549</v>
      </c>
      <c r="F1593" s="7">
        <v>65.5</v>
      </c>
      <c r="G1593" s="7">
        <v>79</v>
      </c>
      <c r="H1593" s="8">
        <f t="shared" si="78"/>
        <v>69.55</v>
      </c>
    </row>
    <row r="1594" spans="1:8" s="2" customFormat="1">
      <c r="A1594" s="7" t="s">
        <v>1518</v>
      </c>
      <c r="B1594" s="7" t="str">
        <f t="shared" si="79"/>
        <v>54</v>
      </c>
      <c r="C1594" s="7" t="str">
        <f>"02"</f>
        <v>02</v>
      </c>
      <c r="D1594" s="7" t="str">
        <f>"20210275402"</f>
        <v>20210275402</v>
      </c>
      <c r="E1594" s="7" t="s">
        <v>1550</v>
      </c>
      <c r="F1594" s="7">
        <v>45.5</v>
      </c>
      <c r="G1594" s="7">
        <v>71</v>
      </c>
      <c r="H1594" s="8">
        <f t="shared" si="78"/>
        <v>53.15</v>
      </c>
    </row>
    <row r="1595" spans="1:8" s="2" customFormat="1">
      <c r="A1595" s="7" t="s">
        <v>1518</v>
      </c>
      <c r="B1595" s="7" t="str">
        <f t="shared" si="79"/>
        <v>54</v>
      </c>
      <c r="C1595" s="7" t="str">
        <f>"03"</f>
        <v>03</v>
      </c>
      <c r="D1595" s="7" t="str">
        <f>"20210275403"</f>
        <v>20210275403</v>
      </c>
      <c r="E1595" s="7" t="s">
        <v>1551</v>
      </c>
      <c r="F1595" s="7">
        <v>63</v>
      </c>
      <c r="G1595" s="7">
        <v>79</v>
      </c>
      <c r="H1595" s="8">
        <f t="shared" si="78"/>
        <v>67.8</v>
      </c>
    </row>
    <row r="1596" spans="1:8" s="2" customFormat="1">
      <c r="A1596" s="7" t="s">
        <v>1518</v>
      </c>
      <c r="B1596" s="7" t="str">
        <f t="shared" si="79"/>
        <v>54</v>
      </c>
      <c r="C1596" s="7" t="str">
        <f>"04"</f>
        <v>04</v>
      </c>
      <c r="D1596" s="7" t="str">
        <f>"20210275404"</f>
        <v>20210275404</v>
      </c>
      <c r="E1596" s="7" t="s">
        <v>336</v>
      </c>
      <c r="F1596" s="7">
        <v>21</v>
      </c>
      <c r="G1596" s="7">
        <v>44</v>
      </c>
      <c r="H1596" s="8">
        <f t="shared" si="78"/>
        <v>27.9</v>
      </c>
    </row>
    <row r="1597" spans="1:8" s="2" customFormat="1">
      <c r="A1597" s="7" t="s">
        <v>1518</v>
      </c>
      <c r="B1597" s="7" t="str">
        <f t="shared" si="79"/>
        <v>54</v>
      </c>
      <c r="C1597" s="7" t="str">
        <f>"05"</f>
        <v>05</v>
      </c>
      <c r="D1597" s="7" t="str">
        <f>"20210275405"</f>
        <v>20210275405</v>
      </c>
      <c r="E1597" s="7" t="s">
        <v>1552</v>
      </c>
      <c r="F1597" s="7">
        <v>44</v>
      </c>
      <c r="G1597" s="7">
        <v>54</v>
      </c>
      <c r="H1597" s="8">
        <f t="shared" si="78"/>
        <v>47</v>
      </c>
    </row>
    <row r="1598" spans="1:8" s="2" customFormat="1">
      <c r="A1598" s="7" t="s">
        <v>1518</v>
      </c>
      <c r="B1598" s="7" t="str">
        <f t="shared" si="79"/>
        <v>54</v>
      </c>
      <c r="C1598" s="7" t="str">
        <f>"06"</f>
        <v>06</v>
      </c>
      <c r="D1598" s="7" t="str">
        <f>"20210275406"</f>
        <v>20210275406</v>
      </c>
      <c r="E1598" s="7" t="s">
        <v>1553</v>
      </c>
      <c r="F1598" s="7">
        <v>62</v>
      </c>
      <c r="G1598" s="7">
        <v>73</v>
      </c>
      <c r="H1598" s="8">
        <f t="shared" si="78"/>
        <v>65.3</v>
      </c>
    </row>
    <row r="1599" spans="1:8" s="2" customFormat="1">
      <c r="A1599" s="7" t="s">
        <v>1518</v>
      </c>
      <c r="B1599" s="7" t="str">
        <f t="shared" si="79"/>
        <v>54</v>
      </c>
      <c r="C1599" s="7" t="str">
        <f>"07"</f>
        <v>07</v>
      </c>
      <c r="D1599" s="7" t="str">
        <f>"20210275407"</f>
        <v>20210275407</v>
      </c>
      <c r="E1599" s="7" t="s">
        <v>1231</v>
      </c>
      <c r="F1599" s="7">
        <v>58</v>
      </c>
      <c r="G1599" s="7">
        <v>43</v>
      </c>
      <c r="H1599" s="8">
        <f t="shared" si="78"/>
        <v>53.499999999999993</v>
      </c>
    </row>
    <row r="1600" spans="1:8" s="2" customFormat="1">
      <c r="A1600" s="7" t="s">
        <v>1518</v>
      </c>
      <c r="B1600" s="7" t="str">
        <f t="shared" si="79"/>
        <v>54</v>
      </c>
      <c r="C1600" s="7" t="str">
        <f>"08"</f>
        <v>08</v>
      </c>
      <c r="D1600" s="7" t="str">
        <f>"20210275408"</f>
        <v>20210275408</v>
      </c>
      <c r="E1600" s="7" t="s">
        <v>1554</v>
      </c>
      <c r="F1600" s="7">
        <v>47</v>
      </c>
      <c r="G1600" s="7">
        <v>48</v>
      </c>
      <c r="H1600" s="8">
        <f t="shared" si="78"/>
        <v>47.3</v>
      </c>
    </row>
    <row r="1601" spans="1:8" s="2" customFormat="1">
      <c r="A1601" s="7" t="s">
        <v>1518</v>
      </c>
      <c r="B1601" s="7" t="str">
        <f t="shared" si="79"/>
        <v>54</v>
      </c>
      <c r="C1601" s="7" t="str">
        <f>"09"</f>
        <v>09</v>
      </c>
      <c r="D1601" s="7" t="str">
        <f>"20210275409"</f>
        <v>20210275409</v>
      </c>
      <c r="E1601" s="7" t="s">
        <v>1555</v>
      </c>
      <c r="F1601" s="7">
        <v>57</v>
      </c>
      <c r="G1601" s="7">
        <v>60</v>
      </c>
      <c r="H1601" s="8">
        <f t="shared" si="78"/>
        <v>57.9</v>
      </c>
    </row>
    <row r="1602" spans="1:8" s="2" customFormat="1">
      <c r="A1602" s="7" t="s">
        <v>1518</v>
      </c>
      <c r="B1602" s="7" t="str">
        <f t="shared" si="79"/>
        <v>54</v>
      </c>
      <c r="C1602" s="7" t="str">
        <f>"10"</f>
        <v>10</v>
      </c>
      <c r="D1602" s="7" t="str">
        <f>"20210275410"</f>
        <v>20210275410</v>
      </c>
      <c r="E1602" s="7" t="s">
        <v>1556</v>
      </c>
      <c r="F1602" s="7">
        <v>62</v>
      </c>
      <c r="G1602" s="7">
        <v>63</v>
      </c>
      <c r="H1602" s="8">
        <f t="shared" si="78"/>
        <v>62.3</v>
      </c>
    </row>
    <row r="1603" spans="1:8" s="2" customFormat="1">
      <c r="A1603" s="7" t="s">
        <v>1518</v>
      </c>
      <c r="B1603" s="7" t="str">
        <f t="shared" si="79"/>
        <v>54</v>
      </c>
      <c r="C1603" s="7" t="str">
        <f>"11"</f>
        <v>11</v>
      </c>
      <c r="D1603" s="7" t="str">
        <f>"20210275411"</f>
        <v>20210275411</v>
      </c>
      <c r="E1603" s="7" t="s">
        <v>1557</v>
      </c>
      <c r="F1603" s="7">
        <v>82</v>
      </c>
      <c r="G1603" s="7">
        <v>84</v>
      </c>
      <c r="H1603" s="8">
        <f t="shared" si="78"/>
        <v>82.6</v>
      </c>
    </row>
    <row r="1604" spans="1:8" s="2" customFormat="1">
      <c r="A1604" s="7" t="s">
        <v>1518</v>
      </c>
      <c r="B1604" s="7" t="str">
        <f t="shared" si="79"/>
        <v>54</v>
      </c>
      <c r="C1604" s="7" t="str">
        <f>"12"</f>
        <v>12</v>
      </c>
      <c r="D1604" s="7" t="str">
        <f>"20210275412"</f>
        <v>20210275412</v>
      </c>
      <c r="E1604" s="7" t="s">
        <v>1558</v>
      </c>
      <c r="F1604" s="7">
        <v>43</v>
      </c>
      <c r="G1604" s="7">
        <v>66</v>
      </c>
      <c r="H1604" s="8">
        <f t="shared" si="78"/>
        <v>49.9</v>
      </c>
    </row>
    <row r="1605" spans="1:8" s="2" customFormat="1">
      <c r="A1605" s="7" t="s">
        <v>1518</v>
      </c>
      <c r="B1605" s="7" t="str">
        <f t="shared" si="79"/>
        <v>54</v>
      </c>
      <c r="C1605" s="7" t="str">
        <f>"13"</f>
        <v>13</v>
      </c>
      <c r="D1605" s="7" t="str">
        <f>"20210275413"</f>
        <v>20210275413</v>
      </c>
      <c r="E1605" s="7" t="s">
        <v>1559</v>
      </c>
      <c r="F1605" s="7">
        <v>53</v>
      </c>
      <c r="G1605" s="7">
        <v>50</v>
      </c>
      <c r="H1605" s="8">
        <f t="shared" si="78"/>
        <v>52.099999999999994</v>
      </c>
    </row>
    <row r="1606" spans="1:8" s="2" customFormat="1">
      <c r="A1606" s="7" t="s">
        <v>1518</v>
      </c>
      <c r="B1606" s="7" t="str">
        <f t="shared" si="79"/>
        <v>54</v>
      </c>
      <c r="C1606" s="7" t="str">
        <f>"14"</f>
        <v>14</v>
      </c>
      <c r="D1606" s="7" t="str">
        <f>"20210275414"</f>
        <v>20210275414</v>
      </c>
      <c r="E1606" s="7" t="s">
        <v>1560</v>
      </c>
      <c r="F1606" s="7">
        <v>50</v>
      </c>
      <c r="G1606" s="7">
        <v>52</v>
      </c>
      <c r="H1606" s="8">
        <f t="shared" si="78"/>
        <v>50.6</v>
      </c>
    </row>
    <row r="1607" spans="1:8" s="2" customFormat="1">
      <c r="A1607" s="7" t="s">
        <v>1518</v>
      </c>
      <c r="B1607" s="7" t="str">
        <f t="shared" si="79"/>
        <v>54</v>
      </c>
      <c r="C1607" s="7" t="str">
        <f>"15"</f>
        <v>15</v>
      </c>
      <c r="D1607" s="7" t="str">
        <f>"20210275415"</f>
        <v>20210275415</v>
      </c>
      <c r="E1607" s="7" t="s">
        <v>1561</v>
      </c>
      <c r="F1607" s="7">
        <v>31</v>
      </c>
      <c r="G1607" s="7">
        <v>43</v>
      </c>
      <c r="H1607" s="8">
        <f t="shared" si="78"/>
        <v>34.6</v>
      </c>
    </row>
    <row r="1608" spans="1:8" s="2" customFormat="1">
      <c r="A1608" s="7" t="s">
        <v>1518</v>
      </c>
      <c r="B1608" s="7" t="str">
        <f t="shared" si="79"/>
        <v>54</v>
      </c>
      <c r="C1608" s="7" t="str">
        <f>"16"</f>
        <v>16</v>
      </c>
      <c r="D1608" s="7" t="str">
        <f>"20210275416"</f>
        <v>20210275416</v>
      </c>
      <c r="E1608" s="7" t="s">
        <v>1562</v>
      </c>
      <c r="F1608" s="7">
        <v>46</v>
      </c>
      <c r="G1608" s="7">
        <v>41</v>
      </c>
      <c r="H1608" s="8">
        <f t="shared" si="78"/>
        <v>44.499999999999993</v>
      </c>
    </row>
    <row r="1609" spans="1:8" s="2" customFormat="1">
      <c r="A1609" s="7" t="s">
        <v>1518</v>
      </c>
      <c r="B1609" s="7" t="str">
        <f t="shared" si="79"/>
        <v>54</v>
      </c>
      <c r="C1609" s="7" t="str">
        <f>"17"</f>
        <v>17</v>
      </c>
      <c r="D1609" s="7" t="str">
        <f>"20210275417"</f>
        <v>20210275417</v>
      </c>
      <c r="E1609" s="7" t="s">
        <v>1563</v>
      </c>
      <c r="F1609" s="7">
        <v>59.5</v>
      </c>
      <c r="G1609" s="7">
        <v>55</v>
      </c>
      <c r="H1609" s="8">
        <f t="shared" si="78"/>
        <v>58.15</v>
      </c>
    </row>
    <row r="1610" spans="1:8" s="2" customFormat="1">
      <c r="A1610" s="7" t="s">
        <v>1518</v>
      </c>
      <c r="B1610" s="7" t="str">
        <f t="shared" si="79"/>
        <v>54</v>
      </c>
      <c r="C1610" s="7" t="str">
        <f>"18"</f>
        <v>18</v>
      </c>
      <c r="D1610" s="7" t="str">
        <f>"20210275418"</f>
        <v>20210275418</v>
      </c>
      <c r="E1610" s="7" t="s">
        <v>1564</v>
      </c>
      <c r="F1610" s="7">
        <v>0</v>
      </c>
      <c r="G1610" s="7">
        <v>0</v>
      </c>
      <c r="H1610" s="8">
        <f t="shared" si="78"/>
        <v>0</v>
      </c>
    </row>
    <row r="1611" spans="1:8" s="2" customFormat="1">
      <c r="A1611" s="7" t="s">
        <v>1518</v>
      </c>
      <c r="B1611" s="7" t="str">
        <f t="shared" si="79"/>
        <v>54</v>
      </c>
      <c r="C1611" s="7" t="str">
        <f>"19"</f>
        <v>19</v>
      </c>
      <c r="D1611" s="7" t="str">
        <f>"20210275419"</f>
        <v>20210275419</v>
      </c>
      <c r="E1611" s="7" t="s">
        <v>1565</v>
      </c>
      <c r="F1611" s="7">
        <v>54</v>
      </c>
      <c r="G1611" s="7">
        <v>71</v>
      </c>
      <c r="H1611" s="8">
        <f t="shared" si="78"/>
        <v>59.099999999999994</v>
      </c>
    </row>
    <row r="1612" spans="1:8" s="2" customFormat="1">
      <c r="A1612" s="7" t="s">
        <v>1566</v>
      </c>
      <c r="B1612" s="7" t="str">
        <f t="shared" si="79"/>
        <v>54</v>
      </c>
      <c r="C1612" s="7" t="str">
        <f>"20"</f>
        <v>20</v>
      </c>
      <c r="D1612" s="7" t="str">
        <f>"20210285420"</f>
        <v>20210285420</v>
      </c>
      <c r="E1612" s="7" t="s">
        <v>1567</v>
      </c>
      <c r="F1612" s="7">
        <v>64.5</v>
      </c>
      <c r="G1612" s="7">
        <v>78</v>
      </c>
      <c r="H1612" s="8">
        <f t="shared" si="78"/>
        <v>68.55</v>
      </c>
    </row>
    <row r="1613" spans="1:8" s="2" customFormat="1">
      <c r="A1613" s="7" t="s">
        <v>1566</v>
      </c>
      <c r="B1613" s="7" t="str">
        <f t="shared" si="79"/>
        <v>54</v>
      </c>
      <c r="C1613" s="7" t="str">
        <f>"21"</f>
        <v>21</v>
      </c>
      <c r="D1613" s="7" t="str">
        <f>"20210285421"</f>
        <v>20210285421</v>
      </c>
      <c r="E1613" s="7" t="s">
        <v>1568</v>
      </c>
      <c r="F1613" s="7">
        <v>65</v>
      </c>
      <c r="G1613" s="7">
        <v>65</v>
      </c>
      <c r="H1613" s="8">
        <f t="shared" si="78"/>
        <v>65</v>
      </c>
    </row>
    <row r="1614" spans="1:8" s="2" customFormat="1">
      <c r="A1614" s="7" t="s">
        <v>1566</v>
      </c>
      <c r="B1614" s="7" t="str">
        <f t="shared" si="79"/>
        <v>54</v>
      </c>
      <c r="C1614" s="7" t="str">
        <f>"22"</f>
        <v>22</v>
      </c>
      <c r="D1614" s="7" t="str">
        <f>"20210285422"</f>
        <v>20210285422</v>
      </c>
      <c r="E1614" s="7" t="s">
        <v>1569</v>
      </c>
      <c r="F1614" s="7">
        <v>54</v>
      </c>
      <c r="G1614" s="7">
        <v>62</v>
      </c>
      <c r="H1614" s="8">
        <f t="shared" si="78"/>
        <v>56.399999999999991</v>
      </c>
    </row>
    <row r="1615" spans="1:8" s="2" customFormat="1">
      <c r="A1615" s="7" t="s">
        <v>1566</v>
      </c>
      <c r="B1615" s="7" t="str">
        <f t="shared" si="79"/>
        <v>54</v>
      </c>
      <c r="C1615" s="7" t="str">
        <f>"23"</f>
        <v>23</v>
      </c>
      <c r="D1615" s="7" t="str">
        <f>"20210285423"</f>
        <v>20210285423</v>
      </c>
      <c r="E1615" s="7" t="s">
        <v>1570</v>
      </c>
      <c r="F1615" s="7">
        <v>62</v>
      </c>
      <c r="G1615" s="7">
        <v>53</v>
      </c>
      <c r="H1615" s="8">
        <f t="shared" si="78"/>
        <v>59.3</v>
      </c>
    </row>
    <row r="1616" spans="1:8" s="2" customFormat="1">
      <c r="A1616" s="7" t="s">
        <v>1566</v>
      </c>
      <c r="B1616" s="7" t="str">
        <f t="shared" si="79"/>
        <v>54</v>
      </c>
      <c r="C1616" s="7" t="str">
        <f>"24"</f>
        <v>24</v>
      </c>
      <c r="D1616" s="7" t="str">
        <f>"20210285424"</f>
        <v>20210285424</v>
      </c>
      <c r="E1616" s="7" t="s">
        <v>1571</v>
      </c>
      <c r="F1616" s="7">
        <v>36</v>
      </c>
      <c r="G1616" s="7">
        <v>52</v>
      </c>
      <c r="H1616" s="8">
        <f t="shared" si="78"/>
        <v>40.799999999999997</v>
      </c>
    </row>
    <row r="1617" spans="1:8" s="2" customFormat="1">
      <c r="A1617" s="7" t="s">
        <v>1566</v>
      </c>
      <c r="B1617" s="7" t="str">
        <f t="shared" si="79"/>
        <v>54</v>
      </c>
      <c r="C1617" s="7" t="str">
        <f>"25"</f>
        <v>25</v>
      </c>
      <c r="D1617" s="7" t="str">
        <f>"20210285425"</f>
        <v>20210285425</v>
      </c>
      <c r="E1617" s="7" t="s">
        <v>1572</v>
      </c>
      <c r="F1617" s="7">
        <v>45</v>
      </c>
      <c r="G1617" s="7">
        <v>56</v>
      </c>
      <c r="H1617" s="8">
        <f t="shared" si="78"/>
        <v>48.3</v>
      </c>
    </row>
    <row r="1618" spans="1:8" s="2" customFormat="1">
      <c r="A1618" s="7" t="s">
        <v>1566</v>
      </c>
      <c r="B1618" s="7" t="str">
        <f t="shared" si="79"/>
        <v>54</v>
      </c>
      <c r="C1618" s="7" t="str">
        <f>"26"</f>
        <v>26</v>
      </c>
      <c r="D1618" s="7" t="str">
        <f>"20210285426"</f>
        <v>20210285426</v>
      </c>
      <c r="E1618" s="7" t="s">
        <v>1573</v>
      </c>
      <c r="F1618" s="7">
        <v>72</v>
      </c>
      <c r="G1618" s="7">
        <v>76</v>
      </c>
      <c r="H1618" s="8">
        <f t="shared" si="78"/>
        <v>73.2</v>
      </c>
    </row>
    <row r="1619" spans="1:8" s="2" customFormat="1">
      <c r="A1619" s="7" t="s">
        <v>1566</v>
      </c>
      <c r="B1619" s="7" t="str">
        <f t="shared" si="79"/>
        <v>54</v>
      </c>
      <c r="C1619" s="7" t="str">
        <f>"27"</f>
        <v>27</v>
      </c>
      <c r="D1619" s="7" t="str">
        <f>"20210285427"</f>
        <v>20210285427</v>
      </c>
      <c r="E1619" s="7" t="s">
        <v>1574</v>
      </c>
      <c r="F1619" s="7">
        <v>80</v>
      </c>
      <c r="G1619" s="7">
        <v>80</v>
      </c>
      <c r="H1619" s="8">
        <f t="shared" si="78"/>
        <v>80</v>
      </c>
    </row>
    <row r="1620" spans="1:8" s="2" customFormat="1">
      <c r="A1620" s="7" t="s">
        <v>1566</v>
      </c>
      <c r="B1620" s="7" t="str">
        <f t="shared" si="79"/>
        <v>54</v>
      </c>
      <c r="C1620" s="7" t="str">
        <f>"28"</f>
        <v>28</v>
      </c>
      <c r="D1620" s="7" t="str">
        <f>"20210285428"</f>
        <v>20210285428</v>
      </c>
      <c r="E1620" s="7" t="s">
        <v>1575</v>
      </c>
      <c r="F1620" s="7">
        <v>55</v>
      </c>
      <c r="G1620" s="7">
        <v>63</v>
      </c>
      <c r="H1620" s="8">
        <f t="shared" si="78"/>
        <v>57.4</v>
      </c>
    </row>
    <row r="1621" spans="1:8" s="2" customFormat="1">
      <c r="A1621" s="7" t="s">
        <v>1566</v>
      </c>
      <c r="B1621" s="7" t="str">
        <f t="shared" si="79"/>
        <v>54</v>
      </c>
      <c r="C1621" s="7" t="str">
        <f>"29"</f>
        <v>29</v>
      </c>
      <c r="D1621" s="7" t="str">
        <f>"20210285429"</f>
        <v>20210285429</v>
      </c>
      <c r="E1621" s="7" t="s">
        <v>1576</v>
      </c>
      <c r="F1621" s="7">
        <v>84</v>
      </c>
      <c r="G1621" s="7">
        <v>75</v>
      </c>
      <c r="H1621" s="8">
        <f t="shared" si="78"/>
        <v>81.3</v>
      </c>
    </row>
    <row r="1622" spans="1:8" s="2" customFormat="1">
      <c r="A1622" s="7" t="s">
        <v>1566</v>
      </c>
      <c r="B1622" s="7" t="str">
        <f t="shared" si="79"/>
        <v>54</v>
      </c>
      <c r="C1622" s="7" t="str">
        <f>"30"</f>
        <v>30</v>
      </c>
      <c r="D1622" s="7" t="str">
        <f>"20210285430"</f>
        <v>20210285430</v>
      </c>
      <c r="E1622" s="7" t="s">
        <v>1577</v>
      </c>
      <c r="F1622" s="7">
        <v>63</v>
      </c>
      <c r="G1622" s="7">
        <v>67</v>
      </c>
      <c r="H1622" s="8">
        <f t="shared" si="78"/>
        <v>64.199999999999989</v>
      </c>
    </row>
    <row r="1623" spans="1:8" s="2" customFormat="1">
      <c r="A1623" s="7" t="s">
        <v>1566</v>
      </c>
      <c r="B1623" s="7" t="str">
        <f t="shared" ref="B1623:B1654" si="80">"55"</f>
        <v>55</v>
      </c>
      <c r="C1623" s="7" t="str">
        <f>"01"</f>
        <v>01</v>
      </c>
      <c r="D1623" s="7" t="str">
        <f>"20210285501"</f>
        <v>20210285501</v>
      </c>
      <c r="E1623" s="7" t="s">
        <v>1578</v>
      </c>
      <c r="F1623" s="7">
        <v>52.5</v>
      </c>
      <c r="G1623" s="7">
        <v>80</v>
      </c>
      <c r="H1623" s="8">
        <f t="shared" si="78"/>
        <v>60.75</v>
      </c>
    </row>
    <row r="1624" spans="1:8" s="2" customFormat="1">
      <c r="A1624" s="7" t="s">
        <v>1566</v>
      </c>
      <c r="B1624" s="7" t="str">
        <f t="shared" si="80"/>
        <v>55</v>
      </c>
      <c r="C1624" s="7" t="str">
        <f>"02"</f>
        <v>02</v>
      </c>
      <c r="D1624" s="7" t="str">
        <f>"20210285502"</f>
        <v>20210285502</v>
      </c>
      <c r="E1624" s="7" t="s">
        <v>1579</v>
      </c>
      <c r="F1624" s="7">
        <v>40</v>
      </c>
      <c r="G1624" s="7">
        <v>49</v>
      </c>
      <c r="H1624" s="8">
        <f t="shared" si="78"/>
        <v>42.7</v>
      </c>
    </row>
    <row r="1625" spans="1:8" s="2" customFormat="1">
      <c r="A1625" s="7" t="s">
        <v>1566</v>
      </c>
      <c r="B1625" s="7" t="str">
        <f t="shared" si="80"/>
        <v>55</v>
      </c>
      <c r="C1625" s="7" t="str">
        <f>"03"</f>
        <v>03</v>
      </c>
      <c r="D1625" s="7" t="str">
        <f>"20210285503"</f>
        <v>20210285503</v>
      </c>
      <c r="E1625" s="7" t="s">
        <v>1580</v>
      </c>
      <c r="F1625" s="7">
        <v>56.5</v>
      </c>
      <c r="G1625" s="7">
        <v>76</v>
      </c>
      <c r="H1625" s="8">
        <f t="shared" si="78"/>
        <v>62.349999999999994</v>
      </c>
    </row>
    <row r="1626" spans="1:8" s="2" customFormat="1">
      <c r="A1626" s="7" t="s">
        <v>1566</v>
      </c>
      <c r="B1626" s="7" t="str">
        <f t="shared" si="80"/>
        <v>55</v>
      </c>
      <c r="C1626" s="7" t="str">
        <f>"04"</f>
        <v>04</v>
      </c>
      <c r="D1626" s="7" t="str">
        <f>"20210285504"</f>
        <v>20210285504</v>
      </c>
      <c r="E1626" s="7" t="s">
        <v>1581</v>
      </c>
      <c r="F1626" s="7">
        <v>44</v>
      </c>
      <c r="G1626" s="7">
        <v>48</v>
      </c>
      <c r="H1626" s="8">
        <f t="shared" si="78"/>
        <v>45.199999999999996</v>
      </c>
    </row>
    <row r="1627" spans="1:8" s="2" customFormat="1">
      <c r="A1627" s="7" t="s">
        <v>1566</v>
      </c>
      <c r="B1627" s="7" t="str">
        <f t="shared" si="80"/>
        <v>55</v>
      </c>
      <c r="C1627" s="7" t="str">
        <f>"05"</f>
        <v>05</v>
      </c>
      <c r="D1627" s="7" t="str">
        <f>"20210285505"</f>
        <v>20210285505</v>
      </c>
      <c r="E1627" s="7" t="s">
        <v>1582</v>
      </c>
      <c r="F1627" s="7">
        <v>56</v>
      </c>
      <c r="G1627" s="7">
        <v>65</v>
      </c>
      <c r="H1627" s="8">
        <f t="shared" si="78"/>
        <v>58.699999999999996</v>
      </c>
    </row>
    <row r="1628" spans="1:8" s="2" customFormat="1">
      <c r="A1628" s="7" t="s">
        <v>1566</v>
      </c>
      <c r="B1628" s="7" t="str">
        <f t="shared" si="80"/>
        <v>55</v>
      </c>
      <c r="C1628" s="7" t="str">
        <f>"06"</f>
        <v>06</v>
      </c>
      <c r="D1628" s="7" t="str">
        <f>"20210285506"</f>
        <v>20210285506</v>
      </c>
      <c r="E1628" s="7" t="s">
        <v>1583</v>
      </c>
      <c r="F1628" s="7">
        <v>61.5</v>
      </c>
      <c r="G1628" s="7">
        <v>57</v>
      </c>
      <c r="H1628" s="8">
        <f t="shared" si="78"/>
        <v>60.149999999999991</v>
      </c>
    </row>
    <row r="1629" spans="1:8" s="2" customFormat="1">
      <c r="A1629" s="7" t="s">
        <v>1566</v>
      </c>
      <c r="B1629" s="7" t="str">
        <f t="shared" si="80"/>
        <v>55</v>
      </c>
      <c r="C1629" s="7" t="str">
        <f>"07"</f>
        <v>07</v>
      </c>
      <c r="D1629" s="7" t="str">
        <f>"20210285507"</f>
        <v>20210285507</v>
      </c>
      <c r="E1629" s="7" t="s">
        <v>101</v>
      </c>
      <c r="F1629" s="7">
        <v>42</v>
      </c>
      <c r="G1629" s="7">
        <v>53</v>
      </c>
      <c r="H1629" s="8">
        <f t="shared" si="78"/>
        <v>45.3</v>
      </c>
    </row>
    <row r="1630" spans="1:8" s="2" customFormat="1">
      <c r="A1630" s="7" t="s">
        <v>1566</v>
      </c>
      <c r="B1630" s="7" t="str">
        <f t="shared" si="80"/>
        <v>55</v>
      </c>
      <c r="C1630" s="7" t="str">
        <f>"08"</f>
        <v>08</v>
      </c>
      <c r="D1630" s="7" t="str">
        <f>"20210285508"</f>
        <v>20210285508</v>
      </c>
      <c r="E1630" s="7" t="s">
        <v>1584</v>
      </c>
      <c r="F1630" s="7">
        <v>39</v>
      </c>
      <c r="G1630" s="7">
        <v>58</v>
      </c>
      <c r="H1630" s="8">
        <f t="shared" si="78"/>
        <v>44.699999999999996</v>
      </c>
    </row>
    <row r="1631" spans="1:8" s="2" customFormat="1">
      <c r="A1631" s="7" t="s">
        <v>1566</v>
      </c>
      <c r="B1631" s="7" t="str">
        <f t="shared" si="80"/>
        <v>55</v>
      </c>
      <c r="C1631" s="7" t="str">
        <f>"09"</f>
        <v>09</v>
      </c>
      <c r="D1631" s="7" t="str">
        <f>"20210285509"</f>
        <v>20210285509</v>
      </c>
      <c r="E1631" s="7" t="s">
        <v>1585</v>
      </c>
      <c r="F1631" s="7">
        <v>54</v>
      </c>
      <c r="G1631" s="7">
        <v>86</v>
      </c>
      <c r="H1631" s="8">
        <f t="shared" si="78"/>
        <v>63.599999999999994</v>
      </c>
    </row>
    <row r="1632" spans="1:8" s="2" customFormat="1">
      <c r="A1632" s="7" t="s">
        <v>1566</v>
      </c>
      <c r="B1632" s="7" t="str">
        <f t="shared" si="80"/>
        <v>55</v>
      </c>
      <c r="C1632" s="7" t="str">
        <f>"10"</f>
        <v>10</v>
      </c>
      <c r="D1632" s="7" t="str">
        <f>"20210285510"</f>
        <v>20210285510</v>
      </c>
      <c r="E1632" s="7" t="s">
        <v>1586</v>
      </c>
      <c r="F1632" s="7">
        <v>47.5</v>
      </c>
      <c r="G1632" s="7">
        <v>59</v>
      </c>
      <c r="H1632" s="8">
        <f t="shared" si="78"/>
        <v>50.95</v>
      </c>
    </row>
    <row r="1633" spans="1:8" s="2" customFormat="1">
      <c r="A1633" s="7" t="s">
        <v>1566</v>
      </c>
      <c r="B1633" s="7" t="str">
        <f t="shared" si="80"/>
        <v>55</v>
      </c>
      <c r="C1633" s="7" t="str">
        <f>"11"</f>
        <v>11</v>
      </c>
      <c r="D1633" s="7" t="str">
        <f>"20210285511"</f>
        <v>20210285511</v>
      </c>
      <c r="E1633" s="7" t="s">
        <v>109</v>
      </c>
      <c r="F1633" s="7">
        <v>50</v>
      </c>
      <c r="G1633" s="7">
        <v>68</v>
      </c>
      <c r="H1633" s="8">
        <f t="shared" si="78"/>
        <v>55.4</v>
      </c>
    </row>
    <row r="1634" spans="1:8" s="2" customFormat="1">
      <c r="A1634" s="7" t="s">
        <v>1566</v>
      </c>
      <c r="B1634" s="7" t="str">
        <f t="shared" si="80"/>
        <v>55</v>
      </c>
      <c r="C1634" s="7" t="str">
        <f>"12"</f>
        <v>12</v>
      </c>
      <c r="D1634" s="7" t="str">
        <f>"20210285512"</f>
        <v>20210285512</v>
      </c>
      <c r="E1634" s="7" t="s">
        <v>1587</v>
      </c>
      <c r="F1634" s="7">
        <v>55</v>
      </c>
      <c r="G1634" s="7">
        <v>58</v>
      </c>
      <c r="H1634" s="8">
        <f t="shared" ref="H1634:H1654" si="81">F1634*0.7+G1634*0.3</f>
        <v>55.9</v>
      </c>
    </row>
    <row r="1635" spans="1:8" s="2" customFormat="1">
      <c r="A1635" s="7" t="s">
        <v>1566</v>
      </c>
      <c r="B1635" s="7" t="str">
        <f t="shared" si="80"/>
        <v>55</v>
      </c>
      <c r="C1635" s="7" t="str">
        <f>"13"</f>
        <v>13</v>
      </c>
      <c r="D1635" s="7" t="str">
        <f>"20210285513"</f>
        <v>20210285513</v>
      </c>
      <c r="E1635" s="7" t="s">
        <v>1588</v>
      </c>
      <c r="F1635" s="7">
        <v>44</v>
      </c>
      <c r="G1635" s="7">
        <v>38</v>
      </c>
      <c r="H1635" s="8">
        <f t="shared" si="81"/>
        <v>42.199999999999996</v>
      </c>
    </row>
    <row r="1636" spans="1:8" s="2" customFormat="1">
      <c r="A1636" s="7" t="s">
        <v>1566</v>
      </c>
      <c r="B1636" s="7" t="str">
        <f t="shared" si="80"/>
        <v>55</v>
      </c>
      <c r="C1636" s="7" t="str">
        <f>"14"</f>
        <v>14</v>
      </c>
      <c r="D1636" s="7" t="str">
        <f>"20210285514"</f>
        <v>20210285514</v>
      </c>
      <c r="E1636" s="7" t="s">
        <v>1589</v>
      </c>
      <c r="F1636" s="7">
        <v>70.5</v>
      </c>
      <c r="G1636" s="7">
        <v>77</v>
      </c>
      <c r="H1636" s="8">
        <f t="shared" si="81"/>
        <v>72.449999999999989</v>
      </c>
    </row>
    <row r="1637" spans="1:8" s="2" customFormat="1">
      <c r="A1637" s="7" t="s">
        <v>1566</v>
      </c>
      <c r="B1637" s="7" t="str">
        <f t="shared" si="80"/>
        <v>55</v>
      </c>
      <c r="C1637" s="7" t="str">
        <f>"15"</f>
        <v>15</v>
      </c>
      <c r="D1637" s="7" t="str">
        <f>"20210285515"</f>
        <v>20210285515</v>
      </c>
      <c r="E1637" s="7" t="s">
        <v>1590</v>
      </c>
      <c r="F1637" s="7">
        <v>50.5</v>
      </c>
      <c r="G1637" s="7">
        <v>72</v>
      </c>
      <c r="H1637" s="8">
        <f t="shared" si="81"/>
        <v>56.949999999999989</v>
      </c>
    </row>
    <row r="1638" spans="1:8" s="2" customFormat="1">
      <c r="A1638" s="7" t="s">
        <v>1566</v>
      </c>
      <c r="B1638" s="7" t="str">
        <f t="shared" si="80"/>
        <v>55</v>
      </c>
      <c r="C1638" s="7" t="str">
        <f>"16"</f>
        <v>16</v>
      </c>
      <c r="D1638" s="7" t="str">
        <f>"20210285516"</f>
        <v>20210285516</v>
      </c>
      <c r="E1638" s="7" t="s">
        <v>1591</v>
      </c>
      <c r="F1638" s="7">
        <v>61</v>
      </c>
      <c r="G1638" s="7">
        <v>76</v>
      </c>
      <c r="H1638" s="8">
        <f t="shared" si="81"/>
        <v>65.5</v>
      </c>
    </row>
    <row r="1639" spans="1:8" s="2" customFormat="1">
      <c r="A1639" s="7" t="s">
        <v>1566</v>
      </c>
      <c r="B1639" s="7" t="str">
        <f t="shared" si="80"/>
        <v>55</v>
      </c>
      <c r="C1639" s="7" t="str">
        <f>"17"</f>
        <v>17</v>
      </c>
      <c r="D1639" s="7" t="str">
        <f>"20210285517"</f>
        <v>20210285517</v>
      </c>
      <c r="E1639" s="7" t="s">
        <v>1592</v>
      </c>
      <c r="F1639" s="7">
        <v>57.5</v>
      </c>
      <c r="G1639" s="7">
        <v>57</v>
      </c>
      <c r="H1639" s="8">
        <f t="shared" si="81"/>
        <v>57.349999999999994</v>
      </c>
    </row>
    <row r="1640" spans="1:8" s="2" customFormat="1">
      <c r="A1640" s="7" t="s">
        <v>1566</v>
      </c>
      <c r="B1640" s="7" t="str">
        <f t="shared" si="80"/>
        <v>55</v>
      </c>
      <c r="C1640" s="7" t="str">
        <f>"18"</f>
        <v>18</v>
      </c>
      <c r="D1640" s="7" t="str">
        <f>"20210285518"</f>
        <v>20210285518</v>
      </c>
      <c r="E1640" s="7" t="s">
        <v>364</v>
      </c>
      <c r="F1640" s="7">
        <v>63.5</v>
      </c>
      <c r="G1640" s="7">
        <v>76</v>
      </c>
      <c r="H1640" s="8">
        <f t="shared" si="81"/>
        <v>67.25</v>
      </c>
    </row>
    <row r="1641" spans="1:8" s="2" customFormat="1">
      <c r="A1641" s="7" t="s">
        <v>1566</v>
      </c>
      <c r="B1641" s="7" t="str">
        <f t="shared" si="80"/>
        <v>55</v>
      </c>
      <c r="C1641" s="7" t="str">
        <f>"19"</f>
        <v>19</v>
      </c>
      <c r="D1641" s="7" t="str">
        <f>"20210285519"</f>
        <v>20210285519</v>
      </c>
      <c r="E1641" s="7" t="s">
        <v>1593</v>
      </c>
      <c r="F1641" s="7">
        <v>43</v>
      </c>
      <c r="G1641" s="7">
        <v>47</v>
      </c>
      <c r="H1641" s="8">
        <f t="shared" si="81"/>
        <v>44.199999999999996</v>
      </c>
    </row>
    <row r="1642" spans="1:8" s="2" customFormat="1">
      <c r="A1642" s="7" t="s">
        <v>1566</v>
      </c>
      <c r="B1642" s="7" t="str">
        <f t="shared" si="80"/>
        <v>55</v>
      </c>
      <c r="C1642" s="7" t="str">
        <f>"20"</f>
        <v>20</v>
      </c>
      <c r="D1642" s="7" t="str">
        <f>"20210285520"</f>
        <v>20210285520</v>
      </c>
      <c r="E1642" s="7" t="s">
        <v>1594</v>
      </c>
      <c r="F1642" s="7">
        <v>53</v>
      </c>
      <c r="G1642" s="7">
        <v>35</v>
      </c>
      <c r="H1642" s="8">
        <f t="shared" si="81"/>
        <v>47.599999999999994</v>
      </c>
    </row>
    <row r="1643" spans="1:8" s="2" customFormat="1">
      <c r="A1643" s="7" t="s">
        <v>1566</v>
      </c>
      <c r="B1643" s="7" t="str">
        <f t="shared" si="80"/>
        <v>55</v>
      </c>
      <c r="C1643" s="7" t="str">
        <f>"21"</f>
        <v>21</v>
      </c>
      <c r="D1643" s="7" t="str">
        <f>"20210285521"</f>
        <v>20210285521</v>
      </c>
      <c r="E1643" s="7" t="s">
        <v>1595</v>
      </c>
      <c r="F1643" s="7">
        <v>38</v>
      </c>
      <c r="G1643" s="7">
        <v>33</v>
      </c>
      <c r="H1643" s="8">
        <f t="shared" si="81"/>
        <v>36.5</v>
      </c>
    </row>
    <row r="1644" spans="1:8" s="2" customFormat="1">
      <c r="A1644" s="7" t="s">
        <v>1566</v>
      </c>
      <c r="B1644" s="7" t="str">
        <f t="shared" si="80"/>
        <v>55</v>
      </c>
      <c r="C1644" s="7" t="str">
        <f>"22"</f>
        <v>22</v>
      </c>
      <c r="D1644" s="7" t="str">
        <f>"20210285522"</f>
        <v>20210285522</v>
      </c>
      <c r="E1644" s="7" t="s">
        <v>1596</v>
      </c>
      <c r="F1644" s="7">
        <v>68</v>
      </c>
      <c r="G1644" s="7">
        <v>62</v>
      </c>
      <c r="H1644" s="8">
        <f t="shared" si="81"/>
        <v>66.199999999999989</v>
      </c>
    </row>
    <row r="1645" spans="1:8" s="2" customFormat="1">
      <c r="A1645" s="7" t="s">
        <v>1566</v>
      </c>
      <c r="B1645" s="7" t="str">
        <f t="shared" si="80"/>
        <v>55</v>
      </c>
      <c r="C1645" s="7" t="str">
        <f>"23"</f>
        <v>23</v>
      </c>
      <c r="D1645" s="7" t="str">
        <f>"20210285523"</f>
        <v>20210285523</v>
      </c>
      <c r="E1645" s="7" t="s">
        <v>1597</v>
      </c>
      <c r="F1645" s="7">
        <v>66.5</v>
      </c>
      <c r="G1645" s="7">
        <v>34</v>
      </c>
      <c r="H1645" s="8">
        <f t="shared" si="81"/>
        <v>56.75</v>
      </c>
    </row>
    <row r="1646" spans="1:8" s="2" customFormat="1">
      <c r="A1646" s="7" t="s">
        <v>1566</v>
      </c>
      <c r="B1646" s="7" t="str">
        <f t="shared" si="80"/>
        <v>55</v>
      </c>
      <c r="C1646" s="7" t="str">
        <f>"24"</f>
        <v>24</v>
      </c>
      <c r="D1646" s="7" t="str">
        <f>"20210285524"</f>
        <v>20210285524</v>
      </c>
      <c r="E1646" s="7" t="s">
        <v>1598</v>
      </c>
      <c r="F1646" s="7">
        <v>50</v>
      </c>
      <c r="G1646" s="7">
        <v>41</v>
      </c>
      <c r="H1646" s="8">
        <f t="shared" si="81"/>
        <v>47.3</v>
      </c>
    </row>
    <row r="1647" spans="1:8" s="2" customFormat="1">
      <c r="A1647" s="7" t="s">
        <v>1566</v>
      </c>
      <c r="B1647" s="7" t="str">
        <f t="shared" si="80"/>
        <v>55</v>
      </c>
      <c r="C1647" s="7" t="str">
        <f>"25"</f>
        <v>25</v>
      </c>
      <c r="D1647" s="7" t="str">
        <f>"20210285525"</f>
        <v>20210285525</v>
      </c>
      <c r="E1647" s="7" t="s">
        <v>1599</v>
      </c>
      <c r="F1647" s="7">
        <v>84</v>
      </c>
      <c r="G1647" s="7">
        <v>79</v>
      </c>
      <c r="H1647" s="8">
        <f t="shared" si="81"/>
        <v>82.5</v>
      </c>
    </row>
    <row r="1648" spans="1:8" s="2" customFormat="1">
      <c r="A1648" s="7" t="s">
        <v>1566</v>
      </c>
      <c r="B1648" s="7" t="str">
        <f t="shared" si="80"/>
        <v>55</v>
      </c>
      <c r="C1648" s="7" t="str">
        <f>"26"</f>
        <v>26</v>
      </c>
      <c r="D1648" s="7" t="str">
        <f>"20210285526"</f>
        <v>20210285526</v>
      </c>
      <c r="E1648" s="7" t="s">
        <v>1600</v>
      </c>
      <c r="F1648" s="7">
        <v>40.5</v>
      </c>
      <c r="G1648" s="7">
        <v>49</v>
      </c>
      <c r="H1648" s="8">
        <f t="shared" si="81"/>
        <v>43.05</v>
      </c>
    </row>
    <row r="1649" spans="1:8" s="2" customFormat="1">
      <c r="A1649" s="7" t="s">
        <v>1566</v>
      </c>
      <c r="B1649" s="7" t="str">
        <f t="shared" si="80"/>
        <v>55</v>
      </c>
      <c r="C1649" s="7" t="str">
        <f>"27"</f>
        <v>27</v>
      </c>
      <c r="D1649" s="7" t="str">
        <f>"20210285527"</f>
        <v>20210285527</v>
      </c>
      <c r="E1649" s="7" t="s">
        <v>1601</v>
      </c>
      <c r="F1649" s="7">
        <v>68</v>
      </c>
      <c r="G1649" s="7">
        <v>53</v>
      </c>
      <c r="H1649" s="8">
        <f t="shared" si="81"/>
        <v>63.499999999999993</v>
      </c>
    </row>
    <row r="1650" spans="1:8" s="2" customFormat="1">
      <c r="A1650" s="7" t="s">
        <v>1566</v>
      </c>
      <c r="B1650" s="7" t="str">
        <f t="shared" si="80"/>
        <v>55</v>
      </c>
      <c r="C1650" s="7" t="str">
        <f>"28"</f>
        <v>28</v>
      </c>
      <c r="D1650" s="7" t="str">
        <f>"20210285528"</f>
        <v>20210285528</v>
      </c>
      <c r="E1650" s="7" t="s">
        <v>1602</v>
      </c>
      <c r="F1650" s="7">
        <v>53</v>
      </c>
      <c r="G1650" s="7">
        <v>35</v>
      </c>
      <c r="H1650" s="8">
        <f t="shared" si="81"/>
        <v>47.599999999999994</v>
      </c>
    </row>
    <row r="1651" spans="1:8" s="2" customFormat="1">
      <c r="A1651" s="7" t="s">
        <v>1566</v>
      </c>
      <c r="B1651" s="7" t="str">
        <f t="shared" si="80"/>
        <v>55</v>
      </c>
      <c r="C1651" s="7" t="str">
        <f>"29"</f>
        <v>29</v>
      </c>
      <c r="D1651" s="7" t="str">
        <f>"20210285529"</f>
        <v>20210285529</v>
      </c>
      <c r="E1651" s="7" t="s">
        <v>530</v>
      </c>
      <c r="F1651" s="7">
        <v>34.5</v>
      </c>
      <c r="G1651" s="7">
        <v>36</v>
      </c>
      <c r="H1651" s="8">
        <f t="shared" si="81"/>
        <v>34.949999999999996</v>
      </c>
    </row>
    <row r="1652" spans="1:8" s="2" customFormat="1">
      <c r="A1652" s="7" t="s">
        <v>1566</v>
      </c>
      <c r="B1652" s="7" t="str">
        <f t="shared" si="80"/>
        <v>55</v>
      </c>
      <c r="C1652" s="7" t="str">
        <f>"30"</f>
        <v>30</v>
      </c>
      <c r="D1652" s="7" t="str">
        <f>"20210285530"</f>
        <v>20210285530</v>
      </c>
      <c r="E1652" s="7" t="s">
        <v>1603</v>
      </c>
      <c r="F1652" s="7">
        <v>57</v>
      </c>
      <c r="G1652" s="7">
        <v>43</v>
      </c>
      <c r="H1652" s="8">
        <f t="shared" si="81"/>
        <v>52.8</v>
      </c>
    </row>
    <row r="1653" spans="1:8" s="2" customFormat="1">
      <c r="A1653" s="7" t="s">
        <v>1566</v>
      </c>
      <c r="B1653" s="7" t="str">
        <f t="shared" si="80"/>
        <v>55</v>
      </c>
      <c r="C1653" s="7" t="str">
        <f>"31"</f>
        <v>31</v>
      </c>
      <c r="D1653" s="7" t="str">
        <f>"20210285531"</f>
        <v>20210285531</v>
      </c>
      <c r="E1653" s="7" t="s">
        <v>1604</v>
      </c>
      <c r="F1653" s="7">
        <v>0</v>
      </c>
      <c r="G1653" s="7">
        <v>0</v>
      </c>
      <c r="H1653" s="8">
        <f t="shared" si="81"/>
        <v>0</v>
      </c>
    </row>
    <row r="1654" spans="1:8" s="2" customFormat="1">
      <c r="A1654" s="7" t="s">
        <v>1566</v>
      </c>
      <c r="B1654" s="7" t="str">
        <f t="shared" si="80"/>
        <v>55</v>
      </c>
      <c r="C1654" s="7" t="str">
        <f>"32"</f>
        <v>32</v>
      </c>
      <c r="D1654" s="7" t="str">
        <f>"20210285532"</f>
        <v>20210285532</v>
      </c>
      <c r="E1654" s="7" t="s">
        <v>1605</v>
      </c>
      <c r="F1654" s="7">
        <v>59.5</v>
      </c>
      <c r="G1654" s="7">
        <v>62</v>
      </c>
      <c r="H1654" s="8">
        <f t="shared" si="81"/>
        <v>60.25</v>
      </c>
    </row>
  </sheetData>
  <mergeCells count="1">
    <mergeCell ref="A1:H1"/>
  </mergeCells>
  <phoneticPr fontId="4" type="noConversion"/>
  <printOptions horizontalCentered="1"/>
  <pageMargins left="0.75138888888888899" right="0.75138888888888899" top="0.80277777777777803" bottom="0.80277777777777803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2021-08-01T08:50:21Z</cp:lastPrinted>
  <dcterms:created xsi:type="dcterms:W3CDTF">2021-07-28T02:01:00Z</dcterms:created>
  <dcterms:modified xsi:type="dcterms:W3CDTF">2021-08-03T06:35:34Z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904B65735C3A4D468094857FF387DA9D</vt:lpwstr>
  </property>
</Properties>
</file>